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3.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4.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updateLinks="always" codeName="ThisWorkbook" defaultThemeVersion="124226"/>
  <mc:AlternateContent xmlns:mc="http://schemas.openxmlformats.org/markup-compatibility/2006">
    <mc:Choice Requires="x15">
      <x15ac:absPath xmlns:x15ac="http://schemas.microsoft.com/office/spreadsheetml/2010/11/ac" url="https://tatapower-my.sharepoint.com/personal/amitsadhukhan_tatapower_com/Documents/FY-22-23 November Report/FY-25/June-24/"/>
    </mc:Choice>
  </mc:AlternateContent>
  <xr:revisionPtr revIDLastSave="21" documentId="8_{6C7C3163-0A4A-47D1-995B-A56207FEA1D7}" xr6:coauthVersionLast="47" xr6:coauthVersionMax="47" xr10:uidLastSave="{54836923-33B1-46AD-BB61-CE85114E342B}"/>
  <bookViews>
    <workbookView xWindow="-120" yWindow="-120" windowWidth="20730" windowHeight="11160" tabRatio="645" xr2:uid="{00000000-000D-0000-FFFF-FFFF00000000}"/>
  </bookViews>
  <sheets>
    <sheet name="STATION" sheetId="12" r:id="rId1"/>
    <sheet name="UNITS" sheetId="10" r:id="rId2"/>
    <sheet name="Totalizer" sheetId="16" r:id="rId3"/>
    <sheet name="BOILERS" sheetId="1" r:id="rId4"/>
    <sheet name="Variance" sheetId="13" r:id="rId5"/>
    <sheet name="EQUIPMENT outage" sheetId="20" r:id="rId6"/>
    <sheet name="ASSET outage" sheetId="19" r:id="rId7"/>
    <sheet name="Equipment Status" sheetId="14" r:id="rId8"/>
    <sheet name="GRAPHS" sheetId="4" r:id="rId9"/>
    <sheet name="KPI tracker" sheetId="22" r:id="rId10"/>
    <sheet name="Remarks" sheetId="21" r:id="rId11"/>
    <sheet name="KPI analysis" sheetId="23" r:id="rId12"/>
    <sheet name="Best Achievments" sheetId="25" r:id="rId13"/>
  </sheets>
  <externalReferences>
    <externalReference r:id="rId14"/>
    <externalReference r:id="rId15"/>
  </externalReferences>
  <definedNames>
    <definedName name="_xlnm._FilterDatabase" localSheetId="1" hidden="1">UNITS!$A$1:$AH$29</definedName>
    <definedName name="_xlnm.Print_Titles" localSheetId="3">BOILERS!$A:$B</definedName>
    <definedName name="_xlnm.Print_Titles" localSheetId="0">STATION!$A:$A</definedName>
    <definedName name="_xlnm.Print_Titles" localSheetId="1">UNITS!$A:$A</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85" i="16" l="1"/>
  <c r="AH7" i="12"/>
  <c r="K61" i="12"/>
  <c r="L61" i="12"/>
  <c r="M61" i="12"/>
  <c r="N61" i="12"/>
  <c r="O61" i="12"/>
  <c r="P61" i="12"/>
  <c r="Q61" i="12"/>
  <c r="R61" i="12"/>
  <c r="S61" i="12"/>
  <c r="T61" i="12"/>
  <c r="U61" i="12"/>
  <c r="V61" i="12"/>
  <c r="W61" i="12"/>
  <c r="X61" i="12"/>
  <c r="Y61" i="12"/>
  <c r="Z61" i="12"/>
  <c r="AA61" i="12"/>
  <c r="AB61" i="12"/>
  <c r="AC61" i="12"/>
  <c r="AD61" i="12"/>
  <c r="AE61" i="12"/>
  <c r="AF61" i="12"/>
  <c r="F61" i="12"/>
  <c r="G61" i="12"/>
  <c r="H61" i="12"/>
  <c r="I61" i="12"/>
  <c r="J61" i="12"/>
  <c r="D61" i="12"/>
  <c r="E61" i="12"/>
  <c r="C61" i="12"/>
  <c r="D60" i="12"/>
  <c r="C60" i="12"/>
  <c r="I60" i="12"/>
  <c r="AF7" i="12"/>
  <c r="E62" i="10"/>
  <c r="F62" i="10" s="1"/>
  <c r="G62" i="10" s="1"/>
  <c r="H62" i="10" s="1"/>
  <c r="I62" i="10" s="1"/>
  <c r="J62" i="10" s="1"/>
  <c r="K62" i="10" s="1"/>
  <c r="L62" i="10" s="1"/>
  <c r="M62" i="10" s="1"/>
  <c r="N62" i="10" s="1"/>
  <c r="O62" i="10" s="1"/>
  <c r="P62" i="10" s="1"/>
  <c r="Q62" i="10" s="1"/>
  <c r="R62" i="10" s="1"/>
  <c r="S62" i="10" s="1"/>
  <c r="T62" i="10" s="1"/>
  <c r="U62" i="10" s="1"/>
  <c r="V62" i="10" s="1"/>
  <c r="W62" i="10" s="1"/>
  <c r="X62" i="10" s="1"/>
  <c r="Y62" i="10" s="1"/>
  <c r="Z62" i="10" s="1"/>
  <c r="AA62" i="10" s="1"/>
  <c r="AB62" i="10" s="1"/>
  <c r="AC62" i="10" s="1"/>
  <c r="AD62" i="10" s="1"/>
  <c r="AE62" i="10" s="1"/>
  <c r="AF62" i="10" s="1"/>
  <c r="D62" i="10"/>
  <c r="E35" i="10"/>
  <c r="F35" i="10" s="1"/>
  <c r="G35" i="10" s="1"/>
  <c r="H35" i="10" s="1"/>
  <c r="I35" i="10" s="1"/>
  <c r="J35" i="10" s="1"/>
  <c r="K35" i="10" s="1"/>
  <c r="L35" i="10" s="1"/>
  <c r="M35" i="10" s="1"/>
  <c r="N35" i="10" s="1"/>
  <c r="O35" i="10" s="1"/>
  <c r="P35" i="10" s="1"/>
  <c r="Q35" i="10" s="1"/>
  <c r="R35" i="10" s="1"/>
  <c r="S35" i="10" s="1"/>
  <c r="T35" i="10" s="1"/>
  <c r="U35" i="10" s="1"/>
  <c r="V35" i="10" s="1"/>
  <c r="W35" i="10" s="1"/>
  <c r="X35" i="10" s="1"/>
  <c r="Y35" i="10" s="1"/>
  <c r="Z35" i="10" s="1"/>
  <c r="AA35" i="10" s="1"/>
  <c r="AB35" i="10" s="1"/>
  <c r="AC35" i="10" s="1"/>
  <c r="AD35" i="10" s="1"/>
  <c r="AE35" i="10" s="1"/>
  <c r="AF35" i="10" s="1"/>
  <c r="D35" i="10"/>
  <c r="E8" i="10"/>
  <c r="F8" i="10" s="1"/>
  <c r="G8" i="10" s="1"/>
  <c r="H8" i="10" s="1"/>
  <c r="I8" i="10" s="1"/>
  <c r="J8" i="10" s="1"/>
  <c r="K8" i="10" s="1"/>
  <c r="L8" i="10" s="1"/>
  <c r="M8" i="10" s="1"/>
  <c r="N8" i="10" s="1"/>
  <c r="O8" i="10" s="1"/>
  <c r="P8" i="10" s="1"/>
  <c r="Q8" i="10" s="1"/>
  <c r="R8" i="10" s="1"/>
  <c r="S8" i="10" s="1"/>
  <c r="T8" i="10" s="1"/>
  <c r="U8" i="10" s="1"/>
  <c r="V8" i="10" s="1"/>
  <c r="W8" i="10" s="1"/>
  <c r="X8" i="10" s="1"/>
  <c r="Y8" i="10" s="1"/>
  <c r="Z8" i="10" s="1"/>
  <c r="AA8" i="10" s="1"/>
  <c r="AB8" i="10" s="1"/>
  <c r="AC8" i="10" s="1"/>
  <c r="AD8" i="10" s="1"/>
  <c r="AE8" i="10" s="1"/>
  <c r="AF8" i="10" s="1"/>
  <c r="D8" i="10"/>
  <c r="AH54" i="16"/>
  <c r="AH55" i="16"/>
  <c r="AH56" i="16"/>
  <c r="AH58" i="16"/>
  <c r="AH59" i="16"/>
  <c r="AH57" i="16" s="1"/>
  <c r="AH60" i="16"/>
  <c r="AH80" i="16" s="1"/>
  <c r="AH61" i="16"/>
  <c r="AH62" i="16"/>
  <c r="AH63" i="16"/>
  <c r="AH64" i="16"/>
  <c r="AH65" i="16"/>
  <c r="AH66" i="16"/>
  <c r="AH67" i="16"/>
  <c r="AH68" i="16"/>
  <c r="AH69" i="16"/>
  <c r="AH70" i="16"/>
  <c r="AH71" i="16" s="1"/>
  <c r="AH74" i="16"/>
  <c r="AH75" i="16"/>
  <c r="AH85" i="16"/>
  <c r="AH82" i="16" l="1"/>
  <c r="AH84" i="16"/>
  <c r="AH83" i="16" l="1"/>
  <c r="AH72" i="16"/>
  <c r="AH78" i="16"/>
  <c r="AH79" i="16" l="1"/>
  <c r="AH77" i="16" s="1"/>
  <c r="AH81" i="16"/>
  <c r="AH76" i="16"/>
  <c r="AH73" i="16" l="1"/>
  <c r="AF69" i="12" l="1"/>
  <c r="AF70" i="12" s="1"/>
  <c r="AF65" i="12"/>
  <c r="AF66" i="12" s="1"/>
  <c r="AF57" i="12"/>
  <c r="AF58" i="12" s="1"/>
  <c r="AF51" i="12"/>
  <c r="AF49" i="12"/>
  <c r="AF50" i="12"/>
  <c r="AF46" i="12"/>
  <c r="AF47" i="12"/>
  <c r="AF41" i="12"/>
  <c r="AF42" i="12" s="1"/>
  <c r="AF43" i="12"/>
  <c r="AF44" i="12"/>
  <c r="AF35" i="12"/>
  <c r="AF36" i="12" s="1"/>
  <c r="AF37" i="12" s="1"/>
  <c r="AF31" i="12"/>
  <c r="AF32" i="12"/>
  <c r="AF33" i="12" s="1"/>
  <c r="AF27" i="12"/>
  <c r="AF28" i="12" s="1"/>
  <c r="AF29" i="12" s="1"/>
  <c r="AF59" i="12" l="1"/>
  <c r="AF60" i="12" s="1"/>
  <c r="AF22" i="12"/>
  <c r="AF23" i="12"/>
  <c r="AF5" i="12"/>
  <c r="AF8" i="12" s="1"/>
  <c r="AF25" i="12" s="1"/>
  <c r="AF6" i="12"/>
  <c r="AF79" i="10"/>
  <c r="AF80" i="10" s="1"/>
  <c r="AF81" i="10" s="1"/>
  <c r="AF82" i="10"/>
  <c r="AF83" i="10"/>
  <c r="AF75" i="10"/>
  <c r="AF76" i="10" s="1"/>
  <c r="AF68" i="10"/>
  <c r="AF72" i="10"/>
  <c r="AF73" i="10"/>
  <c r="AF66" i="10"/>
  <c r="AF52" i="10"/>
  <c r="AF53" i="10"/>
  <c r="AF54" i="10" s="1"/>
  <c r="AF55" i="10"/>
  <c r="AF56" i="10"/>
  <c r="AF48" i="10"/>
  <c r="AF49" i="10" s="1"/>
  <c r="AF50" i="10" s="1"/>
  <c r="AF41" i="10"/>
  <c r="AF45" i="10"/>
  <c r="AF46" i="10"/>
  <c r="AF39" i="10"/>
  <c r="AG68" i="1"/>
  <c r="AG70" i="1"/>
  <c r="AG71" i="1"/>
  <c r="AG66" i="1"/>
  <c r="AG61" i="1"/>
  <c r="AG56" i="1"/>
  <c r="AF21" i="10" s="1"/>
  <c r="AF22" i="10" s="1"/>
  <c r="AF23" i="10" s="1"/>
  <c r="AG49" i="1"/>
  <c r="AG46" i="1"/>
  <c r="AG43" i="1"/>
  <c r="AG40" i="1"/>
  <c r="AG37" i="1"/>
  <c r="AG34" i="1"/>
  <c r="AG31" i="1"/>
  <c r="AG28" i="1"/>
  <c r="AG25" i="1"/>
  <c r="AG22" i="1"/>
  <c r="AG19" i="1"/>
  <c r="AG16" i="1"/>
  <c r="AG13" i="1"/>
  <c r="AG10" i="1"/>
  <c r="AG7" i="1"/>
  <c r="AG4" i="1"/>
  <c r="AG29" i="16"/>
  <c r="AG30" i="16"/>
  <c r="AG31" i="16"/>
  <c r="AG32" i="16"/>
  <c r="AG33" i="16"/>
  <c r="AG34" i="16"/>
  <c r="AG35" i="16"/>
  <c r="AG36" i="16"/>
  <c r="AG37" i="16"/>
  <c r="AG38" i="16"/>
  <c r="AG39" i="16"/>
  <c r="AF25" i="10"/>
  <c r="AF26" i="10"/>
  <c r="AF27" i="10"/>
  <c r="AF28" i="10"/>
  <c r="AF29" i="10"/>
  <c r="AF14" i="10"/>
  <c r="AF18" i="10"/>
  <c r="AF19" i="10"/>
  <c r="AF12" i="10"/>
  <c r="AF24" i="12" l="1"/>
  <c r="AF12" i="12"/>
  <c r="AF17" i="12"/>
  <c r="AF77" i="10"/>
  <c r="AF16" i="12"/>
  <c r="AF15" i="12"/>
  <c r="AF21" i="12"/>
  <c r="AF9" i="12"/>
  <c r="AG54" i="16" l="1"/>
  <c r="AG55" i="16"/>
  <c r="AG56" i="16"/>
  <c r="AG80" i="16" s="1"/>
  <c r="AG58" i="16"/>
  <c r="AG59" i="16"/>
  <c r="AG70" i="16" s="1"/>
  <c r="AG60" i="16"/>
  <c r="AG61" i="16"/>
  <c r="AG62" i="16"/>
  <c r="AG63" i="16"/>
  <c r="AG64" i="16"/>
  <c r="AG65" i="16"/>
  <c r="AG66" i="16"/>
  <c r="AG67" i="16"/>
  <c r="AG68" i="16"/>
  <c r="AG69" i="16"/>
  <c r="AG74" i="16"/>
  <c r="AG75" i="16"/>
  <c r="AG85" i="16"/>
  <c r="AG71" i="16" l="1"/>
  <c r="AG57" i="16"/>
  <c r="AG82" i="16" s="1"/>
  <c r="AG78" i="16" l="1"/>
  <c r="AG72" i="16"/>
  <c r="AG83" i="16"/>
  <c r="AG84" i="16"/>
  <c r="AG79" i="16" l="1"/>
  <c r="AG77" i="16" s="1"/>
  <c r="AG76" i="16"/>
  <c r="AG81" i="16"/>
  <c r="AG73" i="16" l="1"/>
  <c r="AF49" i="1" l="1"/>
  <c r="AF46" i="1"/>
  <c r="AF43" i="1"/>
  <c r="AF40" i="1"/>
  <c r="AF37" i="1"/>
  <c r="AF34" i="1"/>
  <c r="AF31" i="1"/>
  <c r="AF28" i="1"/>
  <c r="AF25" i="1"/>
  <c r="AF22" i="1"/>
  <c r="AF19" i="1"/>
  <c r="AF16" i="1"/>
  <c r="AF13" i="1"/>
  <c r="AF10" i="1"/>
  <c r="AF7" i="1"/>
  <c r="AF4" i="1"/>
  <c r="AF29" i="16"/>
  <c r="AF30" i="16"/>
  <c r="AF31" i="16"/>
  <c r="AF32" i="16"/>
  <c r="AF33" i="16"/>
  <c r="AF34" i="16"/>
  <c r="AF35" i="16"/>
  <c r="AF36" i="16"/>
  <c r="AF37" i="16"/>
  <c r="AF38" i="16"/>
  <c r="AF39" i="16" l="1"/>
  <c r="AD71" i="1" l="1"/>
  <c r="AE71" i="1"/>
  <c r="AF71" i="1"/>
  <c r="W70" i="1"/>
  <c r="X70" i="1"/>
  <c r="Y70" i="1"/>
  <c r="Z70" i="1"/>
  <c r="AA70" i="1"/>
  <c r="AB70" i="1"/>
  <c r="AC70" i="1"/>
  <c r="AD70" i="1"/>
  <c r="AE70" i="1"/>
  <c r="AF70" i="1"/>
  <c r="AF68" i="1"/>
  <c r="AF66" i="1"/>
  <c r="AF61" i="1"/>
  <c r="AF56" i="1"/>
  <c r="AE21" i="10" s="1"/>
  <c r="AE22" i="10" s="1"/>
  <c r="AE23" i="10" s="1"/>
  <c r="AE79" i="10"/>
  <c r="AE80" i="10"/>
  <c r="AE81" i="10" s="1"/>
  <c r="AE82" i="10"/>
  <c r="AE83" i="10" s="1"/>
  <c r="AE68" i="10"/>
  <c r="AE72" i="10"/>
  <c r="AE73" i="10"/>
  <c r="AE66" i="10"/>
  <c r="AE52" i="10"/>
  <c r="AE53" i="10" s="1"/>
  <c r="AE54" i="10" s="1"/>
  <c r="AE55" i="10"/>
  <c r="AE56" i="10" s="1"/>
  <c r="AE41" i="10"/>
  <c r="AE45" i="10"/>
  <c r="AE46" i="10" s="1"/>
  <c r="AE39" i="10"/>
  <c r="AE25" i="10"/>
  <c r="AE26" i="10"/>
  <c r="AE27" i="10" s="1"/>
  <c r="AE28" i="10"/>
  <c r="AE29" i="10" s="1"/>
  <c r="AE14" i="10"/>
  <c r="AE18" i="10"/>
  <c r="AE19" i="10" s="1"/>
  <c r="AE12" i="10"/>
  <c r="AE75" i="10" l="1"/>
  <c r="AE76" i="10" s="1"/>
  <c r="AE77" i="10" s="1"/>
  <c r="AE48" i="10"/>
  <c r="AE49" i="10" s="1"/>
  <c r="AE50" i="10" s="1"/>
  <c r="AE69" i="12" l="1"/>
  <c r="AE70" i="12" s="1"/>
  <c r="AE65" i="12"/>
  <c r="AE66" i="12" s="1"/>
  <c r="AE57" i="12"/>
  <c r="AE49" i="12"/>
  <c r="AE50" i="12" s="1"/>
  <c r="AE51" i="12"/>
  <c r="AE46" i="12"/>
  <c r="AE47" i="12" s="1"/>
  <c r="AE41" i="12"/>
  <c r="AE42" i="12" s="1"/>
  <c r="AE43" i="12"/>
  <c r="AE44" i="12" s="1"/>
  <c r="AE35" i="12"/>
  <c r="AE31" i="12"/>
  <c r="AE32" i="12" s="1"/>
  <c r="AE33" i="12" s="1"/>
  <c r="AE22" i="12"/>
  <c r="AE5" i="12"/>
  <c r="AE7" i="12" s="1"/>
  <c r="AE16" i="12" s="1"/>
  <c r="AE6" i="12"/>
  <c r="AE23" i="12" s="1"/>
  <c r="AF54" i="16"/>
  <c r="AF55" i="16"/>
  <c r="AF56" i="16"/>
  <c r="AF61" i="16" s="1"/>
  <c r="AF58" i="16"/>
  <c r="AF59" i="16"/>
  <c r="AF60" i="16"/>
  <c r="AF62" i="16"/>
  <c r="AF63" i="16"/>
  <c r="AF64" i="16"/>
  <c r="AF57" i="16" s="1"/>
  <c r="AF65" i="16"/>
  <c r="AF66" i="16"/>
  <c r="AF67" i="16"/>
  <c r="AF68" i="16"/>
  <c r="AF69" i="16"/>
  <c r="AF70" i="16"/>
  <c r="AF71" i="16"/>
  <c r="AF74" i="16"/>
  <c r="AF75" i="16"/>
  <c r="AF80" i="16"/>
  <c r="AF85" i="16"/>
  <c r="AE21" i="12" l="1"/>
  <c r="AE58" i="12"/>
  <c r="AE24" i="12"/>
  <c r="AE15" i="12"/>
  <c r="AE59" i="12"/>
  <c r="AE60" i="12" s="1"/>
  <c r="AE27" i="12"/>
  <c r="AE8" i="12"/>
  <c r="AE17" i="12" s="1"/>
  <c r="AE12" i="12"/>
  <c r="AE9" i="12"/>
  <c r="AF82" i="16"/>
  <c r="AE25" i="12" l="1"/>
  <c r="AF78" i="16"/>
  <c r="AF72" i="16"/>
  <c r="AF83" i="16"/>
  <c r="AF84" i="16"/>
  <c r="AF79" i="16" l="1"/>
  <c r="AF77" i="16" s="1"/>
  <c r="AF81" i="16"/>
  <c r="AF76" i="16"/>
  <c r="AF73" i="16" l="1"/>
  <c r="AD69" i="12" l="1"/>
  <c r="AD70" i="12" s="1"/>
  <c r="AD65" i="12"/>
  <c r="AD66" i="12"/>
  <c r="AD57" i="12"/>
  <c r="AD58" i="12" s="1"/>
  <c r="AD51" i="12"/>
  <c r="AD49" i="12"/>
  <c r="AD50" i="12" s="1"/>
  <c r="AD46" i="12"/>
  <c r="AD47" i="12"/>
  <c r="AD41" i="12"/>
  <c r="AD42" i="12" s="1"/>
  <c r="AD43" i="12"/>
  <c r="AD44" i="12" s="1"/>
  <c r="AD31" i="12"/>
  <c r="AD32" i="12" s="1"/>
  <c r="AD33" i="12" s="1"/>
  <c r="AD59" i="12" l="1"/>
  <c r="AD60" i="12" s="1"/>
  <c r="AD5" i="12" l="1"/>
  <c r="AD7" i="12" s="1"/>
  <c r="AD6" i="12"/>
  <c r="AD79" i="10"/>
  <c r="AD80" i="10" s="1"/>
  <c r="AD81" i="10" s="1"/>
  <c r="AD82" i="10"/>
  <c r="AD83" i="10" s="1"/>
  <c r="AD75" i="10"/>
  <c r="AD76" i="10" s="1"/>
  <c r="AD77" i="10" s="1"/>
  <c r="AD68" i="10"/>
  <c r="AD72" i="10"/>
  <c r="AD73" i="10"/>
  <c r="AD66" i="10"/>
  <c r="AD52" i="10"/>
  <c r="AD53" i="10" s="1"/>
  <c r="AD54" i="10" s="1"/>
  <c r="AD55" i="10"/>
  <c r="AD56" i="10" s="1"/>
  <c r="AD41" i="10"/>
  <c r="AD45" i="10"/>
  <c r="AD46" i="10"/>
  <c r="AD39" i="10"/>
  <c r="AD8" i="12" l="1"/>
  <c r="AD12" i="12"/>
  <c r="AD9" i="12"/>
  <c r="AD48" i="10"/>
  <c r="AD49" i="10" s="1"/>
  <c r="AD50" i="10" s="1"/>
  <c r="AD25" i="10" l="1"/>
  <c r="AD26" i="10"/>
  <c r="AD27" i="10" s="1"/>
  <c r="AD28" i="10"/>
  <c r="AD29" i="10" s="1"/>
  <c r="AD21" i="10"/>
  <c r="AD22" i="10"/>
  <c r="AD23" i="10" s="1"/>
  <c r="AD14" i="10"/>
  <c r="AD18" i="10"/>
  <c r="AD19" i="10" s="1"/>
  <c r="AD12" i="10"/>
  <c r="AE68" i="1"/>
  <c r="AD35" i="12" s="1"/>
  <c r="AE66" i="1"/>
  <c r="AE61" i="1"/>
  <c r="AE56" i="1"/>
  <c r="AE49" i="1"/>
  <c r="AE46" i="1"/>
  <c r="AE43" i="1"/>
  <c r="AE40" i="1"/>
  <c r="AE37" i="1"/>
  <c r="AE34" i="1"/>
  <c r="AD15" i="16"/>
  <c r="AE31" i="1"/>
  <c r="AE28" i="1"/>
  <c r="AE25" i="1"/>
  <c r="AE22" i="1"/>
  <c r="AE19" i="1"/>
  <c r="AE16" i="1"/>
  <c r="AE13" i="1"/>
  <c r="AE10" i="1"/>
  <c r="AE7" i="1"/>
  <c r="AE4" i="1"/>
  <c r="AE29" i="16"/>
  <c r="AE30" i="16"/>
  <c r="AE31" i="16"/>
  <c r="AE32" i="16"/>
  <c r="AE39" i="16" s="1"/>
  <c r="AE33" i="16"/>
  <c r="AE34" i="16"/>
  <c r="AE35" i="16"/>
  <c r="AE36" i="16"/>
  <c r="AE37" i="16"/>
  <c r="AE38" i="16"/>
  <c r="AD27" i="12" l="1"/>
  <c r="AC59" i="12"/>
  <c r="AD15" i="12" l="1"/>
  <c r="AD16" i="12"/>
  <c r="AD17" i="12"/>
  <c r="AD21" i="12"/>
  <c r="AD22" i="12"/>
  <c r="AD24" i="12" s="1"/>
  <c r="AD23" i="12"/>
  <c r="AE82" i="16"/>
  <c r="AE54" i="16"/>
  <c r="AE55" i="16"/>
  <c r="AE56" i="16"/>
  <c r="AE58" i="16"/>
  <c r="AE59" i="16"/>
  <c r="AE70" i="16" s="1"/>
  <c r="AE60" i="16"/>
  <c r="AE61" i="16"/>
  <c r="AE62" i="16"/>
  <c r="AE63" i="16"/>
  <c r="AE74" i="16" s="1"/>
  <c r="AE64" i="16"/>
  <c r="AE65" i="16"/>
  <c r="AE66" i="16"/>
  <c r="AE67" i="16"/>
  <c r="AE68" i="16"/>
  <c r="AE69" i="16"/>
  <c r="AE80" i="16"/>
  <c r="AE85" i="16"/>
  <c r="AD25" i="12" l="1"/>
  <c r="AE71" i="16"/>
  <c r="AE75" i="16"/>
  <c r="AE57" i="16"/>
  <c r="AE72" i="16" l="1"/>
  <c r="AE78" i="16"/>
  <c r="AE83" i="16"/>
  <c r="AE84" i="16"/>
  <c r="AC69" i="12"/>
  <c r="AC70" i="12" s="1"/>
  <c r="AC65" i="12"/>
  <c r="AC66" i="12" s="1"/>
  <c r="AC57" i="12"/>
  <c r="AC58" i="12" s="1"/>
  <c r="AC51" i="12"/>
  <c r="AC49" i="12"/>
  <c r="AC50" i="12" s="1"/>
  <c r="AC46" i="12"/>
  <c r="AC47" i="12" s="1"/>
  <c r="AC41" i="12"/>
  <c r="AC42" i="12"/>
  <c r="AC43" i="12"/>
  <c r="AC44" i="12" s="1"/>
  <c r="AC31" i="12"/>
  <c r="AC32" i="12" s="1"/>
  <c r="AC33" i="12" s="1"/>
  <c r="AC21" i="12"/>
  <c r="AC22" i="12"/>
  <c r="AC23" i="12"/>
  <c r="AC24" i="12"/>
  <c r="AC25" i="12"/>
  <c r="AC15" i="12"/>
  <c r="AC16" i="12"/>
  <c r="AC17" i="12"/>
  <c r="AC9" i="12"/>
  <c r="AC5" i="12"/>
  <c r="AC7" i="12" s="1"/>
  <c r="AC6" i="12"/>
  <c r="AE73" i="16" l="1"/>
  <c r="AE79" i="16"/>
  <c r="AE77" i="16" s="1"/>
  <c r="AE81" i="16"/>
  <c r="AE76" i="16"/>
  <c r="AC60" i="12"/>
  <c r="AC8" i="12"/>
  <c r="AC12" i="12"/>
  <c r="AC79" i="10" l="1"/>
  <c r="AC80" i="10"/>
  <c r="AC81" i="10" s="1"/>
  <c r="AC82" i="10"/>
  <c r="AC83" i="10" s="1"/>
  <c r="AC75" i="10"/>
  <c r="AC76" i="10" s="1"/>
  <c r="AC77" i="10" s="1"/>
  <c r="AC68" i="10"/>
  <c r="AC72" i="10"/>
  <c r="AC73" i="10" s="1"/>
  <c r="AC66" i="10"/>
  <c r="AC52" i="10"/>
  <c r="AC53" i="10"/>
  <c r="AC54" i="10" s="1"/>
  <c r="AC55" i="10"/>
  <c r="AC56" i="10"/>
  <c r="AC48" i="10"/>
  <c r="AC49" i="10" s="1"/>
  <c r="AC50" i="10" s="1"/>
  <c r="AC41" i="10"/>
  <c r="AC45" i="10"/>
  <c r="AC46" i="10" s="1"/>
  <c r="AC39" i="10"/>
  <c r="AC25" i="10"/>
  <c r="AC26" i="10" s="1"/>
  <c r="AC27" i="10" s="1"/>
  <c r="AC28" i="10"/>
  <c r="AC29" i="10"/>
  <c r="AC14" i="10"/>
  <c r="AC18" i="10"/>
  <c r="AC19" i="10" s="1"/>
  <c r="AC12" i="10"/>
  <c r="AC35" i="12"/>
  <c r="AD68" i="1"/>
  <c r="AD66" i="1"/>
  <c r="AD61" i="1"/>
  <c r="AD56" i="1"/>
  <c r="AD49" i="1"/>
  <c r="AD46" i="1"/>
  <c r="AD43" i="1"/>
  <c r="AD40" i="1"/>
  <c r="AD37" i="1"/>
  <c r="AD34" i="1"/>
  <c r="AD31" i="1"/>
  <c r="AD28" i="1"/>
  <c r="AD25" i="1"/>
  <c r="AD22" i="1"/>
  <c r="AD19" i="1"/>
  <c r="AD16" i="1"/>
  <c r="AD13" i="1"/>
  <c r="AD10" i="1"/>
  <c r="AD7" i="1"/>
  <c r="AD4" i="1"/>
  <c r="AD29" i="16"/>
  <c r="AD30" i="16"/>
  <c r="AD31" i="16"/>
  <c r="AD32" i="16"/>
  <c r="AD33" i="16"/>
  <c r="AD34" i="16"/>
  <c r="AD35" i="16"/>
  <c r="AD36" i="16"/>
  <c r="AD37" i="16"/>
  <c r="AD38" i="16"/>
  <c r="AD39" i="16"/>
  <c r="AC27" i="12" l="1"/>
  <c r="AC21" i="10"/>
  <c r="AC22" i="10" s="1"/>
  <c r="AC23" i="10" s="1"/>
  <c r="AD54" i="16" l="1"/>
  <c r="AD55" i="16"/>
  <c r="AD56" i="16"/>
  <c r="AD58" i="16"/>
  <c r="AD59" i="16"/>
  <c r="AD57" i="16" s="1"/>
  <c r="AD82" i="16" s="1"/>
  <c r="AD60" i="16"/>
  <c r="AD61" i="16"/>
  <c r="AD62" i="16"/>
  <c r="AD63" i="16"/>
  <c r="AD74" i="16" s="1"/>
  <c r="AD64" i="16"/>
  <c r="AD65" i="16"/>
  <c r="AD66" i="16"/>
  <c r="AD67" i="16"/>
  <c r="AD68" i="16"/>
  <c r="AD69" i="16"/>
  <c r="AD70" i="16"/>
  <c r="AD71" i="16" s="1"/>
  <c r="AD80" i="16"/>
  <c r="AD78" i="16" l="1"/>
  <c r="AD81" i="16" s="1"/>
  <c r="AD83" i="16"/>
  <c r="AD84" i="16"/>
  <c r="AD75" i="16"/>
  <c r="AD76" i="16"/>
  <c r="AD77" i="16" l="1"/>
  <c r="AD79" i="16"/>
  <c r="AD73" i="16"/>
  <c r="AD72" i="16"/>
  <c r="AC49" i="1" l="1"/>
  <c r="AC46" i="1"/>
  <c r="AC43" i="1"/>
  <c r="AC40" i="1"/>
  <c r="AC37" i="1"/>
  <c r="AC34" i="1"/>
  <c r="AC31" i="1"/>
  <c r="AC28" i="1"/>
  <c r="AC25" i="1"/>
  <c r="AC22" i="1"/>
  <c r="AC19" i="1"/>
  <c r="AC16" i="1"/>
  <c r="AC13" i="1"/>
  <c r="AC10" i="1"/>
  <c r="AC7" i="1"/>
  <c r="AC4" i="1"/>
  <c r="AC29" i="16"/>
  <c r="AC30" i="16"/>
  <c r="AC31" i="16"/>
  <c r="AC32" i="16"/>
  <c r="AC39" i="16" s="1"/>
  <c r="AC33" i="16"/>
  <c r="AC34" i="16"/>
  <c r="AC35" i="16"/>
  <c r="AC36" i="16"/>
  <c r="AC37" i="16"/>
  <c r="AC38" i="16"/>
  <c r="AC56" i="1" l="1"/>
  <c r="AC68" i="1"/>
  <c r="AC71" i="1"/>
  <c r="AB35" i="12" s="1"/>
  <c r="AC66" i="1"/>
  <c r="AC61" i="1"/>
  <c r="AB48" i="10" s="1"/>
  <c r="AB49" i="10" s="1"/>
  <c r="AB50" i="10" s="1"/>
  <c r="AB79" i="10"/>
  <c r="AB80" i="10" s="1"/>
  <c r="AB81" i="10" s="1"/>
  <c r="AB82" i="10"/>
  <c r="AB83" i="10" s="1"/>
  <c r="AB75" i="10"/>
  <c r="AB76" i="10" s="1"/>
  <c r="AB68" i="10"/>
  <c r="AB72" i="10"/>
  <c r="AB73" i="10" s="1"/>
  <c r="AB66" i="10"/>
  <c r="AB52" i="10"/>
  <c r="AB53" i="10"/>
  <c r="AB54" i="10" s="1"/>
  <c r="AB55" i="10"/>
  <c r="AB56" i="10" s="1"/>
  <c r="AB41" i="10"/>
  <c r="AB45" i="10"/>
  <c r="AB46" i="10" s="1"/>
  <c r="AB39" i="10"/>
  <c r="AB25" i="10"/>
  <c r="AB26" i="10" s="1"/>
  <c r="AB27" i="10" s="1"/>
  <c r="AB28" i="10"/>
  <c r="AB29" i="10" s="1"/>
  <c r="AB21" i="10"/>
  <c r="AB22" i="10" s="1"/>
  <c r="AB23" i="10" s="1"/>
  <c r="AB14" i="10"/>
  <c r="AB18" i="10"/>
  <c r="AB19" i="10" s="1"/>
  <c r="AB12" i="10"/>
  <c r="AB69" i="12"/>
  <c r="AB70" i="12"/>
  <c r="AB65" i="12"/>
  <c r="AB66" i="12" s="1"/>
  <c r="AB57" i="12"/>
  <c r="AB59" i="12" s="1"/>
  <c r="AB49" i="12"/>
  <c r="AB50" i="12" s="1"/>
  <c r="AB41" i="12"/>
  <c r="AB42" i="12" s="1"/>
  <c r="AB43" i="12"/>
  <c r="AB44" i="12" s="1"/>
  <c r="AB46" i="12"/>
  <c r="AB47" i="12" s="1"/>
  <c r="AB31" i="12"/>
  <c r="AB32" i="12" s="1"/>
  <c r="AB33" i="12" s="1"/>
  <c r="AB22" i="12"/>
  <c r="AB5" i="12"/>
  <c r="AB9" i="12" s="1"/>
  <c r="AB6" i="12"/>
  <c r="AB23" i="12" s="1"/>
  <c r="AC54" i="16"/>
  <c r="AC55" i="16"/>
  <c r="AC56" i="16"/>
  <c r="AC58" i="16"/>
  <c r="AC59" i="16"/>
  <c r="AC70" i="16" s="1"/>
  <c r="AC60" i="16"/>
  <c r="AC80" i="16" s="1"/>
  <c r="AC61" i="16"/>
  <c r="AC62" i="16"/>
  <c r="AC63" i="16"/>
  <c r="AC64" i="16"/>
  <c r="AC65" i="16"/>
  <c r="AC66" i="16"/>
  <c r="AC57" i="16" s="1"/>
  <c r="AC82" i="16" s="1"/>
  <c r="AC67" i="16"/>
  <c r="AC68" i="16"/>
  <c r="AC69" i="16"/>
  <c r="AC74" i="16"/>
  <c r="AC75" i="16" s="1"/>
  <c r="AC85" i="16"/>
  <c r="AB77" i="10" l="1"/>
  <c r="AB51" i="12"/>
  <c r="AB58" i="12"/>
  <c r="AB15" i="12"/>
  <c r="AB7" i="12"/>
  <c r="AB60" i="12" s="1"/>
  <c r="AB21" i="12"/>
  <c r="AB27" i="12"/>
  <c r="AB8" i="12"/>
  <c r="AC71" i="16"/>
  <c r="AC84" i="16"/>
  <c r="AC78" i="16"/>
  <c r="AC72" i="16"/>
  <c r="AC83" i="16"/>
  <c r="AC79" i="16"/>
  <c r="AC77" i="16"/>
  <c r="AB12" i="12" l="1"/>
  <c r="AB16" i="12"/>
  <c r="AB24" i="12"/>
  <c r="AB25" i="12"/>
  <c r="AB17" i="12"/>
  <c r="AC73" i="16"/>
  <c r="AC81" i="16"/>
  <c r="AC76" i="16"/>
  <c r="AB49" i="1" l="1"/>
  <c r="AB46" i="1"/>
  <c r="AB43" i="1"/>
  <c r="AB40" i="1"/>
  <c r="AB37" i="1"/>
  <c r="AB34" i="1"/>
  <c r="AB31" i="1"/>
  <c r="AB28" i="1"/>
  <c r="AB25" i="1"/>
  <c r="AB22" i="1"/>
  <c r="AB19" i="1"/>
  <c r="AB16" i="1"/>
  <c r="AB13" i="1"/>
  <c r="AB10" i="1"/>
  <c r="AB7" i="1"/>
  <c r="AB4" i="1"/>
  <c r="AB29" i="16"/>
  <c r="AB30" i="16"/>
  <c r="AB31" i="16"/>
  <c r="AB32" i="16"/>
  <c r="AB39" i="16" s="1"/>
  <c r="AB33" i="16"/>
  <c r="AB34" i="16"/>
  <c r="AB35" i="16"/>
  <c r="AB36" i="16"/>
  <c r="AB37" i="16"/>
  <c r="AB38" i="16"/>
  <c r="AA79" i="10" l="1"/>
  <c r="AA80" i="10"/>
  <c r="AA81" i="10" s="1"/>
  <c r="AA82" i="10"/>
  <c r="AA83" i="10"/>
  <c r="AA75" i="10"/>
  <c r="AA76" i="10" s="1"/>
  <c r="AA68" i="10"/>
  <c r="AA72" i="10"/>
  <c r="AA73" i="10"/>
  <c r="AA66" i="10"/>
  <c r="AA52" i="10"/>
  <c r="AA53" i="10"/>
  <c r="AA54" i="10"/>
  <c r="AA55" i="10"/>
  <c r="AA56" i="10"/>
  <c r="AA48" i="10"/>
  <c r="AA49" i="10" s="1"/>
  <c r="AA50" i="10" s="1"/>
  <c r="AA41" i="10"/>
  <c r="AA45" i="10"/>
  <c r="AA46" i="10"/>
  <c r="AA39" i="10"/>
  <c r="AA25" i="10"/>
  <c r="AA26" i="10" s="1"/>
  <c r="AA27" i="10" s="1"/>
  <c r="AA28" i="10"/>
  <c r="AA29" i="10"/>
  <c r="AA14" i="10"/>
  <c r="AA18" i="10"/>
  <c r="AA19" i="10"/>
  <c r="AA12" i="10"/>
  <c r="AA65" i="12"/>
  <c r="AA66" i="12" s="1"/>
  <c r="AA69" i="12"/>
  <c r="AA70" i="12" s="1"/>
  <c r="AA57" i="12"/>
  <c r="AA59" i="12" s="1"/>
  <c r="AA49" i="12"/>
  <c r="AA50" i="12"/>
  <c r="AA46" i="12"/>
  <c r="AA47" i="12" s="1"/>
  <c r="AA41" i="12"/>
  <c r="AA42" i="12" s="1"/>
  <c r="AA43" i="12"/>
  <c r="AA44" i="12"/>
  <c r="AA31" i="12"/>
  <c r="AA32" i="12" s="1"/>
  <c r="AA33" i="12" s="1"/>
  <c r="AA22" i="12"/>
  <c r="AA5" i="12"/>
  <c r="AA21" i="12" s="1"/>
  <c r="AA6" i="12"/>
  <c r="AA23" i="12" s="1"/>
  <c r="AB68" i="1"/>
  <c r="AB71" i="1"/>
  <c r="AA35" i="12" s="1"/>
  <c r="AB66" i="1"/>
  <c r="AB61" i="1"/>
  <c r="AB56" i="1"/>
  <c r="AB54" i="16"/>
  <c r="AB55" i="16"/>
  <c r="AB80" i="16" s="1"/>
  <c r="AB56" i="16"/>
  <c r="AB58" i="16"/>
  <c r="AB59" i="16"/>
  <c r="AB57" i="16" s="1"/>
  <c r="AB60" i="16"/>
  <c r="AB62" i="16"/>
  <c r="AB63" i="16"/>
  <c r="AB74" i="16" s="1"/>
  <c r="AB64" i="16"/>
  <c r="AB65" i="16"/>
  <c r="AB66" i="16"/>
  <c r="AB67" i="16"/>
  <c r="AB68" i="16"/>
  <c r="AB69" i="16"/>
  <c r="AB70" i="16"/>
  <c r="AB71" i="16"/>
  <c r="AB85" i="16"/>
  <c r="AA51" i="12" l="1"/>
  <c r="AA15" i="12"/>
  <c r="AA9" i="12"/>
  <c r="AA7" i="12"/>
  <c r="AA12" i="12" s="1"/>
  <c r="AA58" i="12"/>
  <c r="AA16" i="12"/>
  <c r="AA60" i="12"/>
  <c r="AA8" i="12"/>
  <c r="AA24" i="12"/>
  <c r="AA77" i="10"/>
  <c r="AA27" i="12"/>
  <c r="AA21" i="10"/>
  <c r="AA22" i="10" s="1"/>
  <c r="AA23" i="10" s="1"/>
  <c r="AB75" i="16"/>
  <c r="AB82" i="16"/>
  <c r="AB61" i="16"/>
  <c r="AA17" i="12" l="1"/>
  <c r="AA25" i="12"/>
  <c r="AB83" i="16"/>
  <c r="AB78" i="16"/>
  <c r="AB84" i="16"/>
  <c r="AB79" i="16"/>
  <c r="AB77" i="16" s="1"/>
  <c r="AB73" i="16" l="1"/>
  <c r="AB81" i="16"/>
  <c r="AB76" i="16"/>
  <c r="AB72" i="16"/>
  <c r="Z69" i="12" l="1"/>
  <c r="Z70" i="12" s="1"/>
  <c r="Z65" i="12"/>
  <c r="Z66" i="12" s="1"/>
  <c r="Z57" i="12"/>
  <c r="Z58" i="12" s="1"/>
  <c r="Z51" i="12"/>
  <c r="Z49" i="12"/>
  <c r="Z50" i="12" s="1"/>
  <c r="Z46" i="12"/>
  <c r="Z47" i="12" s="1"/>
  <c r="Z41" i="12"/>
  <c r="Z42" i="12" s="1"/>
  <c r="Z43" i="12"/>
  <c r="Z44" i="12" s="1"/>
  <c r="Z31" i="12"/>
  <c r="Z32" i="12" s="1"/>
  <c r="Z33" i="12" s="1"/>
  <c r="Z21" i="12"/>
  <c r="Z22" i="12"/>
  <c r="Z24" i="12" s="1"/>
  <c r="Z23" i="12"/>
  <c r="Z15" i="12"/>
  <c r="Z16" i="12"/>
  <c r="Z17" i="12"/>
  <c r="Z5" i="12"/>
  <c r="Z7" i="12" s="1"/>
  <c r="Z6" i="12"/>
  <c r="Z79" i="10"/>
  <c r="Z80" i="10"/>
  <c r="Z81" i="10" s="1"/>
  <c r="Z82" i="10"/>
  <c r="Z83" i="10"/>
  <c r="Z75" i="10"/>
  <c r="Z76" i="10" s="1"/>
  <c r="Z77" i="10" s="1"/>
  <c r="Z68" i="10"/>
  <c r="Z72" i="10"/>
  <c r="Z73" i="10" s="1"/>
  <c r="Z66" i="10"/>
  <c r="Z52" i="10"/>
  <c r="Z53" i="10"/>
  <c r="Z54" i="10" s="1"/>
  <c r="Z55" i="10"/>
  <c r="Z56" i="10" s="1"/>
  <c r="Z48" i="10"/>
  <c r="Z49" i="10" s="1"/>
  <c r="Z50" i="10" s="1"/>
  <c r="Z41" i="10"/>
  <c r="Z45" i="10"/>
  <c r="Z46" i="10"/>
  <c r="Z39" i="10"/>
  <c r="Z25" i="10"/>
  <c r="Z26" i="10"/>
  <c r="Z27" i="10" s="1"/>
  <c r="Z28" i="10"/>
  <c r="Z29" i="10"/>
  <c r="Z21" i="10"/>
  <c r="Z22" i="10" s="1"/>
  <c r="Z23" i="10" s="1"/>
  <c r="Z14" i="10"/>
  <c r="Z18" i="10"/>
  <c r="Z19" i="10" s="1"/>
  <c r="Z12" i="10"/>
  <c r="AA68" i="1"/>
  <c r="AA71" i="1" s="1"/>
  <c r="Z35" i="12" s="1"/>
  <c r="AA66" i="1"/>
  <c r="AA61" i="1"/>
  <c r="AA56" i="1"/>
  <c r="AA49" i="1"/>
  <c r="AA46" i="1"/>
  <c r="AA43" i="1"/>
  <c r="AA40" i="1"/>
  <c r="AA37" i="1"/>
  <c r="AA34" i="1"/>
  <c r="AA31" i="1"/>
  <c r="AA28" i="1"/>
  <c r="AA25" i="1"/>
  <c r="AA22" i="1"/>
  <c r="AA19" i="1"/>
  <c r="AA16" i="1"/>
  <c r="AA13" i="1"/>
  <c r="AA10" i="1"/>
  <c r="AA7" i="1"/>
  <c r="AA4" i="1"/>
  <c r="AA29" i="16"/>
  <c r="AA30" i="16"/>
  <c r="AA31" i="16"/>
  <c r="AA32" i="16"/>
  <c r="AA33" i="16"/>
  <c r="AA34" i="16"/>
  <c r="AA35" i="16"/>
  <c r="AA36" i="16"/>
  <c r="AA37" i="16"/>
  <c r="AA38" i="16"/>
  <c r="AA39" i="16" s="1"/>
  <c r="Z59" i="12" l="1"/>
  <c r="Z60" i="12" s="1"/>
  <c r="Z27" i="12"/>
  <c r="Z25" i="12"/>
  <c r="Z8" i="12"/>
  <c r="Z12" i="12"/>
  <c r="Z9" i="12"/>
  <c r="AA54" i="16" l="1"/>
  <c r="AA55" i="16"/>
  <c r="AA56" i="16"/>
  <c r="AA58" i="16"/>
  <c r="AA59" i="16"/>
  <c r="AA60" i="16"/>
  <c r="AA70" i="16" s="1"/>
  <c r="AA61" i="16"/>
  <c r="AA62" i="16"/>
  <c r="AA63" i="16"/>
  <c r="AA64" i="16"/>
  <c r="AA65" i="16"/>
  <c r="AA66" i="16"/>
  <c r="AA57" i="16" s="1"/>
  <c r="AA82" i="16" s="1"/>
  <c r="AA67" i="16"/>
  <c r="AA68" i="16"/>
  <c r="AA69" i="16"/>
  <c r="AA74" i="16"/>
  <c r="AA75" i="16" s="1"/>
  <c r="AA80" i="16"/>
  <c r="AA85" i="16"/>
  <c r="Y46" i="12"/>
  <c r="Y47" i="12"/>
  <c r="Z68" i="1"/>
  <c r="Z71" i="1"/>
  <c r="Y35" i="12" s="1"/>
  <c r="Z66" i="1"/>
  <c r="Z61" i="1"/>
  <c r="Z56" i="1"/>
  <c r="Z49" i="1"/>
  <c r="Z46" i="1"/>
  <c r="Z43" i="1"/>
  <c r="Z40" i="1"/>
  <c r="Z37" i="1"/>
  <c r="Z34" i="1"/>
  <c r="Z31" i="1"/>
  <c r="Z28" i="1"/>
  <c r="Z25" i="1"/>
  <c r="Z22" i="1"/>
  <c r="Z19" i="1"/>
  <c r="Z16" i="1"/>
  <c r="Z13" i="1"/>
  <c r="Z10" i="1"/>
  <c r="Z7" i="1"/>
  <c r="Z4" i="1"/>
  <c r="Z29" i="16"/>
  <c r="Z30" i="16"/>
  <c r="Z31" i="16"/>
  <c r="Z32" i="16"/>
  <c r="Z39" i="16" s="1"/>
  <c r="Z33" i="16"/>
  <c r="Z34" i="16"/>
  <c r="Z35" i="16"/>
  <c r="Z36" i="16"/>
  <c r="Z37" i="16"/>
  <c r="Z38" i="16"/>
  <c r="Y69" i="12"/>
  <c r="Y70" i="12" s="1"/>
  <c r="Y65" i="12"/>
  <c r="Y66" i="12"/>
  <c r="Y49" i="12"/>
  <c r="Y50" i="12" s="1"/>
  <c r="Y41" i="12"/>
  <c r="Y42" i="12" s="1"/>
  <c r="Y43" i="12"/>
  <c r="Y44" i="12" s="1"/>
  <c r="Y31" i="12"/>
  <c r="Y32" i="12"/>
  <c r="Y33" i="12"/>
  <c r="Y21" i="12"/>
  <c r="Y22" i="12"/>
  <c r="Y24" i="12" s="1"/>
  <c r="Y23" i="12"/>
  <c r="Y25" i="12"/>
  <c r="Y15" i="12"/>
  <c r="Y16" i="12"/>
  <c r="Y17" i="12"/>
  <c r="AA71" i="16" l="1"/>
  <c r="AA84" i="16"/>
  <c r="AA78" i="16"/>
  <c r="AA81" i="16" s="1"/>
  <c r="AA83" i="16"/>
  <c r="Y57" i="12"/>
  <c r="Y27" i="12"/>
  <c r="Y5" i="12"/>
  <c r="Y6" i="12"/>
  <c r="Y7" i="12"/>
  <c r="Y8" i="12" s="1"/>
  <c r="Y9" i="12"/>
  <c r="Y12" i="12"/>
  <c r="Y79" i="10"/>
  <c r="Y80" i="10" s="1"/>
  <c r="Y81" i="10" s="1"/>
  <c r="Y82" i="10"/>
  <c r="Y83" i="10" s="1"/>
  <c r="Y75" i="10"/>
  <c r="Y76" i="10" s="1"/>
  <c r="Y68" i="10"/>
  <c r="Y72" i="10"/>
  <c r="Y73" i="10"/>
  <c r="Y66" i="10"/>
  <c r="Y52" i="10"/>
  <c r="Y53" i="10"/>
  <c r="Y54" i="10"/>
  <c r="Y55" i="10"/>
  <c r="Y56" i="10"/>
  <c r="Y48" i="10"/>
  <c r="Y49" i="10" s="1"/>
  <c r="Y50" i="10" s="1"/>
  <c r="Y41" i="10"/>
  <c r="Y45" i="10"/>
  <c r="Y46" i="10" s="1"/>
  <c r="Y39" i="10"/>
  <c r="Y25" i="10"/>
  <c r="Y26" i="10" s="1"/>
  <c r="Y27" i="10" s="1"/>
  <c r="Y28" i="10"/>
  <c r="Y51" i="12" s="1"/>
  <c r="Y29" i="10"/>
  <c r="Y21" i="10"/>
  <c r="Y22" i="10" s="1"/>
  <c r="Y23" i="10" s="1"/>
  <c r="Y14" i="10"/>
  <c r="Y18" i="10"/>
  <c r="Y19" i="10" s="1"/>
  <c r="Y12" i="10"/>
  <c r="Y59" i="12" l="1"/>
  <c r="Y60" i="12" s="1"/>
  <c r="Y58" i="12"/>
  <c r="AA72" i="16"/>
  <c r="AA76" i="16"/>
  <c r="AA79" i="16"/>
  <c r="AA77" i="16" s="1"/>
  <c r="Y77" i="10"/>
  <c r="AA73" i="16" l="1"/>
  <c r="Z54" i="16"/>
  <c r="Z55" i="16"/>
  <c r="Z56" i="16"/>
  <c r="Z58" i="16"/>
  <c r="Z59" i="16"/>
  <c r="Z70" i="16" s="1"/>
  <c r="Z60" i="16"/>
  <c r="Z80" i="16" s="1"/>
  <c r="Z61" i="16"/>
  <c r="Z62" i="16"/>
  <c r="Z63" i="16"/>
  <c r="Z64" i="16"/>
  <c r="Z65" i="16"/>
  <c r="Z66" i="16"/>
  <c r="Z67" i="16"/>
  <c r="Z68" i="16"/>
  <c r="Z69" i="16"/>
  <c r="Z74" i="16"/>
  <c r="Z75" i="16" s="1"/>
  <c r="Z85" i="16"/>
  <c r="Z71" i="16" l="1"/>
  <c r="Z57" i="16"/>
  <c r="Z82" i="16" s="1"/>
  <c r="Z78" i="16" l="1"/>
  <c r="Z83" i="16"/>
  <c r="Z72" i="16"/>
  <c r="Z84" i="16"/>
  <c r="Z79" i="16" l="1"/>
  <c r="Z77" i="16" s="1"/>
  <c r="Z76" i="16"/>
  <c r="Z81" i="16"/>
  <c r="Z73" i="16" l="1"/>
  <c r="Y49" i="1" l="1"/>
  <c r="Y46" i="1"/>
  <c r="Y43" i="1"/>
  <c r="Y40" i="1"/>
  <c r="Y37" i="1"/>
  <c r="Y34" i="1"/>
  <c r="Y31" i="1"/>
  <c r="Y28" i="1"/>
  <c r="Y25" i="1"/>
  <c r="Y22" i="1"/>
  <c r="Y19" i="1"/>
  <c r="Y16" i="1"/>
  <c r="Y13" i="1"/>
  <c r="Y10" i="1"/>
  <c r="Y7" i="1"/>
  <c r="Y4" i="1"/>
  <c r="Y29" i="16"/>
  <c r="Y30" i="16"/>
  <c r="Y31" i="16"/>
  <c r="Y32" i="16"/>
  <c r="Y33" i="16"/>
  <c r="Y34" i="16"/>
  <c r="Y35" i="16"/>
  <c r="Y36" i="16"/>
  <c r="Y37" i="16"/>
  <c r="Y38" i="16"/>
  <c r="Y39" i="16" s="1"/>
  <c r="X79" i="10" l="1"/>
  <c r="X80" i="10"/>
  <c r="X81" i="10" s="1"/>
  <c r="X82" i="10"/>
  <c r="X83" i="10" s="1"/>
  <c r="X75" i="10"/>
  <c r="X76" i="10" s="1"/>
  <c r="X68" i="10"/>
  <c r="X72" i="10"/>
  <c r="X73" i="10"/>
  <c r="X66" i="10"/>
  <c r="X52" i="10"/>
  <c r="X48" i="10" s="1"/>
  <c r="X49" i="10" s="1"/>
  <c r="X50" i="10" s="1"/>
  <c r="X53" i="10"/>
  <c r="X54" i="10" s="1"/>
  <c r="X55" i="10"/>
  <c r="X51" i="12" s="1"/>
  <c r="X41" i="10"/>
  <c r="X45" i="10"/>
  <c r="X46" i="10"/>
  <c r="X39" i="10"/>
  <c r="X25" i="10"/>
  <c r="X21" i="10" s="1"/>
  <c r="X22" i="10" s="1"/>
  <c r="X23" i="10" s="1"/>
  <c r="X26" i="10"/>
  <c r="X27" i="10"/>
  <c r="X28" i="10"/>
  <c r="X29" i="10" s="1"/>
  <c r="X14" i="10"/>
  <c r="X18" i="10"/>
  <c r="X19" i="10"/>
  <c r="X12" i="10"/>
  <c r="X69" i="12"/>
  <c r="X70" i="12" s="1"/>
  <c r="X65" i="12"/>
  <c r="X66" i="12" s="1"/>
  <c r="X57" i="12"/>
  <c r="X59" i="12" s="1"/>
  <c r="X49" i="12"/>
  <c r="X50" i="12" s="1"/>
  <c r="X46" i="12"/>
  <c r="X47" i="12" s="1"/>
  <c r="X41" i="12"/>
  <c r="X42" i="12" s="1"/>
  <c r="X43" i="12"/>
  <c r="X44" i="12" s="1"/>
  <c r="X31" i="12"/>
  <c r="X32" i="12" s="1"/>
  <c r="X33" i="12" s="1"/>
  <c r="X22" i="12"/>
  <c r="X5" i="12"/>
  <c r="X21" i="12" s="1"/>
  <c r="X6" i="12"/>
  <c r="X23" i="12" s="1"/>
  <c r="Y68" i="1"/>
  <c r="Y71" i="1" s="1"/>
  <c r="X35" i="12" s="1"/>
  <c r="Y66" i="1"/>
  <c r="Y61" i="1"/>
  <c r="Y56" i="1"/>
  <c r="Y54" i="16"/>
  <c r="Y55" i="16"/>
  <c r="Y56" i="16"/>
  <c r="Y58" i="16"/>
  <c r="Y59" i="16"/>
  <c r="Y70" i="16" s="1"/>
  <c r="Y60" i="16"/>
  <c r="Y61" i="16"/>
  <c r="Y62" i="16"/>
  <c r="Y63" i="16"/>
  <c r="Y74" i="16" s="1"/>
  <c r="Y64" i="16"/>
  <c r="Y65" i="16"/>
  <c r="Y66" i="16"/>
  <c r="Y67" i="16"/>
  <c r="Y68" i="16"/>
  <c r="Y69" i="16"/>
  <c r="Y80" i="16"/>
  <c r="Y85" i="16"/>
  <c r="X56" i="10" l="1"/>
  <c r="X77" i="10"/>
  <c r="X7" i="12"/>
  <c r="X8" i="12" s="1"/>
  <c r="X17" i="12" s="1"/>
  <c r="X60" i="12"/>
  <c r="X16" i="12"/>
  <c r="X15" i="12"/>
  <c r="X25" i="12"/>
  <c r="X9" i="12"/>
  <c r="X58" i="12"/>
  <c r="X27" i="12"/>
  <c r="X12" i="12"/>
  <c r="Y71" i="16"/>
  <c r="Y75" i="16"/>
  <c r="Y57" i="16"/>
  <c r="Y82" i="16" s="1"/>
  <c r="W69" i="12"/>
  <c r="W70" i="12" s="1"/>
  <c r="W65" i="12"/>
  <c r="W66" i="12" s="1"/>
  <c r="V57" i="12"/>
  <c r="W51" i="12"/>
  <c r="W49" i="12"/>
  <c r="W50" i="12" s="1"/>
  <c r="W46" i="12"/>
  <c r="W47" i="12" s="1"/>
  <c r="W41" i="12"/>
  <c r="W42" i="12"/>
  <c r="W43" i="12"/>
  <c r="W44" i="12"/>
  <c r="W31" i="12"/>
  <c r="W21" i="12"/>
  <c r="W22" i="12"/>
  <c r="W24" i="12" s="1"/>
  <c r="W23" i="12"/>
  <c r="W15" i="12"/>
  <c r="W16" i="12"/>
  <c r="W17" i="12"/>
  <c r="W5" i="12"/>
  <c r="W7" i="12" s="1"/>
  <c r="W6" i="12"/>
  <c r="W79" i="10"/>
  <c r="W80" i="10"/>
  <c r="W81" i="10" s="1"/>
  <c r="W82" i="10"/>
  <c r="W83" i="10" s="1"/>
  <c r="W75" i="10"/>
  <c r="W76" i="10" s="1"/>
  <c r="W77" i="10" s="1"/>
  <c r="W68" i="10"/>
  <c r="W72" i="10"/>
  <c r="W73" i="10"/>
  <c r="W66" i="10"/>
  <c r="W52" i="10"/>
  <c r="W53" i="10"/>
  <c r="W54" i="10" s="1"/>
  <c r="W55" i="10"/>
  <c r="W56" i="10"/>
  <c r="W48" i="10"/>
  <c r="W49" i="10" s="1"/>
  <c r="W50" i="10" s="1"/>
  <c r="W41" i="10"/>
  <c r="W45" i="10"/>
  <c r="W46" i="10" s="1"/>
  <c r="W39" i="10"/>
  <c r="W25" i="10"/>
  <c r="W26" i="10" s="1"/>
  <c r="W27" i="10" s="1"/>
  <c r="W28" i="10"/>
  <c r="W29" i="10" s="1"/>
  <c r="W21" i="10"/>
  <c r="W22" i="10" s="1"/>
  <c r="W23" i="10" s="1"/>
  <c r="W14" i="10"/>
  <c r="W18" i="10"/>
  <c r="W19" i="10"/>
  <c r="W12" i="10"/>
  <c r="X68" i="1"/>
  <c r="X71" i="1" s="1"/>
  <c r="W35" i="12" s="1"/>
  <c r="X66" i="1"/>
  <c r="X61" i="1"/>
  <c r="X56" i="1"/>
  <c r="X49" i="1"/>
  <c r="X46" i="1"/>
  <c r="X43" i="1"/>
  <c r="X40" i="1"/>
  <c r="X37" i="1"/>
  <c r="X34" i="1"/>
  <c r="X31" i="1"/>
  <c r="X28" i="1"/>
  <c r="X25" i="1"/>
  <c r="X22" i="1"/>
  <c r="X19" i="1"/>
  <c r="X16" i="1"/>
  <c r="X13" i="1"/>
  <c r="X10" i="1"/>
  <c r="X7" i="1"/>
  <c r="X4" i="1"/>
  <c r="X29" i="16"/>
  <c r="X30" i="16"/>
  <c r="X31" i="16"/>
  <c r="X32" i="16"/>
  <c r="X33" i="16"/>
  <c r="X34" i="16"/>
  <c r="X35" i="16"/>
  <c r="X36" i="16"/>
  <c r="X37" i="16"/>
  <c r="X38" i="16"/>
  <c r="X39" i="16"/>
  <c r="X24" i="12" l="1"/>
  <c r="Y78" i="16"/>
  <c r="Y83" i="16"/>
  <c r="W57" i="12"/>
  <c r="W58" i="12" s="1"/>
  <c r="Y84" i="16"/>
  <c r="Y79" i="16"/>
  <c r="Y77" i="16"/>
  <c r="W27" i="12"/>
  <c r="W32" i="12"/>
  <c r="W33" i="12" s="1"/>
  <c r="W25" i="12"/>
  <c r="W12" i="12"/>
  <c r="W8" i="12"/>
  <c r="W9" i="12"/>
  <c r="Y73" i="16" l="1"/>
  <c r="Y81" i="16"/>
  <c r="Y76" i="16"/>
  <c r="Y72" i="16"/>
  <c r="X60" i="16"/>
  <c r="X82" i="16"/>
  <c r="X54" i="16"/>
  <c r="X55" i="16"/>
  <c r="X61" i="16" s="1"/>
  <c r="X56" i="16"/>
  <c r="X58" i="16"/>
  <c r="X59" i="16"/>
  <c r="X57" i="16" s="1"/>
  <c r="X62" i="16"/>
  <c r="X63" i="16"/>
  <c r="X74" i="16" s="1"/>
  <c r="X64" i="16"/>
  <c r="X65" i="16"/>
  <c r="X66" i="16"/>
  <c r="X67" i="16"/>
  <c r="X68" i="16"/>
  <c r="X69" i="16"/>
  <c r="X70" i="16"/>
  <c r="X84" i="16" s="1"/>
  <c r="X71" i="16"/>
  <c r="X85" i="16"/>
  <c r="X78" i="16" l="1"/>
  <c r="X81" i="16" s="1"/>
  <c r="X83" i="16"/>
  <c r="X75" i="16"/>
  <c r="X80" i="16"/>
  <c r="V69" i="12"/>
  <c r="V70" i="12" s="1"/>
  <c r="V65" i="12"/>
  <c r="V66" i="12" s="1"/>
  <c r="V58" i="12"/>
  <c r="V51" i="12"/>
  <c r="V49" i="12"/>
  <c r="V50" i="12" s="1"/>
  <c r="V46" i="12"/>
  <c r="V47" i="12" s="1"/>
  <c r="V41" i="12"/>
  <c r="V42" i="12" s="1"/>
  <c r="V43" i="12"/>
  <c r="V44" i="12" s="1"/>
  <c r="V31" i="12"/>
  <c r="V32" i="12" s="1"/>
  <c r="V33" i="12" s="1"/>
  <c r="V21" i="12"/>
  <c r="V22" i="12"/>
  <c r="V23" i="12"/>
  <c r="V24" i="12"/>
  <c r="V25" i="12"/>
  <c r="V15" i="12"/>
  <c r="V16" i="12"/>
  <c r="V17" i="12"/>
  <c r="V5" i="12"/>
  <c r="V6" i="12"/>
  <c r="V7" i="12"/>
  <c r="V8" i="12"/>
  <c r="V9" i="12"/>
  <c r="V12" i="12"/>
  <c r="V79" i="10"/>
  <c r="V80" i="10"/>
  <c r="V81" i="10" s="1"/>
  <c r="V82" i="10"/>
  <c r="V83" i="10" s="1"/>
  <c r="V75" i="10"/>
  <c r="V76" i="10" s="1"/>
  <c r="V77" i="10" s="1"/>
  <c r="V68" i="10"/>
  <c r="V72" i="10"/>
  <c r="V73" i="10"/>
  <c r="V66" i="10"/>
  <c r="V52" i="10"/>
  <c r="V53" i="10"/>
  <c r="V54" i="10" s="1"/>
  <c r="V55" i="10"/>
  <c r="V56" i="10"/>
  <c r="V48" i="10"/>
  <c r="V49" i="10" s="1"/>
  <c r="V50" i="10" s="1"/>
  <c r="V41" i="10"/>
  <c r="V45" i="10"/>
  <c r="V46" i="10" s="1"/>
  <c r="V39" i="10"/>
  <c r="V25" i="10"/>
  <c r="V26" i="10" s="1"/>
  <c r="V27" i="10" s="1"/>
  <c r="V28" i="10"/>
  <c r="V29" i="10" s="1"/>
  <c r="V21" i="10"/>
  <c r="V22" i="10" s="1"/>
  <c r="V23" i="10" s="1"/>
  <c r="V14" i="10"/>
  <c r="V18" i="10"/>
  <c r="V19" i="10" s="1"/>
  <c r="V12" i="10"/>
  <c r="W68" i="1"/>
  <c r="W71" i="1" s="1"/>
  <c r="V35" i="12" s="1"/>
  <c r="W66" i="1"/>
  <c r="W61" i="1"/>
  <c r="W56" i="1"/>
  <c r="W49" i="1"/>
  <c r="W46" i="1"/>
  <c r="W43" i="1"/>
  <c r="W40" i="1"/>
  <c r="W37" i="1"/>
  <c r="W34" i="1"/>
  <c r="W31" i="1"/>
  <c r="W28" i="1"/>
  <c r="W25" i="1"/>
  <c r="W22" i="1"/>
  <c r="W19" i="1"/>
  <c r="W16" i="1"/>
  <c r="W13" i="1"/>
  <c r="W10" i="1"/>
  <c r="W7" i="1"/>
  <c r="W4" i="1"/>
  <c r="W29" i="16"/>
  <c r="W30" i="16"/>
  <c r="W31" i="16"/>
  <c r="W32" i="16"/>
  <c r="W33" i="16"/>
  <c r="W34" i="16"/>
  <c r="W35" i="16"/>
  <c r="W39" i="16" s="1"/>
  <c r="W36" i="16"/>
  <c r="W37" i="16"/>
  <c r="W38" i="16"/>
  <c r="V36" i="12" l="1"/>
  <c r="V37" i="12" s="1"/>
  <c r="AE36" i="12"/>
  <c r="AE37" i="12" s="1"/>
  <c r="AD36" i="12"/>
  <c r="AD37" i="12" s="1"/>
  <c r="AC36" i="12"/>
  <c r="AC37" i="12" s="1"/>
  <c r="AB36" i="12"/>
  <c r="AB37" i="12" s="1"/>
  <c r="AA36" i="12"/>
  <c r="AA37" i="12" s="1"/>
  <c r="Z36" i="12"/>
  <c r="Z37" i="12" s="1"/>
  <c r="Y36" i="12"/>
  <c r="Y37" i="12" s="1"/>
  <c r="X36" i="12"/>
  <c r="X37" i="12" s="1"/>
  <c r="W36" i="12"/>
  <c r="W37" i="12" s="1"/>
  <c r="X72" i="16"/>
  <c r="X76" i="16"/>
  <c r="X79" i="16"/>
  <c r="X77" i="16" s="1"/>
  <c r="V59" i="12"/>
  <c r="V27" i="12"/>
  <c r="V28" i="12" l="1"/>
  <c r="V29" i="12" s="1"/>
  <c r="AE28" i="12"/>
  <c r="AE29" i="12" s="1"/>
  <c r="AD28" i="12"/>
  <c r="AD29" i="12" s="1"/>
  <c r="AC28" i="12"/>
  <c r="AC29" i="12" s="1"/>
  <c r="AA28" i="12"/>
  <c r="AA29" i="12" s="1"/>
  <c r="AB28" i="12"/>
  <c r="AB29" i="12" s="1"/>
  <c r="Z28" i="12"/>
  <c r="Z29" i="12" s="1"/>
  <c r="Y28" i="12"/>
  <c r="Y29" i="12" s="1"/>
  <c r="X28" i="12"/>
  <c r="X29" i="12" s="1"/>
  <c r="W28" i="12"/>
  <c r="W29" i="12" s="1"/>
  <c r="V60" i="12"/>
  <c r="W59" i="12"/>
  <c r="W60" i="12" s="1"/>
  <c r="X73" i="16"/>
  <c r="V70" i="1"/>
  <c r="V71" i="1" s="1"/>
  <c r="W57" i="16"/>
  <c r="W82" i="16"/>
  <c r="W54" i="16"/>
  <c r="W55" i="16"/>
  <c r="W56" i="16"/>
  <c r="W61" i="16" s="1"/>
  <c r="W58" i="16"/>
  <c r="W59" i="16"/>
  <c r="W60" i="16"/>
  <c r="W85" i="16" s="1"/>
  <c r="W62" i="16"/>
  <c r="W63" i="16"/>
  <c r="W64" i="16"/>
  <c r="W65" i="16"/>
  <c r="W66" i="16"/>
  <c r="W70" i="16" s="1"/>
  <c r="W67" i="16"/>
  <c r="W68" i="16"/>
  <c r="W69" i="16"/>
  <c r="W74" i="16"/>
  <c r="W75" i="16" s="1"/>
  <c r="W80" i="16"/>
  <c r="W71" i="16" l="1"/>
  <c r="W83" i="16" l="1"/>
  <c r="W78" i="16"/>
  <c r="W72" i="16" s="1"/>
  <c r="W84" i="16"/>
  <c r="W81" i="16" l="1"/>
  <c r="W76" i="16"/>
  <c r="W79" i="16"/>
  <c r="W77" i="16" s="1"/>
  <c r="W73" i="16" l="1"/>
  <c r="V49" i="1" l="1"/>
  <c r="V46" i="1"/>
  <c r="V43" i="1"/>
  <c r="V40" i="1"/>
  <c r="V37" i="1"/>
  <c r="V34" i="1"/>
  <c r="V31" i="1"/>
  <c r="V28" i="1"/>
  <c r="V25" i="1"/>
  <c r="V22" i="1"/>
  <c r="V19" i="1"/>
  <c r="V16" i="1"/>
  <c r="V13" i="1"/>
  <c r="V10" i="1"/>
  <c r="V7" i="1"/>
  <c r="V4" i="1"/>
  <c r="V68" i="1" l="1"/>
  <c r="U35" i="12" s="1"/>
  <c r="V66" i="1"/>
  <c r="V61" i="1"/>
  <c r="V56" i="1"/>
  <c r="V29" i="16"/>
  <c r="U28" i="10" s="1"/>
  <c r="U29" i="10" s="1"/>
  <c r="V30" i="16"/>
  <c r="U55" i="10" s="1"/>
  <c r="U56" i="10" s="1"/>
  <c r="V31" i="16"/>
  <c r="U82" i="10" s="1"/>
  <c r="U83" i="10" s="1"/>
  <c r="V32" i="16"/>
  <c r="V33" i="16"/>
  <c r="V34" i="16"/>
  <c r="V35" i="16"/>
  <c r="V36" i="16"/>
  <c r="V37" i="16"/>
  <c r="V38" i="16"/>
  <c r="U79" i="10"/>
  <c r="U80" i="10" s="1"/>
  <c r="U81" i="10" s="1"/>
  <c r="U68" i="10"/>
  <c r="U72" i="10"/>
  <c r="U73" i="10"/>
  <c r="U66" i="10"/>
  <c r="U52" i="10"/>
  <c r="U53" i="10" s="1"/>
  <c r="U54" i="10" s="1"/>
  <c r="U41" i="10"/>
  <c r="U45" i="10"/>
  <c r="U46" i="10" s="1"/>
  <c r="U39" i="10"/>
  <c r="U25" i="10"/>
  <c r="U26" i="10" s="1"/>
  <c r="U27" i="10" s="1"/>
  <c r="U14" i="10"/>
  <c r="U18" i="10"/>
  <c r="U19" i="10"/>
  <c r="U12" i="10"/>
  <c r="U69" i="12"/>
  <c r="U70" i="12"/>
  <c r="U65" i="12"/>
  <c r="U66" i="12" s="1"/>
  <c r="U57" i="12"/>
  <c r="U49" i="12"/>
  <c r="U50" i="12" s="1"/>
  <c r="U46" i="12"/>
  <c r="U47" i="12" s="1"/>
  <c r="U44" i="12"/>
  <c r="U41" i="12"/>
  <c r="U42" i="12" s="1"/>
  <c r="U43" i="12"/>
  <c r="U31" i="12"/>
  <c r="U22" i="12"/>
  <c r="U5" i="12"/>
  <c r="U21" i="12" s="1"/>
  <c r="U6" i="12"/>
  <c r="U23" i="12" s="1"/>
  <c r="V54" i="16"/>
  <c r="V55" i="16"/>
  <c r="V56" i="16"/>
  <c r="V61" i="16" s="1"/>
  <c r="V58" i="16"/>
  <c r="V59" i="16"/>
  <c r="V60" i="16"/>
  <c r="V85" i="16" s="1"/>
  <c r="V62" i="16"/>
  <c r="V63" i="16"/>
  <c r="V64" i="16"/>
  <c r="V65" i="16"/>
  <c r="V66" i="16"/>
  <c r="V57" i="16" s="1"/>
  <c r="V82" i="16" s="1"/>
  <c r="V67" i="16"/>
  <c r="V68" i="16"/>
  <c r="V69" i="16"/>
  <c r="V74" i="16"/>
  <c r="V75" i="16" s="1"/>
  <c r="V80" i="16"/>
  <c r="V39" i="16" l="1"/>
  <c r="U7" i="12"/>
  <c r="U15" i="12"/>
  <c r="U9" i="12"/>
  <c r="U58" i="12"/>
  <c r="U27" i="12"/>
  <c r="U51" i="12"/>
  <c r="U75" i="10"/>
  <c r="U76" i="10" s="1"/>
  <c r="U77" i="10" s="1"/>
  <c r="U48" i="10"/>
  <c r="U49" i="10" s="1"/>
  <c r="U50" i="10" s="1"/>
  <c r="U21" i="10"/>
  <c r="U22" i="10" s="1"/>
  <c r="U23" i="10" s="1"/>
  <c r="U59" i="12"/>
  <c r="U32" i="12"/>
  <c r="U33" i="12" s="1"/>
  <c r="V77" i="16"/>
  <c r="V79" i="16"/>
  <c r="V83" i="16"/>
  <c r="V78" i="16"/>
  <c r="V81" i="16" s="1"/>
  <c r="V70" i="16"/>
  <c r="U60" i="12" l="1"/>
  <c r="U8" i="12"/>
  <c r="U16" i="12"/>
  <c r="U12" i="12"/>
  <c r="U24" i="12"/>
  <c r="V84" i="16"/>
  <c r="V71" i="16"/>
  <c r="V76" i="16"/>
  <c r="V72" i="16"/>
  <c r="V73" i="16"/>
  <c r="U17" i="12" l="1"/>
  <c r="U25" i="12"/>
  <c r="U31" i="16"/>
  <c r="T82" i="10"/>
  <c r="T51" i="12" s="1"/>
  <c r="U49" i="1"/>
  <c r="U46" i="1"/>
  <c r="U43" i="1"/>
  <c r="U40" i="1"/>
  <c r="U37" i="1"/>
  <c r="U34" i="1"/>
  <c r="U31" i="1"/>
  <c r="U28" i="1"/>
  <c r="U25" i="1"/>
  <c r="U22" i="1"/>
  <c r="U19" i="1"/>
  <c r="U16" i="1"/>
  <c r="U13" i="1"/>
  <c r="U10" i="1"/>
  <c r="U7" i="1"/>
  <c r="U4" i="1"/>
  <c r="U29" i="16"/>
  <c r="U68" i="1" l="1"/>
  <c r="U70" i="1"/>
  <c r="U71" i="1"/>
  <c r="T35" i="12" s="1"/>
  <c r="U36" i="12" s="1"/>
  <c r="U37" i="12" s="1"/>
  <c r="U66" i="1"/>
  <c r="U61" i="1"/>
  <c r="U56" i="1"/>
  <c r="T28" i="10"/>
  <c r="U30" i="16"/>
  <c r="T55" i="10" s="1"/>
  <c r="T56" i="10" s="1"/>
  <c r="T83" i="10"/>
  <c r="U32" i="16"/>
  <c r="U33" i="16"/>
  <c r="U34" i="16"/>
  <c r="U35" i="16"/>
  <c r="U36" i="16"/>
  <c r="U37" i="16"/>
  <c r="U38" i="16"/>
  <c r="T79" i="10"/>
  <c r="T75" i="10" s="1"/>
  <c r="T76" i="10" s="1"/>
  <c r="T68" i="10"/>
  <c r="T72" i="10"/>
  <c r="T73" i="10"/>
  <c r="T66" i="10"/>
  <c r="T52" i="10"/>
  <c r="T53" i="10" s="1"/>
  <c r="T54" i="10" s="1"/>
  <c r="T41" i="10"/>
  <c r="T45" i="10"/>
  <c r="T46" i="10"/>
  <c r="T39" i="10"/>
  <c r="T25" i="10"/>
  <c r="T26" i="10" s="1"/>
  <c r="T27" i="10" s="1"/>
  <c r="T14" i="10"/>
  <c r="T18" i="10"/>
  <c r="T19" i="10"/>
  <c r="T12" i="10"/>
  <c r="T69" i="12"/>
  <c r="T70" i="12" s="1"/>
  <c r="T65" i="12"/>
  <c r="T66" i="12" s="1"/>
  <c r="T57" i="12"/>
  <c r="T59" i="12" s="1"/>
  <c r="T49" i="12"/>
  <c r="T50" i="12" s="1"/>
  <c r="T46" i="12"/>
  <c r="T47" i="12" s="1"/>
  <c r="T41" i="12"/>
  <c r="T42" i="12"/>
  <c r="T43" i="12"/>
  <c r="T44" i="12"/>
  <c r="S35" i="12"/>
  <c r="S36" i="12" s="1"/>
  <c r="S37" i="12" s="1"/>
  <c r="T31" i="12"/>
  <c r="T32" i="12" s="1"/>
  <c r="T33" i="12" s="1"/>
  <c r="T22" i="12"/>
  <c r="T5" i="12"/>
  <c r="T7" i="12" s="1"/>
  <c r="T16" i="12" s="1"/>
  <c r="T6" i="12"/>
  <c r="T23" i="12" s="1"/>
  <c r="U54" i="16"/>
  <c r="U55" i="16"/>
  <c r="U56" i="16"/>
  <c r="U58" i="16"/>
  <c r="U59" i="16"/>
  <c r="U70" i="16" s="1"/>
  <c r="U60" i="16"/>
  <c r="U61" i="16"/>
  <c r="U62" i="16"/>
  <c r="U63" i="16"/>
  <c r="U64" i="16"/>
  <c r="U65" i="16"/>
  <c r="U66" i="16"/>
  <c r="U57" i="16" s="1"/>
  <c r="U82" i="16" s="1"/>
  <c r="U67" i="16"/>
  <c r="U68" i="16"/>
  <c r="U69" i="16"/>
  <c r="U74" i="16"/>
  <c r="U75" i="16" s="1"/>
  <c r="U80" i="16"/>
  <c r="U85" i="16"/>
  <c r="U39" i="16" l="1"/>
  <c r="T24" i="12"/>
  <c r="T21" i="12"/>
  <c r="T60" i="12"/>
  <c r="T58" i="12"/>
  <c r="T15" i="12"/>
  <c r="T29" i="10"/>
  <c r="T77" i="10" s="1"/>
  <c r="T80" i="10"/>
  <c r="T81" i="10" s="1"/>
  <c r="T48" i="10"/>
  <c r="T49" i="10" s="1"/>
  <c r="T50" i="10" s="1"/>
  <c r="T21" i="10"/>
  <c r="T22" i="10" s="1"/>
  <c r="T23" i="10" s="1"/>
  <c r="T27" i="12"/>
  <c r="U28" i="12" s="1"/>
  <c r="U29" i="12" s="1"/>
  <c r="T36" i="12"/>
  <c r="T37" i="12" s="1"/>
  <c r="T8" i="12"/>
  <c r="T12" i="12"/>
  <c r="T9" i="12"/>
  <c r="U71" i="16"/>
  <c r="U84" i="16"/>
  <c r="U79" i="16"/>
  <c r="U77" i="16"/>
  <c r="U78" i="16"/>
  <c r="U81" i="16" s="1"/>
  <c r="U83" i="16"/>
  <c r="U76" i="16"/>
  <c r="T17" i="12" l="1"/>
  <c r="T25" i="12"/>
  <c r="U73" i="16"/>
  <c r="U72" i="16"/>
  <c r="S57" i="12" l="1"/>
  <c r="S59" i="12" s="1"/>
  <c r="S60" i="12" s="1"/>
  <c r="S46" i="12"/>
  <c r="S47" i="12" s="1"/>
  <c r="S69" i="12"/>
  <c r="S70" i="12" s="1"/>
  <c r="S65" i="12"/>
  <c r="S66" i="12" s="1"/>
  <c r="S51" i="12"/>
  <c r="S49" i="12"/>
  <c r="S50" i="12" s="1"/>
  <c r="S41" i="12"/>
  <c r="S42" i="12"/>
  <c r="S43" i="12"/>
  <c r="S44" i="12"/>
  <c r="S31" i="12"/>
  <c r="S32" i="12"/>
  <c r="S33" i="12" s="1"/>
  <c r="S27" i="12"/>
  <c r="S21" i="12"/>
  <c r="S22" i="12"/>
  <c r="S23" i="12"/>
  <c r="S24" i="12"/>
  <c r="S25" i="12"/>
  <c r="S15" i="12"/>
  <c r="S16" i="12"/>
  <c r="S17" i="12"/>
  <c r="S28" i="12" l="1"/>
  <c r="S29" i="12" s="1"/>
  <c r="T28" i="12"/>
  <c r="T29" i="12" s="1"/>
  <c r="S58" i="12"/>
  <c r="S5" i="12"/>
  <c r="S6" i="12"/>
  <c r="S7" i="12"/>
  <c r="S8" i="12"/>
  <c r="S9" i="12"/>
  <c r="S12" i="12"/>
  <c r="S79" i="10"/>
  <c r="S80" i="10" s="1"/>
  <c r="S81" i="10" s="1"/>
  <c r="S82" i="10"/>
  <c r="S83" i="10" s="1"/>
  <c r="S75" i="10"/>
  <c r="S76" i="10" s="1"/>
  <c r="S77" i="10" s="1"/>
  <c r="S68" i="10"/>
  <c r="S72" i="10"/>
  <c r="S73" i="10"/>
  <c r="S66" i="10"/>
  <c r="S52" i="10"/>
  <c r="S53" i="10"/>
  <c r="S54" i="10"/>
  <c r="S55" i="10"/>
  <c r="S56" i="10"/>
  <c r="S48" i="10"/>
  <c r="S49" i="10" s="1"/>
  <c r="S50" i="10" s="1"/>
  <c r="S41" i="10"/>
  <c r="S45" i="10"/>
  <c r="S46" i="10" s="1"/>
  <c r="S39" i="10"/>
  <c r="S25" i="10"/>
  <c r="S26" i="10" s="1"/>
  <c r="S27" i="10" s="1"/>
  <c r="S28" i="10"/>
  <c r="S29" i="10" s="1"/>
  <c r="S21" i="10"/>
  <c r="S22" i="10" s="1"/>
  <c r="S23" i="10" s="1"/>
  <c r="S14" i="10"/>
  <c r="S18" i="10"/>
  <c r="S19" i="10"/>
  <c r="S12" i="10"/>
  <c r="T68" i="1"/>
  <c r="T70" i="1"/>
  <c r="T71" i="1" s="1"/>
  <c r="T66" i="1"/>
  <c r="T61" i="1"/>
  <c r="T56" i="1"/>
  <c r="T49" i="1"/>
  <c r="T46" i="1"/>
  <c r="T43" i="1"/>
  <c r="T40" i="1"/>
  <c r="T37" i="1"/>
  <c r="T34" i="1"/>
  <c r="T31" i="1"/>
  <c r="T28" i="1"/>
  <c r="T25" i="1"/>
  <c r="T22" i="1"/>
  <c r="T19" i="1"/>
  <c r="T16" i="1"/>
  <c r="T13" i="1"/>
  <c r="T10" i="1"/>
  <c r="T7" i="1"/>
  <c r="T4" i="1"/>
  <c r="T29" i="16"/>
  <c r="T30" i="16"/>
  <c r="T31" i="16"/>
  <c r="T32" i="16"/>
  <c r="T39" i="16" s="1"/>
  <c r="T33" i="16"/>
  <c r="T34" i="16"/>
  <c r="T35" i="16"/>
  <c r="T36" i="16"/>
  <c r="T37" i="16"/>
  <c r="T38" i="16"/>
  <c r="T54" i="16" l="1"/>
  <c r="T55" i="16"/>
  <c r="T56" i="16"/>
  <c r="T57" i="16"/>
  <c r="T82" i="16" s="1"/>
  <c r="T58" i="16"/>
  <c r="T59" i="16"/>
  <c r="T60" i="16"/>
  <c r="T61" i="16"/>
  <c r="T62" i="16"/>
  <c r="T63" i="16"/>
  <c r="T64" i="16"/>
  <c r="T65" i="16"/>
  <c r="T66" i="16"/>
  <c r="T67" i="16"/>
  <c r="T68" i="16"/>
  <c r="T69" i="16"/>
  <c r="T70" i="16"/>
  <c r="T71" i="16" s="1"/>
  <c r="T74" i="16"/>
  <c r="T75" i="16" s="1"/>
  <c r="T80" i="16"/>
  <c r="T85" i="16"/>
  <c r="T78" i="16" l="1"/>
  <c r="T81" i="16" s="1"/>
  <c r="T83" i="16"/>
  <c r="T79" i="16"/>
  <c r="T77" i="16"/>
  <c r="T84" i="16"/>
  <c r="T76" i="16"/>
  <c r="T73" i="16" l="1"/>
  <c r="T72" i="16"/>
  <c r="S49" i="1" l="1"/>
  <c r="S46" i="1"/>
  <c r="S43" i="1"/>
  <c r="S40" i="1"/>
  <c r="S37" i="1"/>
  <c r="S34" i="1"/>
  <c r="S31" i="1"/>
  <c r="S28" i="1"/>
  <c r="S25" i="1"/>
  <c r="S22" i="1"/>
  <c r="S19" i="1"/>
  <c r="S16" i="1"/>
  <c r="S13" i="1"/>
  <c r="S10" i="1"/>
  <c r="S7" i="1"/>
  <c r="S4" i="1"/>
  <c r="S29" i="16"/>
  <c r="S30" i="16"/>
  <c r="S31" i="16"/>
  <c r="S32" i="16"/>
  <c r="S39" i="16" s="1"/>
  <c r="S33" i="16"/>
  <c r="S34" i="16"/>
  <c r="S35" i="16"/>
  <c r="S36" i="16"/>
  <c r="S37" i="16"/>
  <c r="S38" i="16"/>
  <c r="R79" i="10" l="1"/>
  <c r="R80" i="10"/>
  <c r="R81" i="10"/>
  <c r="R82" i="10"/>
  <c r="R51" i="12" s="1"/>
  <c r="R83" i="10"/>
  <c r="R75" i="10"/>
  <c r="R76" i="10" s="1"/>
  <c r="R68" i="10"/>
  <c r="R72" i="10"/>
  <c r="R73" i="10"/>
  <c r="R66" i="10"/>
  <c r="R52" i="10"/>
  <c r="R53" i="10"/>
  <c r="R54" i="10"/>
  <c r="R55" i="10"/>
  <c r="R56" i="10" s="1"/>
  <c r="R48" i="10"/>
  <c r="R49" i="10" s="1"/>
  <c r="R50" i="10" s="1"/>
  <c r="R41" i="10"/>
  <c r="R45" i="10"/>
  <c r="R46" i="10"/>
  <c r="R39" i="10"/>
  <c r="R25" i="10"/>
  <c r="R26" i="10"/>
  <c r="R27" i="10" s="1"/>
  <c r="R28" i="10"/>
  <c r="R29" i="10" s="1"/>
  <c r="R21" i="10"/>
  <c r="R22" i="10"/>
  <c r="R23" i="10"/>
  <c r="R14" i="10"/>
  <c r="R18" i="10"/>
  <c r="R19" i="10"/>
  <c r="R12" i="10"/>
  <c r="R65" i="12"/>
  <c r="R66" i="12"/>
  <c r="R69" i="12"/>
  <c r="R70" i="12"/>
  <c r="R57" i="12"/>
  <c r="R59" i="12" s="1"/>
  <c r="R49" i="12"/>
  <c r="R50" i="12" s="1"/>
  <c r="R46" i="12"/>
  <c r="R47" i="12" s="1"/>
  <c r="R41" i="12"/>
  <c r="R42" i="12" s="1"/>
  <c r="R43" i="12"/>
  <c r="R44" i="12"/>
  <c r="R31" i="12"/>
  <c r="R32" i="12" s="1"/>
  <c r="R33" i="12" s="1"/>
  <c r="R22" i="12"/>
  <c r="R5" i="12"/>
  <c r="R9" i="12" s="1"/>
  <c r="R6" i="12"/>
  <c r="R23" i="12" s="1"/>
  <c r="R77" i="10" l="1"/>
  <c r="R21" i="12"/>
  <c r="R7" i="12"/>
  <c r="R24" i="12" s="1"/>
  <c r="R15" i="12"/>
  <c r="R58" i="12"/>
  <c r="R12" i="12" l="1"/>
  <c r="R16" i="12"/>
  <c r="R60" i="12"/>
  <c r="R8" i="12"/>
  <c r="R17" i="12" l="1"/>
  <c r="R25" i="12"/>
  <c r="S68" i="1" l="1"/>
  <c r="S70" i="1"/>
  <c r="S71" i="1"/>
  <c r="R35" i="12" s="1"/>
  <c r="S66" i="1"/>
  <c r="S61" i="1"/>
  <c r="S56" i="1"/>
  <c r="S54" i="16"/>
  <c r="S55" i="16"/>
  <c r="S56" i="16"/>
  <c r="S58" i="16"/>
  <c r="S59" i="16"/>
  <c r="S70" i="16" s="1"/>
  <c r="S60" i="16"/>
  <c r="S80" i="16" s="1"/>
  <c r="S61" i="16"/>
  <c r="S62" i="16"/>
  <c r="S63" i="16"/>
  <c r="S64" i="16"/>
  <c r="S65" i="16"/>
  <c r="S66" i="16"/>
  <c r="S67" i="16"/>
  <c r="S68" i="16"/>
  <c r="S69" i="16"/>
  <c r="S74" i="16"/>
  <c r="S75" i="16"/>
  <c r="S85" i="16"/>
  <c r="R27" i="12" l="1"/>
  <c r="R28" i="12" s="1"/>
  <c r="R29" i="12" s="1"/>
  <c r="R36" i="12"/>
  <c r="R37" i="12" s="1"/>
  <c r="S71" i="16"/>
  <c r="S57" i="16"/>
  <c r="S82" i="16" s="1"/>
  <c r="S78" i="16" l="1"/>
  <c r="S72" i="16"/>
  <c r="S83" i="16"/>
  <c r="S84" i="16"/>
  <c r="S79" i="16" l="1"/>
  <c r="S77" i="16" s="1"/>
  <c r="S81" i="16"/>
  <c r="S76" i="16"/>
  <c r="S73" i="16" l="1"/>
  <c r="R49" i="1" l="1"/>
  <c r="R46" i="1"/>
  <c r="R43" i="1"/>
  <c r="R40" i="1"/>
  <c r="R37" i="1"/>
  <c r="R34" i="1"/>
  <c r="R31" i="1"/>
  <c r="R28" i="1"/>
  <c r="R25" i="1"/>
  <c r="R22" i="1"/>
  <c r="R19" i="1"/>
  <c r="R16" i="1"/>
  <c r="R13" i="1"/>
  <c r="R10" i="1"/>
  <c r="R7" i="1"/>
  <c r="R4" i="1"/>
  <c r="R29" i="16"/>
  <c r="R30" i="16"/>
  <c r="R31" i="16"/>
  <c r="R32" i="16"/>
  <c r="R39" i="16" s="1"/>
  <c r="R33" i="16"/>
  <c r="R34" i="16"/>
  <c r="R35" i="16"/>
  <c r="R36" i="16"/>
  <c r="R37" i="16"/>
  <c r="R38" i="16"/>
  <c r="Q79" i="10" l="1"/>
  <c r="Q80" i="10"/>
  <c r="Q81" i="10"/>
  <c r="Q82" i="10"/>
  <c r="Q51" i="12" s="1"/>
  <c r="Q75" i="10"/>
  <c r="Q76" i="10" s="1"/>
  <c r="Q68" i="10"/>
  <c r="Q72" i="10"/>
  <c r="Q73" i="10" s="1"/>
  <c r="Q66" i="10"/>
  <c r="Q52" i="10"/>
  <c r="Q53" i="10"/>
  <c r="Q54" i="10"/>
  <c r="Q55" i="10"/>
  <c r="Q56" i="10" s="1"/>
  <c r="Q48" i="10"/>
  <c r="Q49" i="10" s="1"/>
  <c r="Q50" i="10" s="1"/>
  <c r="Q41" i="10"/>
  <c r="Q45" i="10"/>
  <c r="Q46" i="10"/>
  <c r="Q39" i="10"/>
  <c r="Q25" i="10"/>
  <c r="Q21" i="10" s="1"/>
  <c r="Q22" i="10" s="1"/>
  <c r="Q23" i="10" s="1"/>
  <c r="Q26" i="10"/>
  <c r="Q27" i="10"/>
  <c r="Q28" i="10"/>
  <c r="Q29" i="10" s="1"/>
  <c r="Q14" i="10"/>
  <c r="Q18" i="10"/>
  <c r="Q19" i="10" s="1"/>
  <c r="Q12" i="10"/>
  <c r="Q69" i="12"/>
  <c r="Q70" i="12" s="1"/>
  <c r="Q65" i="12"/>
  <c r="Q66" i="12" s="1"/>
  <c r="Q57" i="12"/>
  <c r="Q59" i="12" s="1"/>
  <c r="Q49" i="12"/>
  <c r="Q50" i="12" s="1"/>
  <c r="Q46" i="12"/>
  <c r="Q47" i="12" s="1"/>
  <c r="Q41" i="12"/>
  <c r="Q42" i="12" s="1"/>
  <c r="Q43" i="12"/>
  <c r="Q44" i="12"/>
  <c r="Q35" i="12"/>
  <c r="Q36" i="12"/>
  <c r="Q37" i="12" s="1"/>
  <c r="Q31" i="12"/>
  <c r="Q27" i="12" s="1"/>
  <c r="Q28" i="12" s="1"/>
  <c r="Q29" i="12" s="1"/>
  <c r="Q22" i="12"/>
  <c r="Q5" i="12"/>
  <c r="Q15" i="12" s="1"/>
  <c r="Q6" i="12"/>
  <c r="Q23" i="12" s="1"/>
  <c r="R68" i="1"/>
  <c r="R70" i="1"/>
  <c r="R71" i="1"/>
  <c r="R66" i="1"/>
  <c r="R61" i="1"/>
  <c r="R56" i="1"/>
  <c r="R82" i="16"/>
  <c r="R54" i="16"/>
  <c r="R55" i="16"/>
  <c r="R56" i="16"/>
  <c r="R61" i="16" s="1"/>
  <c r="R57" i="16"/>
  <c r="R58" i="16"/>
  <c r="R59" i="16"/>
  <c r="R60" i="16"/>
  <c r="R62" i="16"/>
  <c r="R63" i="16"/>
  <c r="R64" i="16"/>
  <c r="R65" i="16"/>
  <c r="R66" i="16"/>
  <c r="R67" i="16"/>
  <c r="R68" i="16"/>
  <c r="R69" i="16"/>
  <c r="R70" i="16"/>
  <c r="R84" i="16" s="1"/>
  <c r="R71" i="16"/>
  <c r="R74" i="16"/>
  <c r="R75" i="16" s="1"/>
  <c r="R85" i="16"/>
  <c r="Q77" i="10" l="1"/>
  <c r="Q7" i="12"/>
  <c r="Q8" i="12" s="1"/>
  <c r="Q17" i="12" s="1"/>
  <c r="Q24" i="12"/>
  <c r="Q21" i="12"/>
  <c r="Q9" i="12"/>
  <c r="Q60" i="12"/>
  <c r="Q16" i="12"/>
  <c r="Q25" i="12"/>
  <c r="Q83" i="10"/>
  <c r="Q58" i="12"/>
  <c r="Q32" i="12"/>
  <c r="Q33" i="12" s="1"/>
  <c r="Q12" i="12"/>
  <c r="R78" i="16"/>
  <c r="R76" i="16" s="1"/>
  <c r="R83" i="16"/>
  <c r="R72" i="16"/>
  <c r="R81" i="16"/>
  <c r="R80" i="16"/>
  <c r="R73" i="16" l="1"/>
  <c r="R79" i="16"/>
  <c r="R77" i="16" s="1"/>
  <c r="P69" i="12"/>
  <c r="P70" i="12" s="1"/>
  <c r="P65" i="12"/>
  <c r="P66" i="12" s="1"/>
  <c r="P57" i="12"/>
  <c r="P58" i="12" s="1"/>
  <c r="P51" i="12"/>
  <c r="P49" i="12"/>
  <c r="P50" i="12" s="1"/>
  <c r="P46" i="12"/>
  <c r="P47" i="12" s="1"/>
  <c r="P41" i="12"/>
  <c r="P42" i="12" s="1"/>
  <c r="P43" i="12"/>
  <c r="P44" i="12" s="1"/>
  <c r="P35" i="12"/>
  <c r="P36" i="12"/>
  <c r="P37" i="12" s="1"/>
  <c r="P31" i="12"/>
  <c r="P21" i="12"/>
  <c r="P22" i="12"/>
  <c r="P24" i="12" s="1"/>
  <c r="P23" i="12"/>
  <c r="P25" i="12"/>
  <c r="P15" i="12"/>
  <c r="P16" i="12"/>
  <c r="P17" i="12"/>
  <c r="P5" i="12"/>
  <c r="P7" i="12" s="1"/>
  <c r="P6" i="12"/>
  <c r="P79" i="10"/>
  <c r="P80" i="10"/>
  <c r="P81" i="10" s="1"/>
  <c r="P82" i="10"/>
  <c r="P83" i="10" s="1"/>
  <c r="P75" i="10"/>
  <c r="P76" i="10" s="1"/>
  <c r="P77" i="10" s="1"/>
  <c r="P68" i="10"/>
  <c r="P72" i="10"/>
  <c r="P73" i="10"/>
  <c r="P66" i="10"/>
  <c r="P52" i="10"/>
  <c r="P53" i="10"/>
  <c r="P54" i="10" s="1"/>
  <c r="P55" i="10"/>
  <c r="P56" i="10" s="1"/>
  <c r="P48" i="10"/>
  <c r="P49" i="10" s="1"/>
  <c r="P50" i="10" s="1"/>
  <c r="P41" i="10"/>
  <c r="P45" i="10"/>
  <c r="P46" i="10" s="1"/>
  <c r="P39" i="10"/>
  <c r="P25" i="10"/>
  <c r="P26" i="10" s="1"/>
  <c r="P27" i="10" s="1"/>
  <c r="P28" i="10"/>
  <c r="P29" i="10" s="1"/>
  <c r="P21" i="10"/>
  <c r="P22" i="10" s="1"/>
  <c r="P23" i="10" s="1"/>
  <c r="P14" i="10"/>
  <c r="P18" i="10"/>
  <c r="P19" i="10"/>
  <c r="P12" i="10"/>
  <c r="Q68" i="1"/>
  <c r="Q71" i="1" s="1"/>
  <c r="Q70" i="1"/>
  <c r="Q66" i="1"/>
  <c r="Q61" i="1"/>
  <c r="Q56" i="1"/>
  <c r="Q49" i="1"/>
  <c r="Q46" i="1"/>
  <c r="Q43" i="1"/>
  <c r="Q40" i="1"/>
  <c r="Q37" i="1"/>
  <c r="Q34" i="1"/>
  <c r="Q31" i="1"/>
  <c r="Q28" i="1"/>
  <c r="Q25" i="1"/>
  <c r="Q22" i="1"/>
  <c r="Q19" i="1"/>
  <c r="Q16" i="1"/>
  <c r="Q13" i="1"/>
  <c r="Q10" i="1"/>
  <c r="Q7" i="1"/>
  <c r="Q4" i="1"/>
  <c r="Q29" i="16"/>
  <c r="Q30" i="16"/>
  <c r="Q31" i="16"/>
  <c r="Q32" i="16"/>
  <c r="Q39" i="16" s="1"/>
  <c r="Q33" i="16"/>
  <c r="Q34" i="16"/>
  <c r="Q35" i="16"/>
  <c r="Q36" i="16"/>
  <c r="Q37" i="16"/>
  <c r="Q38" i="16"/>
  <c r="P59" i="12" l="1"/>
  <c r="P60" i="12" s="1"/>
  <c r="P27" i="12"/>
  <c r="P28" i="12" s="1"/>
  <c r="P29" i="12" s="1"/>
  <c r="P32" i="12"/>
  <c r="P33" i="12" s="1"/>
  <c r="P8" i="12"/>
  <c r="P12" i="12"/>
  <c r="P9" i="12"/>
  <c r="Q82" i="16" l="1"/>
  <c r="Q54" i="16"/>
  <c r="Q55" i="16"/>
  <c r="Q56" i="16"/>
  <c r="Q58" i="16"/>
  <c r="Q59" i="16"/>
  <c r="Q70" i="16" s="1"/>
  <c r="Q60" i="16"/>
  <c r="Q61" i="16"/>
  <c r="Q62" i="16"/>
  <c r="Q63" i="16"/>
  <c r="Q74" i="16" s="1"/>
  <c r="Q64" i="16"/>
  <c r="Q65" i="16"/>
  <c r="Q66" i="16"/>
  <c r="Q67" i="16"/>
  <c r="Q68" i="16"/>
  <c r="Q85" i="16" s="1"/>
  <c r="Q69" i="16"/>
  <c r="Q80" i="16"/>
  <c r="Q71" i="16" l="1"/>
  <c r="Q75" i="16"/>
  <c r="Q57" i="16"/>
  <c r="Q78" i="16" l="1"/>
  <c r="Q83" i="16"/>
  <c r="Q79" i="16"/>
  <c r="Q77" i="16" s="1"/>
  <c r="Q84" i="16"/>
  <c r="O69" i="12"/>
  <c r="O70" i="12" s="1"/>
  <c r="O65" i="12"/>
  <c r="O66" i="12" s="1"/>
  <c r="O57" i="12"/>
  <c r="O58" i="12" s="1"/>
  <c r="O51" i="12"/>
  <c r="O49" i="12"/>
  <c r="O50" i="12" s="1"/>
  <c r="O46" i="12"/>
  <c r="O47" i="12" s="1"/>
  <c r="O41" i="12"/>
  <c r="O42" i="12" s="1"/>
  <c r="O43" i="12"/>
  <c r="O44" i="12"/>
  <c r="O35" i="12"/>
  <c r="O36" i="12"/>
  <c r="O37" i="12" s="1"/>
  <c r="O31" i="12"/>
  <c r="O27" i="12" s="1"/>
  <c r="O28" i="12" s="1"/>
  <c r="O29" i="12" s="1"/>
  <c r="O21" i="12"/>
  <c r="O22" i="12"/>
  <c r="O25" i="12" s="1"/>
  <c r="O23" i="12"/>
  <c r="O24" i="12"/>
  <c r="O15" i="12"/>
  <c r="O16" i="12"/>
  <c r="O17" i="12"/>
  <c r="O5" i="12"/>
  <c r="O7" i="12" s="1"/>
  <c r="O6" i="12"/>
  <c r="O79" i="10"/>
  <c r="O80" i="10"/>
  <c r="O81" i="10" s="1"/>
  <c r="O82" i="10"/>
  <c r="O83" i="10" s="1"/>
  <c r="O75" i="10"/>
  <c r="O76" i="10" s="1"/>
  <c r="O77" i="10" s="1"/>
  <c r="O68" i="10"/>
  <c r="O72" i="10"/>
  <c r="O73" i="10" s="1"/>
  <c r="O66" i="10"/>
  <c r="O52" i="10"/>
  <c r="O53" i="10"/>
  <c r="O54" i="10" s="1"/>
  <c r="O55" i="10"/>
  <c r="O56" i="10" s="1"/>
  <c r="O48" i="10"/>
  <c r="O49" i="10" s="1"/>
  <c r="O50" i="10" s="1"/>
  <c r="O41" i="10"/>
  <c r="O45" i="10"/>
  <c r="O46" i="10" s="1"/>
  <c r="O39" i="10"/>
  <c r="O25" i="10"/>
  <c r="O26" i="10"/>
  <c r="O27" i="10" s="1"/>
  <c r="O28" i="10"/>
  <c r="O29" i="10" s="1"/>
  <c r="O21" i="10"/>
  <c r="O22" i="10" s="1"/>
  <c r="O23" i="10" s="1"/>
  <c r="O14" i="10"/>
  <c r="O18" i="10"/>
  <c r="O19" i="10" s="1"/>
  <c r="O12" i="10"/>
  <c r="O28" i="16"/>
  <c r="P38" i="16" s="1"/>
  <c r="P29" i="16"/>
  <c r="P30" i="16"/>
  <c r="P31" i="16"/>
  <c r="P32" i="16"/>
  <c r="P33" i="16"/>
  <c r="P34" i="16"/>
  <c r="P35" i="16"/>
  <c r="P36" i="16"/>
  <c r="P37" i="16"/>
  <c r="P68" i="1"/>
  <c r="P71" i="1" s="1"/>
  <c r="P70" i="1"/>
  <c r="P66" i="1"/>
  <c r="P61" i="1"/>
  <c r="P56" i="1"/>
  <c r="P49" i="1"/>
  <c r="P46" i="1"/>
  <c r="P43" i="1"/>
  <c r="P40" i="1"/>
  <c r="P37" i="1"/>
  <c r="P34" i="1"/>
  <c r="P31" i="1"/>
  <c r="P28" i="1"/>
  <c r="P25" i="1"/>
  <c r="P22" i="1"/>
  <c r="P19" i="1"/>
  <c r="P16" i="1"/>
  <c r="P13" i="1"/>
  <c r="P10" i="1"/>
  <c r="P7" i="1"/>
  <c r="P4" i="1"/>
  <c r="Q73" i="16" l="1"/>
  <c r="Q81" i="16"/>
  <c r="Q76" i="16"/>
  <c r="Q72" i="16"/>
  <c r="O59" i="12"/>
  <c r="O60" i="12" s="1"/>
  <c r="O32" i="12"/>
  <c r="O33" i="12" s="1"/>
  <c r="O8" i="12"/>
  <c r="O12" i="12"/>
  <c r="O9" i="12"/>
  <c r="P39" i="16"/>
  <c r="P54" i="16" l="1"/>
  <c r="P55" i="16"/>
  <c r="P56" i="16"/>
  <c r="P58" i="16"/>
  <c r="P59" i="16"/>
  <c r="P57" i="16" s="1"/>
  <c r="P60" i="16"/>
  <c r="P80" i="16" s="1"/>
  <c r="P61" i="16"/>
  <c r="P62" i="16"/>
  <c r="P63" i="16"/>
  <c r="P64" i="16"/>
  <c r="P65" i="16"/>
  <c r="P66" i="16"/>
  <c r="P67" i="16"/>
  <c r="P82" i="16" s="1"/>
  <c r="P68" i="16"/>
  <c r="P69" i="16"/>
  <c r="P70" i="16"/>
  <c r="P71" i="16" s="1"/>
  <c r="P74" i="16"/>
  <c r="P75" i="16"/>
  <c r="P85" i="16"/>
  <c r="P83" i="16" l="1"/>
  <c r="P79" i="16" s="1"/>
  <c r="P77" i="16" s="1"/>
  <c r="P78" i="16"/>
  <c r="P84" i="16"/>
  <c r="P81" i="16" l="1"/>
  <c r="P76" i="16"/>
  <c r="P72" i="16"/>
  <c r="P73" i="16"/>
  <c r="O49" i="1" l="1"/>
  <c r="O46" i="1"/>
  <c r="O43" i="1"/>
  <c r="O40" i="1"/>
  <c r="O37" i="1"/>
  <c r="O34" i="1"/>
  <c r="O31" i="1"/>
  <c r="O28" i="1"/>
  <c r="O25" i="1"/>
  <c r="O22" i="1"/>
  <c r="O19" i="1"/>
  <c r="O16" i="1"/>
  <c r="O13" i="1"/>
  <c r="O10" i="1"/>
  <c r="O7" i="1"/>
  <c r="O4" i="1"/>
  <c r="O68" i="1" l="1"/>
  <c r="O71" i="1" s="1"/>
  <c r="N35" i="12" s="1"/>
  <c r="O70" i="1"/>
  <c r="O66" i="1"/>
  <c r="O61" i="1"/>
  <c r="N48" i="10" s="1"/>
  <c r="N49" i="10" s="1"/>
  <c r="N50" i="10" s="1"/>
  <c r="O56" i="1"/>
  <c r="N21" i="10" s="1"/>
  <c r="N22" i="10" s="1"/>
  <c r="N23" i="10" s="1"/>
  <c r="O29" i="16"/>
  <c r="N28" i="10" s="1"/>
  <c r="N29" i="10" s="1"/>
  <c r="O30" i="16"/>
  <c r="N55" i="10" s="1"/>
  <c r="N56" i="10" s="1"/>
  <c r="O31" i="16"/>
  <c r="N82" i="10" s="1"/>
  <c r="N83" i="10" s="1"/>
  <c r="O32" i="16"/>
  <c r="O33" i="16"/>
  <c r="O34" i="16"/>
  <c r="O35" i="16"/>
  <c r="O36" i="16"/>
  <c r="O37" i="16"/>
  <c r="O38" i="16"/>
  <c r="N79" i="10"/>
  <c r="N80" i="10" s="1"/>
  <c r="N81" i="10" s="1"/>
  <c r="N68" i="10"/>
  <c r="N72" i="10"/>
  <c r="N73" i="10"/>
  <c r="N66" i="10"/>
  <c r="N52" i="10"/>
  <c r="N53" i="10"/>
  <c r="N54" i="10" s="1"/>
  <c r="N41" i="10"/>
  <c r="N45" i="10"/>
  <c r="N46" i="10"/>
  <c r="N39" i="10"/>
  <c r="N25" i="10"/>
  <c r="N26" i="10" s="1"/>
  <c r="N27" i="10" s="1"/>
  <c r="N14" i="10"/>
  <c r="N18" i="10"/>
  <c r="N19" i="10"/>
  <c r="N12" i="10"/>
  <c r="N69" i="12"/>
  <c r="N70" i="12" s="1"/>
  <c r="N65" i="12"/>
  <c r="N66" i="12" s="1"/>
  <c r="N57" i="12"/>
  <c r="N59" i="12" s="1"/>
  <c r="N49" i="12"/>
  <c r="N50" i="12" s="1"/>
  <c r="N46" i="12"/>
  <c r="N47" i="12" s="1"/>
  <c r="N41" i="12"/>
  <c r="N42" i="12" s="1"/>
  <c r="N43" i="12"/>
  <c r="N44" i="12" s="1"/>
  <c r="N31" i="12"/>
  <c r="N32" i="12"/>
  <c r="N33" i="12" s="1"/>
  <c r="N22" i="12"/>
  <c r="N5" i="12"/>
  <c r="N7" i="12" s="1"/>
  <c r="N24" i="12" s="1"/>
  <c r="N6" i="12"/>
  <c r="N23" i="12" s="1"/>
  <c r="O54" i="16"/>
  <c r="O55" i="16"/>
  <c r="O56" i="16"/>
  <c r="O61" i="16" s="1"/>
  <c r="O58" i="16"/>
  <c r="O59" i="16"/>
  <c r="O70" i="16" s="1"/>
  <c r="O60" i="16"/>
  <c r="O62" i="16"/>
  <c r="O63" i="16"/>
  <c r="O64" i="16"/>
  <c r="O65" i="16"/>
  <c r="O66" i="16"/>
  <c r="O67" i="16"/>
  <c r="O68" i="16"/>
  <c r="O69" i="16"/>
  <c r="O74" i="16"/>
  <c r="O75" i="16"/>
  <c r="O80" i="16"/>
  <c r="O85" i="16"/>
  <c r="O39" i="16" l="1"/>
  <c r="N16" i="12"/>
  <c r="N21" i="12"/>
  <c r="N15" i="12"/>
  <c r="N60" i="12"/>
  <c r="N58" i="12"/>
  <c r="N75" i="10"/>
  <c r="N76" i="10" s="1"/>
  <c r="N77" i="10" s="1"/>
  <c r="N51" i="12"/>
  <c r="N27" i="12"/>
  <c r="N12" i="12"/>
  <c r="N8" i="12"/>
  <c r="N9" i="12"/>
  <c r="O71" i="16"/>
  <c r="O57" i="16"/>
  <c r="O82" i="16" s="1"/>
  <c r="N25" i="12" l="1"/>
  <c r="N17" i="12"/>
  <c r="O78" i="16"/>
  <c r="O72" i="16" s="1"/>
  <c r="O83" i="16"/>
  <c r="O84" i="16"/>
  <c r="O79" i="16" l="1"/>
  <c r="O77" i="16" s="1"/>
  <c r="O81" i="16"/>
  <c r="O76" i="16"/>
  <c r="O73" i="16" l="1"/>
  <c r="N30" i="16" l="1"/>
  <c r="M55" i="10"/>
  <c r="N29" i="16"/>
  <c r="M28" i="10" s="1"/>
  <c r="N49" i="1"/>
  <c r="N46" i="1"/>
  <c r="N43" i="1"/>
  <c r="N40" i="1"/>
  <c r="N37" i="1"/>
  <c r="N34" i="1"/>
  <c r="N31" i="1"/>
  <c r="N28" i="1"/>
  <c r="N25" i="1"/>
  <c r="N22" i="1"/>
  <c r="N19" i="1"/>
  <c r="N16" i="1"/>
  <c r="N13" i="1"/>
  <c r="N10" i="1"/>
  <c r="N7" i="1"/>
  <c r="N4" i="1"/>
  <c r="M51" i="12" l="1"/>
  <c r="N68" i="1" l="1"/>
  <c r="N71" i="1" s="1"/>
  <c r="M35" i="12" s="1"/>
  <c r="N70" i="1"/>
  <c r="N66" i="1"/>
  <c r="N61" i="1"/>
  <c r="N56" i="1"/>
  <c r="M56" i="10"/>
  <c r="N31" i="16"/>
  <c r="M82" i="10" s="1"/>
  <c r="M83" i="10" s="1"/>
  <c r="N32" i="16"/>
  <c r="N33" i="16"/>
  <c r="N34" i="16"/>
  <c r="N35" i="16"/>
  <c r="N36" i="16"/>
  <c r="N37" i="16"/>
  <c r="N38" i="16"/>
  <c r="M79" i="10"/>
  <c r="M80" i="10" s="1"/>
  <c r="M81" i="10" s="1"/>
  <c r="M68" i="10"/>
  <c r="M72" i="10"/>
  <c r="M73" i="10"/>
  <c r="M66" i="10"/>
  <c r="M52" i="10"/>
  <c r="M53" i="10" s="1"/>
  <c r="M54" i="10" s="1"/>
  <c r="M41" i="10"/>
  <c r="M45" i="10"/>
  <c r="M46" i="10" s="1"/>
  <c r="M39" i="10"/>
  <c r="M25" i="10"/>
  <c r="M26" i="10" s="1"/>
  <c r="M27" i="10" s="1"/>
  <c r="M14" i="10"/>
  <c r="M18" i="10"/>
  <c r="M19" i="10" s="1"/>
  <c r="M12" i="10"/>
  <c r="M69" i="12"/>
  <c r="M70" i="12" s="1"/>
  <c r="M65" i="12"/>
  <c r="M66" i="12" s="1"/>
  <c r="M57" i="12"/>
  <c r="M59" i="12" s="1"/>
  <c r="M49" i="12"/>
  <c r="M50" i="12"/>
  <c r="M46" i="12"/>
  <c r="M47" i="12"/>
  <c r="M41" i="12"/>
  <c r="M42" i="12" s="1"/>
  <c r="M43" i="12"/>
  <c r="M44" i="12"/>
  <c r="M31" i="12"/>
  <c r="M22" i="12"/>
  <c r="M5" i="12"/>
  <c r="M7" i="12" s="1"/>
  <c r="M16" i="12" s="1"/>
  <c r="M6" i="12"/>
  <c r="M23" i="12" s="1"/>
  <c r="N54" i="16"/>
  <c r="N55" i="16"/>
  <c r="N56" i="16"/>
  <c r="N58" i="16"/>
  <c r="N59" i="16"/>
  <c r="N70" i="16" s="1"/>
  <c r="N60" i="16"/>
  <c r="N80" i="16" s="1"/>
  <c r="N61" i="16"/>
  <c r="N62" i="16"/>
  <c r="N63" i="16"/>
  <c r="N64" i="16"/>
  <c r="N65" i="16"/>
  <c r="N66" i="16"/>
  <c r="N74" i="16" s="1"/>
  <c r="N67" i="16"/>
  <c r="N68" i="16"/>
  <c r="N69" i="16"/>
  <c r="N85" i="16"/>
  <c r="M36" i="12" l="1"/>
  <c r="M37" i="12" s="1"/>
  <c r="N36" i="12"/>
  <c r="N37" i="12" s="1"/>
  <c r="N39" i="16"/>
  <c r="M60" i="12"/>
  <c r="M58" i="12"/>
  <c r="M24" i="12"/>
  <c r="M15" i="12"/>
  <c r="M21" i="12"/>
  <c r="M29" i="10"/>
  <c r="M75" i="10"/>
  <c r="M76" i="10" s="1"/>
  <c r="M48" i="10"/>
  <c r="M49" i="10" s="1"/>
  <c r="M50" i="10" s="1"/>
  <c r="M21" i="10"/>
  <c r="M22" i="10" s="1"/>
  <c r="M23" i="10" s="1"/>
  <c r="M27" i="12"/>
  <c r="M32" i="12"/>
  <c r="M33" i="12" s="1"/>
  <c r="M8" i="12"/>
  <c r="M12" i="12"/>
  <c r="M9" i="12"/>
  <c r="N71" i="16"/>
  <c r="N75" i="16"/>
  <c r="N57" i="16"/>
  <c r="N82" i="16" s="1"/>
  <c r="L69" i="12"/>
  <c r="L70" i="12" s="1"/>
  <c r="L65" i="12"/>
  <c r="L66" i="12" s="1"/>
  <c r="L51" i="12"/>
  <c r="L49" i="12"/>
  <c r="L50" i="12" s="1"/>
  <c r="L46" i="12"/>
  <c r="L47" i="12" s="1"/>
  <c r="L41" i="12"/>
  <c r="L42" i="12" s="1"/>
  <c r="L43" i="12"/>
  <c r="L44" i="12" s="1"/>
  <c r="L31" i="12"/>
  <c r="L32" i="12" s="1"/>
  <c r="L33" i="12" s="1"/>
  <c r="L21" i="12"/>
  <c r="L22" i="12"/>
  <c r="L25" i="12" s="1"/>
  <c r="L23" i="12"/>
  <c r="L15" i="12"/>
  <c r="L16" i="12"/>
  <c r="L17" i="12"/>
  <c r="M28" i="12" l="1"/>
  <c r="M29" i="12" s="1"/>
  <c r="N28" i="12"/>
  <c r="N29" i="12" s="1"/>
  <c r="M17" i="12"/>
  <c r="M25" i="12"/>
  <c r="M77" i="10"/>
  <c r="N78" i="16"/>
  <c r="N72" i="16"/>
  <c r="N83" i="16"/>
  <c r="L57" i="12"/>
  <c r="N84" i="16"/>
  <c r="N79" i="16"/>
  <c r="N77" i="16" s="1"/>
  <c r="L27" i="12"/>
  <c r="L28" i="12" s="1"/>
  <c r="L29" i="12" s="1"/>
  <c r="L24" i="12"/>
  <c r="L5" i="12"/>
  <c r="L6" i="12"/>
  <c r="L7" i="12"/>
  <c r="L8" i="12"/>
  <c r="L9" i="12"/>
  <c r="L12" i="12"/>
  <c r="L79" i="10"/>
  <c r="L80" i="10" s="1"/>
  <c r="L81" i="10" s="1"/>
  <c r="L82" i="10"/>
  <c r="L83" i="10" s="1"/>
  <c r="L68" i="10"/>
  <c r="L72" i="10"/>
  <c r="L73" i="10" s="1"/>
  <c r="L66" i="10"/>
  <c r="L52" i="10"/>
  <c r="L53" i="10" s="1"/>
  <c r="L54" i="10" s="1"/>
  <c r="L55" i="10"/>
  <c r="L56" i="10" s="1"/>
  <c r="L41" i="10"/>
  <c r="L45" i="10"/>
  <c r="L46" i="10" s="1"/>
  <c r="L39" i="10"/>
  <c r="L25" i="10"/>
  <c r="L26" i="10" s="1"/>
  <c r="L27" i="10" s="1"/>
  <c r="L28" i="10"/>
  <c r="L29" i="10" s="1"/>
  <c r="L21" i="10"/>
  <c r="L22" i="10" s="1"/>
  <c r="L23" i="10" s="1"/>
  <c r="L14" i="10"/>
  <c r="L18" i="10"/>
  <c r="L19" i="10"/>
  <c r="L12" i="10"/>
  <c r="M68" i="1"/>
  <c r="M71" i="1" s="1"/>
  <c r="L35" i="12" s="1"/>
  <c r="L36" i="12" s="1"/>
  <c r="L37" i="12" s="1"/>
  <c r="M70" i="1"/>
  <c r="M66" i="1"/>
  <c r="M61" i="1"/>
  <c r="M56" i="1"/>
  <c r="M49" i="1"/>
  <c r="M46" i="1"/>
  <c r="M43" i="1"/>
  <c r="M40" i="1"/>
  <c r="M37" i="1"/>
  <c r="M34" i="1"/>
  <c r="M31" i="1"/>
  <c r="M28" i="1"/>
  <c r="M25" i="1"/>
  <c r="M22" i="1"/>
  <c r="M19" i="1"/>
  <c r="M16" i="1"/>
  <c r="M13" i="1"/>
  <c r="M10" i="1"/>
  <c r="M7" i="1"/>
  <c r="M4" i="1"/>
  <c r="M29" i="16"/>
  <c r="M30" i="16"/>
  <c r="M31" i="16"/>
  <c r="M32" i="16"/>
  <c r="M33" i="16"/>
  <c r="M34" i="16"/>
  <c r="M35" i="16"/>
  <c r="M36" i="16"/>
  <c r="M37" i="16"/>
  <c r="M38" i="16"/>
  <c r="M39" i="16"/>
  <c r="L58" i="12" l="1"/>
  <c r="L59" i="12"/>
  <c r="L60" i="12" s="1"/>
  <c r="N73" i="16"/>
  <c r="N81" i="16"/>
  <c r="N76" i="16"/>
  <c r="L75" i="10"/>
  <c r="L76" i="10" s="1"/>
  <c r="L77" i="10" s="1"/>
  <c r="L48" i="10"/>
  <c r="L49" i="10" s="1"/>
  <c r="L50" i="10" s="1"/>
  <c r="M84" i="16" l="1"/>
  <c r="M82" i="16" l="1"/>
  <c r="M54" i="16"/>
  <c r="M55" i="16"/>
  <c r="M80" i="16" s="1"/>
  <c r="M56" i="16"/>
  <c r="M58" i="16"/>
  <c r="M59" i="16"/>
  <c r="M60" i="16"/>
  <c r="M62" i="16"/>
  <c r="M63" i="16"/>
  <c r="M74" i="16" s="1"/>
  <c r="M64" i="16"/>
  <c r="M65" i="16"/>
  <c r="M66" i="16"/>
  <c r="M57" i="16" s="1"/>
  <c r="M67" i="16"/>
  <c r="M68" i="16"/>
  <c r="M69" i="16"/>
  <c r="M70" i="16"/>
  <c r="M71" i="16"/>
  <c r="M85" i="16"/>
  <c r="M72" i="16" l="1"/>
  <c r="M83" i="16"/>
  <c r="M78" i="16"/>
  <c r="M81" i="16" s="1"/>
  <c r="M75" i="16"/>
  <c r="M76" i="16"/>
  <c r="M61" i="16"/>
  <c r="M73" i="16" l="1"/>
  <c r="M79" i="16"/>
  <c r="M77" i="16"/>
  <c r="L49" i="1" l="1"/>
  <c r="L46" i="1"/>
  <c r="L43" i="1"/>
  <c r="L40" i="1"/>
  <c r="L37" i="1"/>
  <c r="L34" i="1"/>
  <c r="L31" i="1"/>
  <c r="L28" i="1"/>
  <c r="L25" i="1"/>
  <c r="L22" i="1"/>
  <c r="L19" i="1"/>
  <c r="L16" i="1"/>
  <c r="L13" i="1"/>
  <c r="L10" i="1"/>
  <c r="L7" i="1"/>
  <c r="L4" i="1"/>
  <c r="L29" i="16"/>
  <c r="L30" i="16"/>
  <c r="L31" i="16"/>
  <c r="L32" i="16"/>
  <c r="L33" i="16"/>
  <c r="L34" i="16"/>
  <c r="L35" i="16"/>
  <c r="L36" i="16"/>
  <c r="L37" i="16"/>
  <c r="L38" i="16"/>
  <c r="L39" i="16" l="1"/>
  <c r="D39" i="10"/>
  <c r="E39" i="10"/>
  <c r="F39" i="10"/>
  <c r="G39" i="10"/>
  <c r="H39" i="10"/>
  <c r="I39" i="10"/>
  <c r="J39" i="10"/>
  <c r="K39" i="10"/>
  <c r="L68" i="1" l="1"/>
  <c r="L71" i="1" s="1"/>
  <c r="K35" i="12" s="1"/>
  <c r="K36" i="12" s="1"/>
  <c r="K37" i="12" s="1"/>
  <c r="L70" i="1"/>
  <c r="L66" i="1"/>
  <c r="L61" i="1"/>
  <c r="L56" i="1"/>
  <c r="K41" i="10"/>
  <c r="K45" i="10"/>
  <c r="K46" i="10"/>
  <c r="K25" i="10"/>
  <c r="K26" i="10" s="1"/>
  <c r="K27" i="10" s="1"/>
  <c r="K28" i="10"/>
  <c r="K29" i="10"/>
  <c r="K14" i="10"/>
  <c r="K18" i="10"/>
  <c r="K19" i="10"/>
  <c r="K12" i="10"/>
  <c r="K52" i="10"/>
  <c r="K48" i="10" s="1"/>
  <c r="K49" i="10" s="1"/>
  <c r="K50" i="10" s="1"/>
  <c r="K53" i="10"/>
  <c r="K54" i="10"/>
  <c r="K55" i="10"/>
  <c r="K79" i="10"/>
  <c r="K80" i="10"/>
  <c r="K81" i="10"/>
  <c r="K82" i="10"/>
  <c r="K83" i="10"/>
  <c r="K75" i="10"/>
  <c r="K76" i="10" s="1"/>
  <c r="K68" i="10"/>
  <c r="K72" i="10"/>
  <c r="K73" i="10"/>
  <c r="K66" i="10"/>
  <c r="K65" i="12"/>
  <c r="K66" i="12" s="1"/>
  <c r="K69" i="12"/>
  <c r="K70" i="12" s="1"/>
  <c r="K57" i="12"/>
  <c r="K59" i="12"/>
  <c r="K49" i="12"/>
  <c r="K50" i="12" s="1"/>
  <c r="K46" i="12"/>
  <c r="K47" i="12" s="1"/>
  <c r="K41" i="12"/>
  <c r="K42" i="12" s="1"/>
  <c r="K43" i="12"/>
  <c r="K44" i="12" s="1"/>
  <c r="K31" i="12"/>
  <c r="K22" i="12"/>
  <c r="K5" i="12"/>
  <c r="K21" i="12" s="1"/>
  <c r="K6" i="12"/>
  <c r="K23" i="12" s="1"/>
  <c r="L54" i="16"/>
  <c r="L55" i="16"/>
  <c r="L56" i="16"/>
  <c r="L58" i="16"/>
  <c r="L59" i="16"/>
  <c r="L57" i="16" s="1"/>
  <c r="L60" i="16"/>
  <c r="L80" i="16" s="1"/>
  <c r="L61" i="16"/>
  <c r="L62" i="16"/>
  <c r="L63" i="16"/>
  <c r="L64" i="16"/>
  <c r="L65" i="16"/>
  <c r="L66" i="16"/>
  <c r="L67" i="16"/>
  <c r="L82" i="16" s="1"/>
  <c r="L68" i="16"/>
  <c r="L69" i="16"/>
  <c r="L70" i="16"/>
  <c r="L71" i="16" s="1"/>
  <c r="L74" i="16"/>
  <c r="L75" i="16"/>
  <c r="L85" i="16"/>
  <c r="K15" i="12" l="1"/>
  <c r="K58" i="12"/>
  <c r="K9" i="12"/>
  <c r="K7" i="12"/>
  <c r="K27" i="12"/>
  <c r="K28" i="12" s="1"/>
  <c r="K29" i="12" s="1"/>
  <c r="K77" i="10"/>
  <c r="K21" i="10"/>
  <c r="K51" i="12"/>
  <c r="K32" i="12"/>
  <c r="K33" i="12" s="1"/>
  <c r="K56" i="10"/>
  <c r="L83" i="16"/>
  <c r="L79" i="16" s="1"/>
  <c r="L77" i="16" s="1"/>
  <c r="L78" i="16"/>
  <c r="L72" i="16"/>
  <c r="L84" i="16"/>
  <c r="K8" i="12" l="1"/>
  <c r="K12" i="12"/>
  <c r="K60" i="12"/>
  <c r="K24" i="12"/>
  <c r="K16" i="12"/>
  <c r="L81" i="16"/>
  <c r="L76" i="16"/>
  <c r="L73" i="16"/>
  <c r="K25" i="12" l="1"/>
  <c r="K17" i="12"/>
  <c r="K49" i="1"/>
  <c r="K46" i="1"/>
  <c r="K43" i="1"/>
  <c r="K40" i="1"/>
  <c r="K37" i="1"/>
  <c r="K34" i="1"/>
  <c r="K31" i="1"/>
  <c r="K28" i="1"/>
  <c r="K25" i="1"/>
  <c r="K22" i="1"/>
  <c r="K19" i="1"/>
  <c r="K16" i="1"/>
  <c r="K13" i="1"/>
  <c r="K10" i="1"/>
  <c r="K7" i="1"/>
  <c r="K4" i="1"/>
  <c r="K29" i="16"/>
  <c r="K30" i="16"/>
  <c r="K31" i="16"/>
  <c r="K32" i="16"/>
  <c r="K39" i="16" s="1"/>
  <c r="K33" i="16"/>
  <c r="K34" i="16"/>
  <c r="K35" i="16"/>
  <c r="K36" i="16"/>
  <c r="K37" i="16"/>
  <c r="K38" i="16"/>
  <c r="K71" i="1" l="1"/>
  <c r="K68" i="1"/>
  <c r="K70" i="1"/>
  <c r="K66" i="1"/>
  <c r="K61" i="1"/>
  <c r="K56" i="1"/>
  <c r="J79" i="10"/>
  <c r="J80" i="10"/>
  <c r="J81" i="10" s="1"/>
  <c r="J82" i="10"/>
  <c r="J83" i="10"/>
  <c r="J75" i="10"/>
  <c r="J76" i="10" s="1"/>
  <c r="J68" i="10"/>
  <c r="J72" i="10"/>
  <c r="J73" i="10"/>
  <c r="J66" i="10"/>
  <c r="J52" i="10"/>
  <c r="J53" i="10"/>
  <c r="J54" i="10"/>
  <c r="J55" i="10"/>
  <c r="J56" i="10" s="1"/>
  <c r="J48" i="10"/>
  <c r="J49" i="10" s="1"/>
  <c r="J50" i="10" s="1"/>
  <c r="J41" i="10"/>
  <c r="J45" i="10"/>
  <c r="J46" i="10"/>
  <c r="J25" i="10"/>
  <c r="J26" i="10"/>
  <c r="J27" i="10" s="1"/>
  <c r="J28" i="10"/>
  <c r="J29" i="10" s="1"/>
  <c r="J14" i="10"/>
  <c r="J18" i="10"/>
  <c r="J19" i="10"/>
  <c r="J12" i="10"/>
  <c r="J69" i="12"/>
  <c r="J70" i="12" s="1"/>
  <c r="J65" i="12"/>
  <c r="J66" i="12" s="1"/>
  <c r="J57" i="12"/>
  <c r="J49" i="12"/>
  <c r="J50" i="12" s="1"/>
  <c r="J46" i="12"/>
  <c r="J47" i="12" s="1"/>
  <c r="J41" i="12"/>
  <c r="J42" i="12" s="1"/>
  <c r="J43" i="12"/>
  <c r="J44" i="12"/>
  <c r="J35" i="12"/>
  <c r="J36" i="12"/>
  <c r="J37" i="12" s="1"/>
  <c r="J31" i="12"/>
  <c r="J27" i="12" s="1"/>
  <c r="J28" i="12" s="1"/>
  <c r="J29" i="12" s="1"/>
  <c r="J32" i="12"/>
  <c r="J33" i="12" s="1"/>
  <c r="J22" i="12"/>
  <c r="J5" i="12"/>
  <c r="J7" i="12" s="1"/>
  <c r="J16" i="12" s="1"/>
  <c r="J6" i="12"/>
  <c r="J23" i="12" s="1"/>
  <c r="D58" i="16"/>
  <c r="E58" i="16"/>
  <c r="F58" i="16"/>
  <c r="G58" i="16"/>
  <c r="H58" i="16"/>
  <c r="I58" i="16"/>
  <c r="J58" i="16"/>
  <c r="K58" i="16"/>
  <c r="D59" i="16"/>
  <c r="E59" i="16"/>
  <c r="F59" i="16"/>
  <c r="G59" i="16"/>
  <c r="H59" i="16"/>
  <c r="I59" i="16"/>
  <c r="J59" i="16"/>
  <c r="K59" i="16"/>
  <c r="J21" i="10" l="1"/>
  <c r="J77" i="10"/>
  <c r="J21" i="12"/>
  <c r="J58" i="12"/>
  <c r="J15" i="12"/>
  <c r="J24" i="12"/>
  <c r="J51" i="12"/>
  <c r="J59" i="12"/>
  <c r="J60" i="12" s="1"/>
  <c r="J8" i="12"/>
  <c r="J17" i="12" s="1"/>
  <c r="J12" i="12"/>
  <c r="J9" i="12"/>
  <c r="K57" i="16"/>
  <c r="K82" i="16" s="1"/>
  <c r="K70" i="16"/>
  <c r="K54" i="16"/>
  <c r="K55" i="16"/>
  <c r="K56" i="16"/>
  <c r="K60" i="16"/>
  <c r="K85" i="16" s="1"/>
  <c r="K62" i="16"/>
  <c r="K63" i="16"/>
  <c r="K64" i="16"/>
  <c r="K65" i="16"/>
  <c r="K66" i="16"/>
  <c r="K67" i="16"/>
  <c r="K68" i="16"/>
  <c r="K69" i="16"/>
  <c r="J25" i="12" l="1"/>
  <c r="K74" i="16"/>
  <c r="K61" i="16"/>
  <c r="K80" i="16"/>
  <c r="J49" i="1"/>
  <c r="J46" i="1"/>
  <c r="J43" i="1"/>
  <c r="J40" i="1"/>
  <c r="J37" i="1"/>
  <c r="J34" i="1"/>
  <c r="J31" i="1"/>
  <c r="J28" i="1"/>
  <c r="J25" i="1"/>
  <c r="J22" i="1"/>
  <c r="J19" i="1"/>
  <c r="J16" i="1"/>
  <c r="J13" i="1"/>
  <c r="J10" i="1"/>
  <c r="J7" i="1"/>
  <c r="J4" i="1"/>
  <c r="J29" i="16"/>
  <c r="J30" i="16"/>
  <c r="J31" i="16"/>
  <c r="J32" i="16"/>
  <c r="J33" i="16"/>
  <c r="J34" i="16"/>
  <c r="J35" i="16"/>
  <c r="J36" i="16"/>
  <c r="J37" i="16"/>
  <c r="J38" i="16"/>
  <c r="J39" i="16" l="1"/>
  <c r="I79" i="10"/>
  <c r="I80" i="10" s="1"/>
  <c r="I81" i="10" s="1"/>
  <c r="I82" i="10"/>
  <c r="I83" i="10" s="1"/>
  <c r="I75" i="10"/>
  <c r="I76" i="10" s="1"/>
  <c r="I68" i="10"/>
  <c r="I72" i="10"/>
  <c r="I73" i="10"/>
  <c r="I66" i="10"/>
  <c r="I52" i="10"/>
  <c r="I53" i="10" s="1"/>
  <c r="I54" i="10" s="1"/>
  <c r="I55" i="10"/>
  <c r="I56" i="10" s="1"/>
  <c r="I48" i="10"/>
  <c r="I49" i="10" s="1"/>
  <c r="I50" i="10" s="1"/>
  <c r="I41" i="10"/>
  <c r="I45" i="10"/>
  <c r="I46" i="10"/>
  <c r="I25" i="10"/>
  <c r="I26" i="10" s="1"/>
  <c r="I27" i="10" s="1"/>
  <c r="I28" i="10"/>
  <c r="I51" i="12" s="1"/>
  <c r="I14" i="10"/>
  <c r="I18" i="10"/>
  <c r="I19" i="10" s="1"/>
  <c r="I12" i="10"/>
  <c r="I69" i="12"/>
  <c r="I70" i="12" s="1"/>
  <c r="I65" i="12"/>
  <c r="I66" i="12" s="1"/>
  <c r="I49" i="12"/>
  <c r="I50" i="12" s="1"/>
  <c r="I46" i="12"/>
  <c r="I47" i="12" s="1"/>
  <c r="I41" i="12"/>
  <c r="I42" i="12" s="1"/>
  <c r="I43" i="12"/>
  <c r="I44" i="12" s="1"/>
  <c r="I35" i="12"/>
  <c r="I36" i="12"/>
  <c r="I37" i="12" s="1"/>
  <c r="I31" i="12"/>
  <c r="I27" i="12" s="1"/>
  <c r="I28" i="12" s="1"/>
  <c r="I29" i="12" s="1"/>
  <c r="I32" i="12"/>
  <c r="I33" i="12" s="1"/>
  <c r="I22" i="12"/>
  <c r="I5" i="12"/>
  <c r="I9" i="12" s="1"/>
  <c r="I6" i="12"/>
  <c r="I23" i="12" s="1"/>
  <c r="J68" i="1"/>
  <c r="J70" i="1"/>
  <c r="J71" i="1" s="1"/>
  <c r="J66" i="1"/>
  <c r="J61" i="1"/>
  <c r="J56" i="1"/>
  <c r="I21" i="10" s="1"/>
  <c r="J55" i="16"/>
  <c r="J64" i="16"/>
  <c r="J60" i="16"/>
  <c r="J54" i="16"/>
  <c r="J56" i="16"/>
  <c r="J62" i="16"/>
  <c r="J63" i="16"/>
  <c r="J65" i="16"/>
  <c r="J66" i="16"/>
  <c r="J57" i="16" s="1"/>
  <c r="J67" i="16"/>
  <c r="J68" i="16"/>
  <c r="J69" i="16"/>
  <c r="J85" i="16" l="1"/>
  <c r="J82" i="16"/>
  <c r="J74" i="16"/>
  <c r="J80" i="16"/>
  <c r="I15" i="12"/>
  <c r="I21" i="12"/>
  <c r="I29" i="10"/>
  <c r="I77" i="10" s="1"/>
  <c r="I7" i="12"/>
  <c r="I16" i="12" s="1"/>
  <c r="J61" i="16"/>
  <c r="I24" i="12" l="1"/>
  <c r="I8" i="12"/>
  <c r="I12" i="12"/>
  <c r="I17" i="12" l="1"/>
  <c r="I25" i="12"/>
  <c r="H65" i="12"/>
  <c r="H66" i="12" s="1"/>
  <c r="H69" i="12"/>
  <c r="H70" i="12" s="1"/>
  <c r="H49" i="12"/>
  <c r="H50" i="12" s="1"/>
  <c r="H46" i="12"/>
  <c r="H47" i="12" s="1"/>
  <c r="H41" i="12"/>
  <c r="H42" i="12"/>
  <c r="H43" i="12"/>
  <c r="H44" i="12" s="1"/>
  <c r="H35" i="12"/>
  <c r="H36" i="12" s="1"/>
  <c r="H37" i="12" s="1"/>
  <c r="H31" i="12"/>
  <c r="H32" i="12"/>
  <c r="H33" i="12" s="1"/>
  <c r="H21" i="12"/>
  <c r="H22" i="12"/>
  <c r="H23" i="12"/>
  <c r="H24" i="12"/>
  <c r="H25" i="12"/>
  <c r="H15" i="12"/>
  <c r="H16" i="12"/>
  <c r="H17" i="12"/>
  <c r="H27" i="12" l="1"/>
  <c r="H28" i="12" s="1"/>
  <c r="H29" i="12" s="1"/>
  <c r="H5" i="12"/>
  <c r="H9" i="12" s="1"/>
  <c r="H6" i="12"/>
  <c r="H79" i="10"/>
  <c r="H75" i="10" s="1"/>
  <c r="H76" i="10" s="1"/>
  <c r="H80" i="10"/>
  <c r="H81" i="10" s="1"/>
  <c r="H68" i="10"/>
  <c r="H72" i="10"/>
  <c r="H73" i="10" s="1"/>
  <c r="H66" i="10"/>
  <c r="H52" i="10"/>
  <c r="H48" i="10" s="1"/>
  <c r="H49" i="10" s="1"/>
  <c r="H50" i="10" s="1"/>
  <c r="H41" i="10"/>
  <c r="H45" i="10"/>
  <c r="H46" i="10" s="1"/>
  <c r="H25" i="10"/>
  <c r="H26" i="10" s="1"/>
  <c r="H27" i="10" s="1"/>
  <c r="H14" i="10"/>
  <c r="H18" i="10"/>
  <c r="H19" i="10"/>
  <c r="H12" i="10"/>
  <c r="I68" i="1"/>
  <c r="I71" i="1" s="1"/>
  <c r="I70" i="1"/>
  <c r="I66" i="1"/>
  <c r="I61" i="1"/>
  <c r="I56" i="1"/>
  <c r="I49" i="1"/>
  <c r="I46" i="1"/>
  <c r="I43" i="1"/>
  <c r="I40" i="1"/>
  <c r="I37" i="1"/>
  <c r="I34" i="1"/>
  <c r="I31" i="1"/>
  <c r="I28" i="1"/>
  <c r="I25" i="1"/>
  <c r="I22" i="1"/>
  <c r="I19" i="1"/>
  <c r="I16" i="1"/>
  <c r="I13" i="1"/>
  <c r="I10" i="1"/>
  <c r="I7" i="1"/>
  <c r="I4" i="1"/>
  <c r="I29" i="16"/>
  <c r="H28" i="10" s="1"/>
  <c r="H29" i="10" s="1"/>
  <c r="I30" i="16"/>
  <c r="H55" i="10" s="1"/>
  <c r="H56" i="10" s="1"/>
  <c r="I31" i="16"/>
  <c r="H82" i="10" s="1"/>
  <c r="H83" i="10" s="1"/>
  <c r="I32" i="16"/>
  <c r="I33" i="16"/>
  <c r="I34" i="16"/>
  <c r="I35" i="16"/>
  <c r="I36" i="16"/>
  <c r="I37" i="16"/>
  <c r="I38" i="16"/>
  <c r="H51" i="12" l="1"/>
  <c r="I39" i="16"/>
  <c r="H77" i="10"/>
  <c r="H7" i="12"/>
  <c r="H53" i="10"/>
  <c r="H54" i="10" s="1"/>
  <c r="H21" i="10"/>
  <c r="H8" i="12" l="1"/>
  <c r="H12" i="12"/>
  <c r="I54" i="16" l="1"/>
  <c r="I69" i="16"/>
  <c r="I68" i="16"/>
  <c r="I67" i="16"/>
  <c r="I66" i="16"/>
  <c r="I65" i="16"/>
  <c r="I64" i="16"/>
  <c r="I63" i="16"/>
  <c r="I57" i="16" s="1"/>
  <c r="I62" i="16"/>
  <c r="I60" i="16"/>
  <c r="I56" i="16"/>
  <c r="I61" i="16" s="1"/>
  <c r="I55" i="16"/>
  <c r="I82" i="16" l="1"/>
  <c r="I70" i="16"/>
  <c r="I80" i="16"/>
  <c r="I85" i="16"/>
  <c r="I74" i="16"/>
  <c r="H49" i="1"/>
  <c r="H46" i="1"/>
  <c r="H43" i="1"/>
  <c r="H40" i="1"/>
  <c r="H37" i="1"/>
  <c r="H34" i="1"/>
  <c r="H31" i="1"/>
  <c r="H28" i="1"/>
  <c r="H25" i="1"/>
  <c r="H22" i="1"/>
  <c r="H19" i="1"/>
  <c r="H16" i="1"/>
  <c r="H13" i="1"/>
  <c r="H10" i="1"/>
  <c r="H7" i="1"/>
  <c r="H4" i="1"/>
  <c r="I78" i="16" l="1"/>
  <c r="I76" i="16" s="1"/>
  <c r="I84" i="16"/>
  <c r="H68" i="1"/>
  <c r="H70" i="1"/>
  <c r="H66" i="1"/>
  <c r="H61" i="1"/>
  <c r="H56" i="1"/>
  <c r="H29" i="16"/>
  <c r="G28" i="10" s="1"/>
  <c r="H30" i="16"/>
  <c r="G55" i="10" s="1"/>
  <c r="G56" i="10" s="1"/>
  <c r="H31" i="16"/>
  <c r="G82" i="10" s="1"/>
  <c r="G83" i="10" s="1"/>
  <c r="H32" i="16"/>
  <c r="H33" i="16"/>
  <c r="H34" i="16"/>
  <c r="H35" i="16"/>
  <c r="H36" i="16"/>
  <c r="H37" i="16"/>
  <c r="H38" i="16"/>
  <c r="G79" i="10"/>
  <c r="G68" i="10"/>
  <c r="G66" i="10"/>
  <c r="G52" i="10"/>
  <c r="G41" i="10"/>
  <c r="G25" i="10"/>
  <c r="G14" i="10"/>
  <c r="G12" i="10"/>
  <c r="G69" i="12"/>
  <c r="G70" i="12" s="1"/>
  <c r="G65" i="12"/>
  <c r="G66" i="12" s="1"/>
  <c r="G57" i="12"/>
  <c r="G49" i="12"/>
  <c r="G50" i="12" s="1"/>
  <c r="G46" i="12"/>
  <c r="G47" i="12" s="1"/>
  <c r="G41" i="12"/>
  <c r="G42" i="12" s="1"/>
  <c r="G43" i="12"/>
  <c r="G44" i="12" s="1"/>
  <c r="G31" i="12"/>
  <c r="G22" i="12"/>
  <c r="G5" i="12"/>
  <c r="G6" i="12"/>
  <c r="G23" i="12" s="1"/>
  <c r="H54" i="16"/>
  <c r="H55" i="16"/>
  <c r="H56" i="16"/>
  <c r="H61" i="16" s="1"/>
  <c r="H60" i="16"/>
  <c r="H62" i="16"/>
  <c r="H63" i="16"/>
  <c r="H64" i="16"/>
  <c r="H65" i="16"/>
  <c r="H66" i="16"/>
  <c r="H67" i="16"/>
  <c r="H68" i="16"/>
  <c r="H69" i="16"/>
  <c r="H57" i="16" l="1"/>
  <c r="I81" i="16"/>
  <c r="I72" i="16"/>
  <c r="H85" i="16"/>
  <c r="H74" i="16"/>
  <c r="H82" i="16"/>
  <c r="H70" i="16"/>
  <c r="H39" i="16"/>
  <c r="G15" i="12"/>
  <c r="G21" i="12"/>
  <c r="H71" i="1"/>
  <c r="G35" i="12" s="1"/>
  <c r="G27" i="12"/>
  <c r="G75" i="10"/>
  <c r="G48" i="10"/>
  <c r="G51" i="12"/>
  <c r="G29" i="10"/>
  <c r="G21" i="10"/>
  <c r="G58" i="12"/>
  <c r="G9" i="12"/>
  <c r="H80" i="16"/>
  <c r="H78" i="16" l="1"/>
  <c r="H84" i="16"/>
  <c r="G49" i="1"/>
  <c r="G46" i="1"/>
  <c r="G43" i="1"/>
  <c r="G40" i="1"/>
  <c r="G37" i="1"/>
  <c r="G34" i="1"/>
  <c r="G31" i="1"/>
  <c r="G28" i="1"/>
  <c r="G25" i="1"/>
  <c r="G22" i="1"/>
  <c r="G19" i="1"/>
  <c r="G16" i="1"/>
  <c r="G13" i="1"/>
  <c r="G10" i="1"/>
  <c r="G7" i="1"/>
  <c r="G4" i="1"/>
  <c r="H81" i="16" l="1"/>
  <c r="H76" i="16"/>
  <c r="H72" i="16"/>
  <c r="G68" i="1"/>
  <c r="G70" i="1"/>
  <c r="G71" i="1" s="1"/>
  <c r="F35" i="12" s="1"/>
  <c r="G66" i="1"/>
  <c r="G61" i="1"/>
  <c r="G56" i="1"/>
  <c r="G29" i="16"/>
  <c r="F28" i="10" s="1"/>
  <c r="F29" i="10" s="1"/>
  <c r="G30" i="16"/>
  <c r="F55" i="10" s="1"/>
  <c r="F56" i="10" s="1"/>
  <c r="G31" i="16"/>
  <c r="F82" i="10" s="1"/>
  <c r="F83" i="10" s="1"/>
  <c r="G32" i="16"/>
  <c r="G33" i="16"/>
  <c r="G34" i="16"/>
  <c r="G35" i="16"/>
  <c r="G36" i="16"/>
  <c r="G37" i="16"/>
  <c r="G38" i="16"/>
  <c r="F79" i="10"/>
  <c r="F75" i="10" s="1"/>
  <c r="F68" i="10"/>
  <c r="F66" i="10"/>
  <c r="F52" i="10"/>
  <c r="F41" i="10"/>
  <c r="F25" i="10"/>
  <c r="F14" i="10"/>
  <c r="F12" i="10"/>
  <c r="F69" i="12"/>
  <c r="F70" i="12"/>
  <c r="F65" i="12"/>
  <c r="F66" i="12" s="1"/>
  <c r="F57" i="12"/>
  <c r="F49" i="12"/>
  <c r="F50" i="12" s="1"/>
  <c r="F46" i="12"/>
  <c r="F47" i="12" s="1"/>
  <c r="F41" i="12"/>
  <c r="F42" i="12"/>
  <c r="F43" i="12"/>
  <c r="F44" i="12"/>
  <c r="F31" i="12"/>
  <c r="F22" i="12"/>
  <c r="F5" i="12"/>
  <c r="F21" i="12" s="1"/>
  <c r="F6" i="12"/>
  <c r="F23" i="12" s="1"/>
  <c r="G54" i="16"/>
  <c r="G55" i="16"/>
  <c r="G56" i="16"/>
  <c r="G60" i="16"/>
  <c r="G62" i="16"/>
  <c r="G63" i="16"/>
  <c r="G64" i="16"/>
  <c r="G65" i="16"/>
  <c r="G66" i="16"/>
  <c r="G67" i="16"/>
  <c r="G68" i="16"/>
  <c r="G69" i="16"/>
  <c r="G57" i="16" l="1"/>
  <c r="G70" i="16"/>
  <c r="G74" i="16"/>
  <c r="G82" i="16"/>
  <c r="G61" i="16"/>
  <c r="G85" i="16"/>
  <c r="F21" i="10"/>
  <c r="G39" i="16"/>
  <c r="F9" i="12"/>
  <c r="F15" i="12"/>
  <c r="F58" i="12"/>
  <c r="F48" i="10"/>
  <c r="F51" i="12"/>
  <c r="F27" i="12"/>
  <c r="G80" i="16"/>
  <c r="G84" i="16" l="1"/>
  <c r="G78" i="16"/>
  <c r="G81" i="16" s="1"/>
  <c r="G72" i="16" l="1"/>
  <c r="G76" i="16"/>
  <c r="E69" i="12"/>
  <c r="E70" i="12" s="1"/>
  <c r="E65" i="12"/>
  <c r="E66" i="12" s="1"/>
  <c r="E57" i="12"/>
  <c r="E49" i="12"/>
  <c r="E50" i="12" s="1"/>
  <c r="E46" i="12"/>
  <c r="E47" i="12" s="1"/>
  <c r="E41" i="12"/>
  <c r="E42" i="12"/>
  <c r="E43" i="12"/>
  <c r="E44" i="12"/>
  <c r="E31" i="12"/>
  <c r="E22" i="12"/>
  <c r="E5" i="12" l="1"/>
  <c r="E6" i="12"/>
  <c r="E23" i="12" s="1"/>
  <c r="E79" i="10"/>
  <c r="E68" i="10"/>
  <c r="E66" i="10"/>
  <c r="E52" i="10"/>
  <c r="E41" i="10"/>
  <c r="E25" i="10"/>
  <c r="E14" i="10"/>
  <c r="E12" i="10"/>
  <c r="E21" i="12" l="1"/>
  <c r="E15" i="12"/>
  <c r="E58" i="12"/>
  <c r="E9" i="12"/>
  <c r="F68" i="1" l="1"/>
  <c r="F70" i="1"/>
  <c r="F66" i="1"/>
  <c r="E75" i="10" s="1"/>
  <c r="F61" i="1"/>
  <c r="E48" i="10" s="1"/>
  <c r="F56" i="1"/>
  <c r="E21" i="10" s="1"/>
  <c r="F49" i="1"/>
  <c r="F46" i="1"/>
  <c r="F43" i="1"/>
  <c r="F40" i="1"/>
  <c r="F37" i="1"/>
  <c r="F34" i="1"/>
  <c r="F31" i="1"/>
  <c r="F28" i="1"/>
  <c r="F25" i="1"/>
  <c r="F22" i="1"/>
  <c r="F19" i="1"/>
  <c r="F16" i="1"/>
  <c r="F13" i="1"/>
  <c r="F10" i="1"/>
  <c r="F7" i="1"/>
  <c r="F4" i="1"/>
  <c r="F71" i="1" l="1"/>
  <c r="E35" i="12" s="1"/>
  <c r="E27" i="12" s="1"/>
  <c r="F29" i="16"/>
  <c r="E28" i="10" s="1"/>
  <c r="F30" i="16"/>
  <c r="E55" i="10" s="1"/>
  <c r="E56" i="10" s="1"/>
  <c r="F31" i="16"/>
  <c r="E82" i="10" s="1"/>
  <c r="E83" i="10" s="1"/>
  <c r="F32" i="16"/>
  <c r="F33" i="16"/>
  <c r="F34" i="16"/>
  <c r="F35" i="16"/>
  <c r="F36" i="16"/>
  <c r="F37" i="16"/>
  <c r="F38" i="16"/>
  <c r="F39" i="16" l="1"/>
  <c r="E29" i="10"/>
  <c r="E51" i="12"/>
  <c r="F60" i="16"/>
  <c r="E49" i="1" l="1"/>
  <c r="E46" i="1"/>
  <c r="E43" i="1"/>
  <c r="E40" i="1"/>
  <c r="E37" i="1"/>
  <c r="E34" i="1"/>
  <c r="E31" i="1"/>
  <c r="E28" i="1"/>
  <c r="E25" i="1"/>
  <c r="E22" i="1"/>
  <c r="E19" i="1"/>
  <c r="E16" i="1"/>
  <c r="E13" i="1"/>
  <c r="E10" i="1"/>
  <c r="E7" i="1"/>
  <c r="E29" i="16"/>
  <c r="E30" i="16"/>
  <c r="E31" i="16"/>
  <c r="E32" i="16"/>
  <c r="E33" i="16"/>
  <c r="E34" i="16"/>
  <c r="E35" i="16"/>
  <c r="E36" i="16"/>
  <c r="E37" i="16"/>
  <c r="E38" i="16"/>
  <c r="E39" i="16" l="1"/>
  <c r="C70" i="12" l="1"/>
  <c r="B32" i="13" l="1"/>
  <c r="D32" i="13" l="1"/>
  <c r="E32" i="13" s="1"/>
  <c r="D31" i="13" l="1"/>
  <c r="C68" i="10" l="1"/>
  <c r="C41" i="10"/>
  <c r="C14" i="10"/>
  <c r="C32" i="13" l="1"/>
  <c r="F32" i="13" s="1"/>
  <c r="E70" i="1" l="1"/>
  <c r="D52" i="10"/>
  <c r="D41" i="10"/>
  <c r="D25" i="10"/>
  <c r="F54" i="16" l="1"/>
  <c r="F55" i="16"/>
  <c r="F56" i="16"/>
  <c r="F62" i="16"/>
  <c r="F63" i="16"/>
  <c r="F57" i="16" s="1"/>
  <c r="F64" i="16"/>
  <c r="F65" i="16"/>
  <c r="F66" i="16"/>
  <c r="F67" i="16"/>
  <c r="F68" i="16"/>
  <c r="F69" i="16"/>
  <c r="F82" i="16" l="1"/>
  <c r="F74" i="16"/>
  <c r="F85" i="16"/>
  <c r="F70" i="16"/>
  <c r="F80" i="16"/>
  <c r="F61" i="16"/>
  <c r="F84" i="16" l="1"/>
  <c r="F78" i="16"/>
  <c r="F81" i="16" s="1"/>
  <c r="E54" i="16"/>
  <c r="E55" i="16"/>
  <c r="E56" i="16"/>
  <c r="E60" i="16"/>
  <c r="E62" i="16"/>
  <c r="E63" i="16"/>
  <c r="E57" i="16" s="1"/>
  <c r="E64" i="16"/>
  <c r="E65" i="16"/>
  <c r="E66" i="16"/>
  <c r="E67" i="16"/>
  <c r="E68" i="16"/>
  <c r="E69" i="16"/>
  <c r="E70" i="16" l="1"/>
  <c r="E82" i="16"/>
  <c r="E61" i="16"/>
  <c r="E85" i="16"/>
  <c r="F76" i="16"/>
  <c r="F72" i="16"/>
  <c r="E74" i="16"/>
  <c r="E80" i="16"/>
  <c r="E84" i="16" l="1"/>
  <c r="E78" i="16"/>
  <c r="E81" i="16" s="1"/>
  <c r="E72" i="16" l="1"/>
  <c r="E76" i="16"/>
  <c r="D70" i="1"/>
  <c r="D69" i="1"/>
  <c r="D54" i="16" l="1"/>
  <c r="D55" i="16"/>
  <c r="D56" i="16"/>
  <c r="D60" i="16"/>
  <c r="D62" i="16"/>
  <c r="D63" i="16"/>
  <c r="D64" i="16"/>
  <c r="D65" i="16"/>
  <c r="D66" i="16"/>
  <c r="D67" i="16"/>
  <c r="D68" i="16"/>
  <c r="D69" i="16"/>
  <c r="D70" i="16" l="1"/>
  <c r="D61" i="16"/>
  <c r="D80" i="16"/>
  <c r="D82" i="16"/>
  <c r="D83" i="16" s="1"/>
  <c r="D79" i="16" s="1"/>
  <c r="D74" i="16"/>
  <c r="D85" i="16"/>
  <c r="D71" i="16" l="1"/>
  <c r="E71" i="16" s="1"/>
  <c r="F71" i="16" s="1"/>
  <c r="G71" i="16" s="1"/>
  <c r="H71" i="16" s="1"/>
  <c r="I71" i="16" s="1"/>
  <c r="D84" i="16"/>
  <c r="E83" i="16"/>
  <c r="D75" i="16"/>
  <c r="E75" i="16" s="1"/>
  <c r="D78" i="16"/>
  <c r="D81" i="16" s="1"/>
  <c r="F83" i="16"/>
  <c r="F75" i="16" l="1"/>
  <c r="G75" i="16" s="1"/>
  <c r="E79" i="16"/>
  <c r="E77" i="16" s="1"/>
  <c r="G83" i="16"/>
  <c r="D77" i="16"/>
  <c r="D76" i="16"/>
  <c r="D72" i="16"/>
  <c r="D73" i="16"/>
  <c r="F79" i="16" l="1"/>
  <c r="F77" i="16" s="1"/>
  <c r="H83" i="16"/>
  <c r="E73" i="16"/>
  <c r="H75" i="16"/>
  <c r="G79" i="16"/>
  <c r="G77" i="16" s="1"/>
  <c r="D30" i="13"/>
  <c r="F73" i="16" l="1"/>
  <c r="I75" i="16"/>
  <c r="H79" i="16"/>
  <c r="H77" i="16" s="1"/>
  <c r="G73" i="16"/>
  <c r="I83" i="16"/>
  <c r="I79" i="16" s="1"/>
  <c r="I73" i="16" s="1"/>
  <c r="H73" i="16"/>
  <c r="D87" i="16"/>
  <c r="J75" i="16" l="1"/>
  <c r="K75" i="16" s="1"/>
  <c r="I77" i="16"/>
  <c r="D14" i="10"/>
  <c r="D68" i="10"/>
  <c r="C22" i="12" l="1"/>
  <c r="D22" i="12" l="1"/>
  <c r="E61" i="1"/>
  <c r="D61" i="1"/>
  <c r="D31" i="12"/>
  <c r="D79" i="10"/>
  <c r="C69" i="12"/>
  <c r="C65" i="12"/>
  <c r="C66" i="12" s="1"/>
  <c r="D69" i="12" l="1"/>
  <c r="D70" i="12" s="1"/>
  <c r="D65" i="12"/>
  <c r="D66" i="12" s="1"/>
  <c r="D68" i="1" l="1"/>
  <c r="C25" i="10"/>
  <c r="C52" i="10"/>
  <c r="D56" i="1"/>
  <c r="D66" i="1"/>
  <c r="E68" i="1"/>
  <c r="E71" i="1" s="1"/>
  <c r="D35" i="12" s="1"/>
  <c r="D27" i="12" s="1"/>
  <c r="E66" i="1"/>
  <c r="G53" i="10" l="1"/>
  <c r="G54" i="10" s="1"/>
  <c r="F53" i="10"/>
  <c r="F54" i="10" s="1"/>
  <c r="E53" i="10"/>
  <c r="E54" i="10" s="1"/>
  <c r="G26" i="10"/>
  <c r="G27" i="10" s="1"/>
  <c r="F26" i="10"/>
  <c r="F27" i="10" s="1"/>
  <c r="E26" i="10"/>
  <c r="E27" i="10" s="1"/>
  <c r="C26" i="10"/>
  <c r="C27" i="10" s="1"/>
  <c r="D26" i="10"/>
  <c r="D27" i="10" s="1"/>
  <c r="C35" i="12"/>
  <c r="D75" i="10"/>
  <c r="C48" i="10"/>
  <c r="C21" i="10"/>
  <c r="D71" i="1"/>
  <c r="F36" i="12" l="1"/>
  <c r="F37" i="12" s="1"/>
  <c r="G36" i="12"/>
  <c r="G37" i="12" s="1"/>
  <c r="E36" i="12"/>
  <c r="E37" i="12" s="1"/>
  <c r="C22" i="10"/>
  <c r="C23" i="10" s="1"/>
  <c r="C49" i="10"/>
  <c r="C50" i="10" s="1"/>
  <c r="E4" i="1" l="1"/>
  <c r="E56" i="1" l="1"/>
  <c r="D21" i="10" s="1"/>
  <c r="K22" i="10" l="1"/>
  <c r="K23" i="10" s="1"/>
  <c r="I22" i="10"/>
  <c r="I23" i="10" s="1"/>
  <c r="J22" i="10"/>
  <c r="J23" i="10" s="1"/>
  <c r="H22" i="10"/>
  <c r="H23" i="10" s="1"/>
  <c r="F22" i="10"/>
  <c r="F23" i="10" s="1"/>
  <c r="E22" i="10"/>
  <c r="E23" i="10" s="1"/>
  <c r="G22" i="10"/>
  <c r="G23" i="10" s="1"/>
  <c r="D22" i="10"/>
  <c r="D23" i="10" s="1"/>
  <c r="D36" i="16"/>
  <c r="B31" i="13" l="1"/>
  <c r="C31" i="13"/>
  <c r="F31" i="13" l="1"/>
  <c r="E31" i="13"/>
  <c r="B30" i="13"/>
  <c r="C30" i="13"/>
  <c r="F30" i="13" l="1"/>
  <c r="E30" i="13" l="1"/>
  <c r="B15" i="13"/>
  <c r="D38" i="16" l="1"/>
  <c r="D29" i="16"/>
  <c r="D30" i="16"/>
  <c r="D31" i="16"/>
  <c r="D32" i="16"/>
  <c r="D33" i="16"/>
  <c r="D34" i="16"/>
  <c r="D35" i="16"/>
  <c r="D37" i="16"/>
  <c r="D39" i="16" l="1"/>
  <c r="C24" i="13" l="1"/>
  <c r="C23" i="13"/>
  <c r="C22" i="13"/>
  <c r="C25" i="13"/>
  <c r="C26" i="13"/>
  <c r="C27" i="13"/>
  <c r="C28" i="13"/>
  <c r="C29" i="13"/>
  <c r="D82" i="10" l="1"/>
  <c r="D83" i="10" s="1"/>
  <c r="AI127" i="14" l="1"/>
  <c r="AI128" i="14"/>
  <c r="AI129" i="14"/>
  <c r="AI130" i="14"/>
  <c r="AI131" i="14"/>
  <c r="AI132" i="14"/>
  <c r="AI133" i="14"/>
  <c r="AI134" i="14"/>
  <c r="AI135" i="14"/>
  <c r="AI136" i="14"/>
  <c r="AI137" i="14"/>
  <c r="AI138" i="14"/>
  <c r="AI139" i="14"/>
  <c r="AI140" i="14"/>
  <c r="AI141" i="14"/>
  <c r="AI142" i="14"/>
  <c r="AI143" i="14"/>
  <c r="AI144" i="14"/>
  <c r="AI145" i="14"/>
  <c r="AI146" i="14"/>
  <c r="AI147" i="14"/>
  <c r="AI148" i="14"/>
  <c r="AI152" i="14"/>
  <c r="AI153" i="14"/>
  <c r="AI154" i="14"/>
  <c r="AI155" i="14"/>
  <c r="AI156" i="14"/>
  <c r="AI157" i="14"/>
  <c r="AI158" i="14"/>
  <c r="AI159" i="14"/>
  <c r="AI160" i="14"/>
  <c r="B2" i="13"/>
  <c r="C31" i="12" l="1"/>
  <c r="C79" i="10"/>
  <c r="C5" i="12"/>
  <c r="C21" i="12" s="1"/>
  <c r="G80" i="10" l="1"/>
  <c r="G81" i="10" s="1"/>
  <c r="F80" i="10"/>
  <c r="F81" i="10" s="1"/>
  <c r="E80" i="10"/>
  <c r="E81" i="10" s="1"/>
  <c r="G32" i="12"/>
  <c r="G33" i="12" s="1"/>
  <c r="F32" i="12"/>
  <c r="F33" i="12" s="1"/>
  <c r="E32" i="12"/>
  <c r="E33" i="12" s="1"/>
  <c r="C75" i="10"/>
  <c r="D80" i="10"/>
  <c r="D81" i="10" s="1"/>
  <c r="C15" i="12"/>
  <c r="C27" i="12"/>
  <c r="C9" i="12"/>
  <c r="F28" i="12" l="1"/>
  <c r="F29" i="12" s="1"/>
  <c r="G28" i="12"/>
  <c r="G29" i="12" s="1"/>
  <c r="E28" i="12"/>
  <c r="E29" i="12" s="1"/>
  <c r="D76" i="10"/>
  <c r="G76" i="10"/>
  <c r="G77" i="10" s="1"/>
  <c r="F76" i="10"/>
  <c r="F77" i="10" s="1"/>
  <c r="E76" i="10"/>
  <c r="E77" i="10" s="1"/>
  <c r="C76" i="10"/>
  <c r="D28" i="12"/>
  <c r="D29" i="12" s="1"/>
  <c r="C28" i="12"/>
  <c r="C29" i="12" s="1"/>
  <c r="U108" i="22" l="1"/>
  <c r="V108" i="22"/>
  <c r="W108" i="22"/>
  <c r="X108" i="22"/>
  <c r="Y108" i="22"/>
  <c r="Z108" i="22"/>
  <c r="AA108" i="22"/>
  <c r="AB108" i="22"/>
  <c r="AC108" i="22"/>
  <c r="AD108" i="22"/>
  <c r="AE108" i="22"/>
  <c r="AF108" i="22"/>
  <c r="AG108" i="22"/>
  <c r="AH108" i="22"/>
  <c r="AI108" i="22"/>
  <c r="AJ108" i="22"/>
  <c r="AK108" i="22"/>
  <c r="E101" i="22"/>
  <c r="D101" i="22"/>
  <c r="E31" i="22"/>
  <c r="D31" i="22"/>
  <c r="C101" i="22"/>
  <c r="T108" i="22" l="1"/>
  <c r="S108" i="22" l="1"/>
  <c r="R108" i="22"/>
  <c r="Q108" i="22" l="1"/>
  <c r="P108" i="22" l="1"/>
  <c r="O108" i="22"/>
  <c r="N108" i="22" l="1"/>
  <c r="M108" i="22" l="1"/>
  <c r="L108" i="22"/>
  <c r="K108" i="22"/>
  <c r="J108" i="22" l="1"/>
  <c r="I108" i="22" l="1"/>
  <c r="D7" i="13" l="1"/>
  <c r="C28" i="10" l="1"/>
  <c r="C29" i="10" s="1"/>
  <c r="C77" i="10" s="1"/>
  <c r="C39" i="10"/>
  <c r="C7" i="13" l="1"/>
  <c r="R38" i="22" l="1"/>
  <c r="C8" i="10" l="1"/>
  <c r="C9" i="10" s="1"/>
  <c r="C16" i="10" s="1"/>
  <c r="C66" i="10"/>
  <c r="C62" i="10"/>
  <c r="C12" i="10"/>
  <c r="C35" i="10"/>
  <c r="C36" i="10" s="1"/>
  <c r="C43" i="10" s="1"/>
  <c r="C69" i="10" l="1"/>
  <c r="C63" i="10"/>
  <c r="C70" i="10" s="1"/>
  <c r="C42" i="10"/>
  <c r="C15" i="10"/>
  <c r="D9" i="10" l="1"/>
  <c r="D16" i="10" s="1"/>
  <c r="D36" i="10"/>
  <c r="D43" i="10" s="1"/>
  <c r="D63" i="10"/>
  <c r="D70" i="10" s="1"/>
  <c r="D42" i="10"/>
  <c r="D15" i="10"/>
  <c r="D69" i="10"/>
  <c r="D6" i="13"/>
  <c r="E69" i="10" l="1"/>
  <c r="E63" i="10"/>
  <c r="E70" i="10" s="1"/>
  <c r="E36" i="10"/>
  <c r="E43" i="10" s="1"/>
  <c r="E42" i="10"/>
  <c r="E9" i="10"/>
  <c r="E16" i="10" s="1"/>
  <c r="E15" i="10"/>
  <c r="D5" i="13"/>
  <c r="F9" i="10" l="1"/>
  <c r="F16" i="10" s="1"/>
  <c r="F15" i="10"/>
  <c r="F36" i="10"/>
  <c r="F43" i="10" s="1"/>
  <c r="F42" i="10"/>
  <c r="F69" i="10"/>
  <c r="F63" i="10"/>
  <c r="F70" i="10" s="1"/>
  <c r="D66" i="10"/>
  <c r="D12" i="10"/>
  <c r="H63" i="10" l="1"/>
  <c r="H70" i="10" s="1"/>
  <c r="H69" i="10"/>
  <c r="H36" i="10"/>
  <c r="H43" i="10" s="1"/>
  <c r="H42" i="10"/>
  <c r="H9" i="10"/>
  <c r="H16" i="10" s="1"/>
  <c r="H15" i="10"/>
  <c r="G36" i="10"/>
  <c r="G43" i="10" s="1"/>
  <c r="G42" i="10"/>
  <c r="G15" i="10"/>
  <c r="G9" i="10"/>
  <c r="G16" i="10" s="1"/>
  <c r="G63" i="10"/>
  <c r="G70" i="10" s="1"/>
  <c r="G69" i="10"/>
  <c r="D4" i="13"/>
  <c r="I69" i="10" l="1"/>
  <c r="I63" i="10"/>
  <c r="I70" i="10" s="1"/>
  <c r="I36" i="10"/>
  <c r="I43" i="10" s="1"/>
  <c r="I42" i="10"/>
  <c r="I9" i="10"/>
  <c r="I16" i="10" s="1"/>
  <c r="I15" i="10"/>
  <c r="C72" i="10"/>
  <c r="C73" i="10" s="1"/>
  <c r="C53" i="10"/>
  <c r="C54" i="10" s="1"/>
  <c r="D48" i="10"/>
  <c r="C45" i="10"/>
  <c r="C46" i="10" s="1"/>
  <c r="C18" i="10"/>
  <c r="C19" i="10" s="1"/>
  <c r="D49" i="12"/>
  <c r="C49" i="12"/>
  <c r="C50" i="12" s="1"/>
  <c r="C46" i="12"/>
  <c r="C47" i="12" s="1"/>
  <c r="D43" i="12"/>
  <c r="C43" i="12"/>
  <c r="C41" i="12"/>
  <c r="C42" i="12" s="1"/>
  <c r="J63" i="10" l="1"/>
  <c r="J70" i="10" s="1"/>
  <c r="J69" i="10"/>
  <c r="J36" i="10"/>
  <c r="J43" i="10" s="1"/>
  <c r="J42" i="10"/>
  <c r="J15" i="10"/>
  <c r="J9" i="10"/>
  <c r="J16" i="10" s="1"/>
  <c r="G49" i="10"/>
  <c r="G50" i="10" s="1"/>
  <c r="F49" i="10"/>
  <c r="F50" i="10" s="1"/>
  <c r="E49" i="10"/>
  <c r="E50" i="10" s="1"/>
  <c r="D53" i="10"/>
  <c r="D54" i="10" s="1"/>
  <c r="C44" i="12"/>
  <c r="D44" i="12" s="1"/>
  <c r="D72" i="10"/>
  <c r="C80" i="10"/>
  <c r="C81" i="10" s="1"/>
  <c r="D50" i="12"/>
  <c r="D45" i="10"/>
  <c r="D18" i="10"/>
  <c r="D41" i="12"/>
  <c r="D42" i="12" s="1"/>
  <c r="D46" i="12"/>
  <c r="D47" i="12" s="1"/>
  <c r="K63" i="10" l="1"/>
  <c r="K70" i="10" s="1"/>
  <c r="K69" i="10"/>
  <c r="K36" i="10"/>
  <c r="K43" i="10" s="1"/>
  <c r="K42" i="10"/>
  <c r="K9" i="10"/>
  <c r="K16" i="10" s="1"/>
  <c r="K15" i="10"/>
  <c r="D73" i="10"/>
  <c r="E72" i="10"/>
  <c r="E18" i="10"/>
  <c r="D19" i="10"/>
  <c r="E45" i="10"/>
  <c r="D46" i="10"/>
  <c r="D49" i="10"/>
  <c r="D50" i="10" s="1"/>
  <c r="C87" i="16"/>
  <c r="L63" i="10" l="1"/>
  <c r="L70" i="10" s="1"/>
  <c r="L69" i="10"/>
  <c r="L36" i="10"/>
  <c r="L43" i="10" s="1"/>
  <c r="L42" i="10"/>
  <c r="L9" i="10"/>
  <c r="L16" i="10" s="1"/>
  <c r="L15" i="10"/>
  <c r="E46" i="10"/>
  <c r="F45" i="10"/>
  <c r="E19" i="10"/>
  <c r="F18" i="10"/>
  <c r="F72" i="10"/>
  <c r="E73" i="10"/>
  <c r="G108" i="22"/>
  <c r="AI87" i="16"/>
  <c r="M69" i="10" l="1"/>
  <c r="M63" i="10"/>
  <c r="M70" i="10" s="1"/>
  <c r="M36" i="10"/>
  <c r="M43" i="10" s="1"/>
  <c r="M42" i="10"/>
  <c r="M9" i="10"/>
  <c r="M16" i="10" s="1"/>
  <c r="M15" i="10"/>
  <c r="G18" i="10"/>
  <c r="G19" i="10" s="1"/>
  <c r="F19" i="10"/>
  <c r="G45" i="10"/>
  <c r="G46" i="10" s="1"/>
  <c r="F46" i="10"/>
  <c r="G72" i="10"/>
  <c r="G73" i="10" s="1"/>
  <c r="F73" i="10"/>
  <c r="AH87" i="16"/>
  <c r="N69" i="10" l="1"/>
  <c r="N63" i="10"/>
  <c r="N70" i="10" s="1"/>
  <c r="N36" i="10"/>
  <c r="N43" i="10" s="1"/>
  <c r="N42" i="10"/>
  <c r="N15" i="10"/>
  <c r="N9" i="10"/>
  <c r="N16" i="10" s="1"/>
  <c r="AG87" i="16"/>
  <c r="O63" i="10" l="1"/>
  <c r="O70" i="10" s="1"/>
  <c r="O69" i="10"/>
  <c r="O36" i="10"/>
  <c r="O43" i="10" s="1"/>
  <c r="O42" i="10"/>
  <c r="O9" i="10"/>
  <c r="O16" i="10" s="1"/>
  <c r="O15" i="10"/>
  <c r="AF87" i="16"/>
  <c r="P63" i="10" l="1"/>
  <c r="P70" i="10" s="1"/>
  <c r="P69" i="10"/>
  <c r="P36" i="10"/>
  <c r="P43" i="10" s="1"/>
  <c r="P42" i="10"/>
  <c r="P9" i="10"/>
  <c r="P16" i="10" s="1"/>
  <c r="P15" i="10"/>
  <c r="AE87" i="16"/>
  <c r="Q63" i="10" l="1"/>
  <c r="Q70" i="10" s="1"/>
  <c r="Q69" i="10"/>
  <c r="Q36" i="10"/>
  <c r="Q43" i="10" s="1"/>
  <c r="Q42" i="10"/>
  <c r="Q15" i="10"/>
  <c r="Q9" i="10"/>
  <c r="Q16" i="10" s="1"/>
  <c r="AD87" i="16"/>
  <c r="R63" i="10" l="1"/>
  <c r="R70" i="10" s="1"/>
  <c r="R69" i="10"/>
  <c r="R36" i="10"/>
  <c r="R43" i="10" s="1"/>
  <c r="R42" i="10"/>
  <c r="R15" i="10"/>
  <c r="R9" i="10"/>
  <c r="R16" i="10" s="1"/>
  <c r="AC87" i="16"/>
  <c r="S63" i="10" l="1"/>
  <c r="S70" i="10" s="1"/>
  <c r="S69" i="10"/>
  <c r="S36" i="10"/>
  <c r="S43" i="10" s="1"/>
  <c r="S42" i="10"/>
  <c r="S9" i="10"/>
  <c r="S16" i="10" s="1"/>
  <c r="S15" i="10"/>
  <c r="AB87" i="16"/>
  <c r="T69" i="10" l="1"/>
  <c r="T63" i="10"/>
  <c r="T70" i="10" s="1"/>
  <c r="T42" i="10"/>
  <c r="T36" i="10"/>
  <c r="T43" i="10" s="1"/>
  <c r="T9" i="10"/>
  <c r="T16" i="10" s="1"/>
  <c r="T15" i="10"/>
  <c r="AA87" i="16"/>
  <c r="U69" i="10" l="1"/>
  <c r="U63" i="10"/>
  <c r="U70" i="10" s="1"/>
  <c r="U36" i="10"/>
  <c r="U43" i="10" s="1"/>
  <c r="U42" i="10"/>
  <c r="U15" i="10"/>
  <c r="U9" i="10"/>
  <c r="U16" i="10" s="1"/>
  <c r="Z87" i="16"/>
  <c r="V63" i="10" l="1"/>
  <c r="V70" i="10" s="1"/>
  <c r="V69" i="10"/>
  <c r="V36" i="10"/>
  <c r="V43" i="10" s="1"/>
  <c r="V42" i="10"/>
  <c r="V9" i="10"/>
  <c r="V16" i="10" s="1"/>
  <c r="V15" i="10"/>
  <c r="Y87" i="16"/>
  <c r="W63" i="10" l="1"/>
  <c r="W70" i="10" s="1"/>
  <c r="W69" i="10"/>
  <c r="W36" i="10"/>
  <c r="W43" i="10" s="1"/>
  <c r="W42" i="10"/>
  <c r="W9" i="10"/>
  <c r="W16" i="10" s="1"/>
  <c r="W15" i="10"/>
  <c r="X87" i="16"/>
  <c r="X63" i="10" l="1"/>
  <c r="X70" i="10" s="1"/>
  <c r="X69" i="10"/>
  <c r="X36" i="10"/>
  <c r="X43" i="10" s="1"/>
  <c r="X42" i="10"/>
  <c r="X9" i="10"/>
  <c r="X16" i="10" s="1"/>
  <c r="X15" i="10"/>
  <c r="W87" i="16"/>
  <c r="Y63" i="10" l="1"/>
  <c r="Y70" i="10" s="1"/>
  <c r="Y69" i="10"/>
  <c r="Y36" i="10"/>
  <c r="Y43" i="10" s="1"/>
  <c r="Y42" i="10"/>
  <c r="Y9" i="10"/>
  <c r="Y16" i="10" s="1"/>
  <c r="Y15" i="10"/>
  <c r="V87" i="16"/>
  <c r="Z63" i="10" l="1"/>
  <c r="Z70" i="10" s="1"/>
  <c r="Z69" i="10"/>
  <c r="Z36" i="10"/>
  <c r="Z43" i="10" s="1"/>
  <c r="Z42" i="10"/>
  <c r="Z9" i="10"/>
  <c r="Z16" i="10" s="1"/>
  <c r="Z15" i="10"/>
  <c r="U87" i="16"/>
  <c r="AA63" i="10" l="1"/>
  <c r="AA70" i="10" s="1"/>
  <c r="AA69" i="10"/>
  <c r="AA36" i="10"/>
  <c r="AA43" i="10" s="1"/>
  <c r="AA42" i="10"/>
  <c r="AA9" i="10"/>
  <c r="AA16" i="10" s="1"/>
  <c r="AA15" i="10"/>
  <c r="T87" i="16"/>
  <c r="AB63" i="10" l="1"/>
  <c r="AB70" i="10" s="1"/>
  <c r="AB69" i="10"/>
  <c r="AB36" i="10"/>
  <c r="AB43" i="10" s="1"/>
  <c r="AB42" i="10"/>
  <c r="AB9" i="10"/>
  <c r="AB16" i="10" s="1"/>
  <c r="AB15" i="10"/>
  <c r="S87" i="16"/>
  <c r="AC63" i="10" l="1"/>
  <c r="AC70" i="10" s="1"/>
  <c r="AC69" i="10"/>
  <c r="AC36" i="10"/>
  <c r="AC43" i="10" s="1"/>
  <c r="AC42" i="10"/>
  <c r="AC9" i="10"/>
  <c r="AC16" i="10" s="1"/>
  <c r="AC15" i="10"/>
  <c r="R87" i="16"/>
  <c r="AD63" i="10" l="1"/>
  <c r="AD70" i="10" s="1"/>
  <c r="AD69" i="10"/>
  <c r="AD36" i="10"/>
  <c r="AD43" i="10" s="1"/>
  <c r="AD42" i="10"/>
  <c r="AD9" i="10"/>
  <c r="AD16" i="10" s="1"/>
  <c r="AD15" i="10"/>
  <c r="Q87" i="16"/>
  <c r="AE63" i="10" l="1"/>
  <c r="AE70" i="10" s="1"/>
  <c r="AE69" i="10"/>
  <c r="AE36" i="10"/>
  <c r="AE43" i="10" s="1"/>
  <c r="AE42" i="10"/>
  <c r="AE9" i="10"/>
  <c r="AE16" i="10" s="1"/>
  <c r="AE15" i="10"/>
  <c r="P87" i="16"/>
  <c r="AF63" i="10" l="1"/>
  <c r="AF70" i="10" s="1"/>
  <c r="AF69" i="10"/>
  <c r="AF42" i="10"/>
  <c r="AF36" i="10"/>
  <c r="AF43" i="10" s="1"/>
  <c r="AF15" i="10"/>
  <c r="AF9" i="10"/>
  <c r="AF16" i="10" s="1"/>
  <c r="O87" i="16"/>
  <c r="N87" i="16" l="1"/>
  <c r="M87" i="16" l="1"/>
  <c r="L87" i="16" l="1"/>
  <c r="I87" i="16" l="1"/>
  <c r="D57" i="12" l="1"/>
  <c r="G87" i="16" l="1"/>
  <c r="H87" i="16"/>
  <c r="F87" i="16"/>
  <c r="C57" i="12" l="1"/>
  <c r="C59" i="12" l="1"/>
  <c r="D59" i="12" s="1"/>
  <c r="E59" i="12" s="1"/>
  <c r="F59" i="12" s="1"/>
  <c r="G59" i="12" s="1"/>
  <c r="C58" i="12"/>
  <c r="E87" i="16"/>
  <c r="D28" i="10" l="1"/>
  <c r="D29" i="10" s="1"/>
  <c r="D77" i="10" s="1"/>
  <c r="D55" i="10"/>
  <c r="D56" i="10" s="1"/>
  <c r="D51" i="12" l="1"/>
  <c r="D4" i="1" l="1"/>
  <c r="C21" i="13" l="1"/>
  <c r="D21" i="13" l="1"/>
  <c r="C20" i="13" l="1"/>
  <c r="C19" i="13" l="1"/>
  <c r="D24" i="13" l="1"/>
  <c r="D23" i="13" l="1"/>
  <c r="D22" i="13" l="1"/>
  <c r="B29" i="13" l="1"/>
  <c r="D29" i="13"/>
  <c r="E29" i="13" l="1"/>
  <c r="B28" i="13" l="1"/>
  <c r="D28" i="13" l="1"/>
  <c r="E28" i="13" s="1"/>
  <c r="D27" i="13" l="1"/>
  <c r="B27" i="13"/>
  <c r="E27" i="13" l="1"/>
  <c r="B26" i="13" l="1"/>
  <c r="D26" i="13" l="1"/>
  <c r="E26" i="13" s="1"/>
  <c r="B25" i="13" l="1"/>
  <c r="D25" i="13" l="1"/>
  <c r="B24" i="13" l="1"/>
  <c r="B23" i="13" l="1"/>
  <c r="B22" i="13" l="1"/>
  <c r="B21" i="13" l="1"/>
  <c r="E24" i="13" l="1"/>
  <c r="E25" i="13"/>
  <c r="E23" i="13"/>
  <c r="E21" i="13"/>
  <c r="B20" i="13"/>
  <c r="E22" i="13" l="1"/>
  <c r="D20" i="13"/>
  <c r="E20" i="13" s="1"/>
  <c r="B19" i="13" l="1"/>
  <c r="D19" i="13"/>
  <c r="E19" i="13" l="1"/>
  <c r="B18" i="13"/>
  <c r="F29" i="13" l="1"/>
  <c r="F28" i="13"/>
  <c r="F27" i="13"/>
  <c r="F26" i="13"/>
  <c r="F24" i="13"/>
  <c r="F25" i="13"/>
  <c r="F23" i="13"/>
  <c r="F22" i="13"/>
  <c r="F21" i="13"/>
  <c r="F20" i="13"/>
  <c r="F19" i="13"/>
  <c r="C18" i="13"/>
  <c r="D18" i="13"/>
  <c r="E18" i="13" s="1"/>
  <c r="F18" i="13" l="1"/>
  <c r="B17" i="13" l="1"/>
  <c r="C17" i="13"/>
  <c r="D17" i="13" l="1"/>
  <c r="E17" i="13" s="1"/>
  <c r="B16" i="13"/>
  <c r="C16" i="13"/>
  <c r="D16" i="13"/>
  <c r="F16" i="13" l="1"/>
  <c r="F17" i="13"/>
  <c r="D15" i="13" l="1"/>
  <c r="E15" i="13" s="1"/>
  <c r="E16" i="13"/>
  <c r="C15" i="13"/>
  <c r="F15" i="13" l="1"/>
  <c r="B14" i="13" l="1"/>
  <c r="C14" i="13"/>
  <c r="D14" i="13" l="1"/>
  <c r="E14" i="13" s="1"/>
  <c r="B13" i="13" l="1"/>
  <c r="C13" i="13"/>
  <c r="D13" i="13" l="1"/>
  <c r="E13" i="13" s="1"/>
  <c r="B12" i="13" l="1"/>
  <c r="C12" i="13" l="1"/>
  <c r="D12" i="13" l="1"/>
  <c r="E12" i="13" s="1"/>
  <c r="B11" i="13" l="1"/>
  <c r="C11" i="13"/>
  <c r="D11" i="13" l="1"/>
  <c r="E11" i="13" s="1"/>
  <c r="B9" i="13" l="1"/>
  <c r="B10" i="13"/>
  <c r="C10" i="13" l="1"/>
  <c r="D10" i="13" l="1"/>
  <c r="E10" i="13" s="1"/>
  <c r="C9" i="13" l="1"/>
  <c r="D9" i="13"/>
  <c r="E9" i="13" s="1"/>
  <c r="B8" i="13" l="1"/>
  <c r="B7" i="13"/>
  <c r="F14" i="13"/>
  <c r="D8" i="13"/>
  <c r="F12" i="13" l="1"/>
  <c r="F13" i="13"/>
  <c r="E8" i="13"/>
  <c r="F11" i="13"/>
  <c r="F10" i="13"/>
  <c r="F9" i="13"/>
  <c r="C8" i="13"/>
  <c r="F8" i="13" s="1"/>
  <c r="E7" i="13" l="1"/>
  <c r="F7" i="13" l="1"/>
  <c r="C6" i="13" l="1"/>
  <c r="B5" i="13"/>
  <c r="B6" i="13"/>
  <c r="C5" i="13" l="1"/>
  <c r="B4" i="13" l="1"/>
  <c r="C4" i="13" l="1"/>
  <c r="B3" i="13" l="1"/>
  <c r="D49" i="1" l="1"/>
  <c r="D46" i="1"/>
  <c r="D43" i="1"/>
  <c r="D40" i="1"/>
  <c r="D37" i="1"/>
  <c r="D34" i="1"/>
  <c r="D31" i="1"/>
  <c r="D28" i="1"/>
  <c r="D25" i="1"/>
  <c r="D22" i="1"/>
  <c r="D19" i="1"/>
  <c r="D16" i="1"/>
  <c r="D13" i="1"/>
  <c r="D10" i="1"/>
  <c r="D7" i="1"/>
  <c r="H32" i="13" l="1"/>
  <c r="J32" i="13"/>
  <c r="AJ28" i="16" l="1"/>
  <c r="AJ27" i="16"/>
  <c r="AJ26" i="16"/>
  <c r="AJ25" i="16"/>
  <c r="AJ24" i="16"/>
  <c r="AJ23" i="16"/>
  <c r="AJ22" i="16"/>
  <c r="AJ21" i="16"/>
  <c r="AJ20" i="16"/>
  <c r="AJ19" i="16"/>
  <c r="AJ18" i="16"/>
  <c r="AJ17" i="16"/>
  <c r="AJ16" i="16"/>
  <c r="AJ15" i="16"/>
  <c r="AJ14" i="16"/>
  <c r="AJ13" i="16"/>
  <c r="AJ12" i="16"/>
  <c r="AJ11" i="16"/>
  <c r="AJ10" i="16"/>
  <c r="AJ9" i="16"/>
  <c r="AJ8" i="16"/>
  <c r="AJ7" i="16"/>
  <c r="AJ6" i="16"/>
  <c r="AJ5" i="16"/>
  <c r="AJ4" i="16"/>
  <c r="AJ3" i="16"/>
  <c r="D5" i="12" l="1"/>
  <c r="D58" i="12" s="1"/>
  <c r="F3" i="25" l="1"/>
  <c r="D9" i="12"/>
  <c r="C7" i="12"/>
  <c r="E5" i="13"/>
  <c r="E6" i="13"/>
  <c r="E4" i="13"/>
  <c r="D3" i="13"/>
  <c r="E3" i="13" s="1"/>
  <c r="D21" i="12"/>
  <c r="F4" i="25" s="1"/>
  <c r="C8" i="12" l="1"/>
  <c r="C12" i="12"/>
  <c r="H108" i="22"/>
  <c r="D7" i="12"/>
  <c r="E7" i="12" s="1"/>
  <c r="F7" i="12" l="1"/>
  <c r="E16" i="12"/>
  <c r="E60" i="12"/>
  <c r="E24" i="12"/>
  <c r="E8" i="12"/>
  <c r="E12" i="12"/>
  <c r="D8" i="12"/>
  <c r="D12" i="12"/>
  <c r="C17" i="12"/>
  <c r="C25" i="12"/>
  <c r="D15" i="12"/>
  <c r="E17" i="12" l="1"/>
  <c r="E25" i="12"/>
  <c r="F8" i="12"/>
  <c r="G7" i="12"/>
  <c r="F12" i="12"/>
  <c r="F24" i="12"/>
  <c r="F16" i="12"/>
  <c r="F60" i="12"/>
  <c r="D17" i="12"/>
  <c r="D25" i="12"/>
  <c r="C6" i="12"/>
  <c r="F17" i="12" l="1"/>
  <c r="F25" i="12"/>
  <c r="G16" i="12"/>
  <c r="G8" i="12"/>
  <c r="G24" i="12"/>
  <c r="G12" i="12"/>
  <c r="G60" i="12"/>
  <c r="D2" i="13"/>
  <c r="E2" i="13" s="1"/>
  <c r="G17" i="12" l="1"/>
  <c r="G25" i="12"/>
  <c r="C24" i="12"/>
  <c r="D24" i="12" l="1"/>
  <c r="D6" i="12" l="1"/>
  <c r="D23" i="12" s="1"/>
  <c r="F5" i="13" l="1"/>
  <c r="F6" i="13"/>
  <c r="F4" i="13"/>
  <c r="C3" i="13"/>
  <c r="F3" i="13" s="1"/>
  <c r="AJ29" i="16" l="1"/>
  <c r="C23" i="12"/>
  <c r="H209" i="22" l="1"/>
  <c r="I209" i="22"/>
  <c r="J209" i="22"/>
  <c r="K209" i="22"/>
  <c r="L209" i="22"/>
  <c r="M209" i="22"/>
  <c r="N209" i="22"/>
  <c r="O209" i="22"/>
  <c r="P209" i="22"/>
  <c r="Q209" i="22"/>
  <c r="R209" i="22"/>
  <c r="S209" i="22"/>
  <c r="T209" i="22"/>
  <c r="U209" i="22"/>
  <c r="V209" i="22"/>
  <c r="W209" i="22"/>
  <c r="X209" i="22"/>
  <c r="Y209" i="22"/>
  <c r="Z209" i="22"/>
  <c r="AA209" i="22"/>
  <c r="AB209" i="22"/>
  <c r="AC209" i="22"/>
  <c r="AD209" i="22"/>
  <c r="AE209" i="22"/>
  <c r="AF209" i="22"/>
  <c r="AG209" i="22"/>
  <c r="AH209" i="22"/>
  <c r="AI209" i="22"/>
  <c r="AJ209" i="22"/>
  <c r="AK209" i="22"/>
  <c r="G209" i="22"/>
  <c r="G176" i="22" l="1"/>
  <c r="AK176" i="22"/>
  <c r="H176" i="22"/>
  <c r="I176" i="22"/>
  <c r="J176" i="22"/>
  <c r="K176" i="22"/>
  <c r="L176" i="22"/>
  <c r="M176" i="22"/>
  <c r="N176" i="22"/>
  <c r="O176" i="22"/>
  <c r="P176" i="22"/>
  <c r="Q176" i="22"/>
  <c r="R176" i="22"/>
  <c r="S176" i="22"/>
  <c r="T176" i="22"/>
  <c r="U176" i="22"/>
  <c r="V176" i="22"/>
  <c r="W176" i="22"/>
  <c r="X176" i="22"/>
  <c r="Y176" i="22"/>
  <c r="Z176" i="22"/>
  <c r="AA176" i="22"/>
  <c r="AB176" i="22"/>
  <c r="AC176" i="22"/>
  <c r="AD176" i="22"/>
  <c r="AE176" i="22"/>
  <c r="AF176" i="22"/>
  <c r="AG176" i="22"/>
  <c r="AH176" i="22"/>
  <c r="AI176" i="22"/>
  <c r="AJ176" i="22"/>
  <c r="C55" i="10" l="1"/>
  <c r="C56" i="10" s="1"/>
  <c r="AJ32" i="16"/>
  <c r="AJ33" i="16"/>
  <c r="AJ34" i="16"/>
  <c r="AJ35" i="16"/>
  <c r="AJ36" i="16"/>
  <c r="AJ37" i="16"/>
  <c r="AJ31" i="16" l="1"/>
  <c r="C82" i="10"/>
  <c r="C83" i="10" s="1"/>
  <c r="AJ30" i="16"/>
  <c r="AJ38" i="16"/>
  <c r="AJ39" i="16"/>
  <c r="AJ80" i="16"/>
  <c r="C51" i="12" l="1"/>
  <c r="G143" i="22" s="1"/>
  <c r="AJ74" i="16"/>
  <c r="AA212" i="22" l="1"/>
  <c r="K212" i="22"/>
  <c r="AK210" i="22"/>
  <c r="AJ210" i="22"/>
  <c r="AI210" i="22"/>
  <c r="AH210" i="22"/>
  <c r="AG210" i="22"/>
  <c r="AG213" i="22" s="1"/>
  <c r="AO6" i="22" s="1"/>
  <c r="AF210" i="22"/>
  <c r="AE210" i="22"/>
  <c r="AD210" i="22"/>
  <c r="AC210" i="22"/>
  <c r="AB210" i="22"/>
  <c r="AA210" i="22"/>
  <c r="Z210" i="22"/>
  <c r="Y210" i="22"/>
  <c r="X210" i="22"/>
  <c r="X213" i="22" s="1"/>
  <c r="AF6" i="22" s="1"/>
  <c r="W210" i="22"/>
  <c r="V210" i="22"/>
  <c r="U210" i="22"/>
  <c r="T210" i="22"/>
  <c r="S210" i="22"/>
  <c r="R210" i="22"/>
  <c r="Q210" i="22"/>
  <c r="P210" i="22"/>
  <c r="O210" i="22"/>
  <c r="N210" i="22"/>
  <c r="M210" i="22"/>
  <c r="L210" i="22"/>
  <c r="K210" i="22"/>
  <c r="J210" i="22"/>
  <c r="I210" i="22"/>
  <c r="H210" i="22"/>
  <c r="H213" i="22" s="1"/>
  <c r="P6" i="22" s="1"/>
  <c r="G210" i="22"/>
  <c r="AK212" i="22"/>
  <c r="AJ212" i="22"/>
  <c r="AI212" i="22"/>
  <c r="AH212" i="22"/>
  <c r="AE212" i="22"/>
  <c r="AD212" i="22"/>
  <c r="AC212" i="22"/>
  <c r="Z212" i="22"/>
  <c r="Y212" i="22"/>
  <c r="X212" i="22"/>
  <c r="W212" i="22"/>
  <c r="V212" i="22"/>
  <c r="U212" i="22"/>
  <c r="T212" i="22"/>
  <c r="S212" i="22"/>
  <c r="R212" i="22"/>
  <c r="Q212" i="22"/>
  <c r="O212" i="22"/>
  <c r="N212" i="22"/>
  <c r="M212" i="22"/>
  <c r="J212" i="22"/>
  <c r="I212" i="22"/>
  <c r="H212" i="22"/>
  <c r="E207" i="22"/>
  <c r="D207" i="22"/>
  <c r="C207" i="22"/>
  <c r="E203" i="22"/>
  <c r="D203" i="22"/>
  <c r="C203" i="22"/>
  <c r="AK177" i="22"/>
  <c r="AJ177" i="22"/>
  <c r="AI177" i="22"/>
  <c r="AH177" i="22"/>
  <c r="AG177" i="22"/>
  <c r="AF177" i="22"/>
  <c r="AE177" i="22"/>
  <c r="AD177" i="22"/>
  <c r="AC177" i="22"/>
  <c r="AB177" i="22"/>
  <c r="AA177" i="22"/>
  <c r="Z177" i="22"/>
  <c r="Y177" i="22"/>
  <c r="X177" i="22"/>
  <c r="W177" i="22"/>
  <c r="V177" i="22"/>
  <c r="U177" i="22"/>
  <c r="T177" i="22"/>
  <c r="S177" i="22"/>
  <c r="R177" i="22"/>
  <c r="Q177" i="22"/>
  <c r="P177" i="22"/>
  <c r="O177" i="22"/>
  <c r="N177" i="22"/>
  <c r="M177" i="22"/>
  <c r="L177" i="22"/>
  <c r="K177" i="22"/>
  <c r="J177" i="22"/>
  <c r="I177" i="22"/>
  <c r="E174" i="22"/>
  <c r="D174" i="22"/>
  <c r="C174" i="22"/>
  <c r="E170" i="22"/>
  <c r="D170" i="22"/>
  <c r="C170" i="22"/>
  <c r="AK143" i="22"/>
  <c r="AJ143" i="22"/>
  <c r="AI143" i="22"/>
  <c r="AH143" i="22"/>
  <c r="AG143" i="22"/>
  <c r="AF143" i="22"/>
  <c r="AE143" i="22"/>
  <c r="AD143" i="22"/>
  <c r="AC143" i="22"/>
  <c r="AB143" i="22"/>
  <c r="AA143" i="22"/>
  <c r="Z143" i="22"/>
  <c r="Y143" i="22"/>
  <c r="X143" i="22"/>
  <c r="W143" i="22"/>
  <c r="V143" i="22"/>
  <c r="U143" i="22"/>
  <c r="T143" i="22"/>
  <c r="S143" i="22"/>
  <c r="R143" i="22"/>
  <c r="Q143" i="22"/>
  <c r="P143" i="22"/>
  <c r="O143" i="22"/>
  <c r="N143" i="22"/>
  <c r="M143" i="22"/>
  <c r="L143" i="22"/>
  <c r="K143" i="22"/>
  <c r="AK142" i="22"/>
  <c r="AJ142" i="22"/>
  <c r="AI142" i="22"/>
  <c r="AH142" i="22"/>
  <c r="AG142" i="22"/>
  <c r="AF142" i="22"/>
  <c r="AE142" i="22"/>
  <c r="AD142" i="22"/>
  <c r="AC142" i="22"/>
  <c r="AB142" i="22"/>
  <c r="AA142" i="22"/>
  <c r="Z142" i="22"/>
  <c r="Y142" i="22"/>
  <c r="X142" i="22"/>
  <c r="W142" i="22"/>
  <c r="V142" i="22"/>
  <c r="U142" i="22"/>
  <c r="T142" i="22"/>
  <c r="S142" i="22"/>
  <c r="R142" i="22"/>
  <c r="Q142" i="22"/>
  <c r="P142" i="22"/>
  <c r="O142" i="22"/>
  <c r="N142" i="22"/>
  <c r="M142" i="22"/>
  <c r="L142" i="22"/>
  <c r="K142" i="22"/>
  <c r="J142" i="22"/>
  <c r="I142" i="22"/>
  <c r="H142" i="22"/>
  <c r="G142" i="22"/>
  <c r="G146" i="22" s="1"/>
  <c r="O7" i="22" s="1"/>
  <c r="E140" i="22"/>
  <c r="D140" i="22"/>
  <c r="C140" i="22"/>
  <c r="E136" i="22"/>
  <c r="D136" i="22"/>
  <c r="C136" i="22"/>
  <c r="AK107" i="22"/>
  <c r="AJ107" i="22"/>
  <c r="AI107" i="22"/>
  <c r="AH107" i="22"/>
  <c r="AG107" i="22"/>
  <c r="AF107" i="22"/>
  <c r="AE107" i="22"/>
  <c r="AD107" i="22"/>
  <c r="AC107" i="22"/>
  <c r="AB107" i="22"/>
  <c r="AA107" i="22"/>
  <c r="Z107" i="22"/>
  <c r="Y107" i="22"/>
  <c r="X107" i="22"/>
  <c r="W107" i="22"/>
  <c r="V107" i="22"/>
  <c r="U107" i="22"/>
  <c r="T107" i="22"/>
  <c r="T111" i="22" s="1"/>
  <c r="S107" i="22"/>
  <c r="R107" i="22"/>
  <c r="Q107" i="22"/>
  <c r="P107" i="22"/>
  <c r="O107" i="22"/>
  <c r="N107" i="22"/>
  <c r="M107" i="22"/>
  <c r="L107" i="22"/>
  <c r="K107" i="22"/>
  <c r="J107" i="22"/>
  <c r="I107" i="22"/>
  <c r="H107" i="22"/>
  <c r="G107" i="22"/>
  <c r="E105" i="22"/>
  <c r="D105" i="22"/>
  <c r="C105" i="22"/>
  <c r="AK73" i="22"/>
  <c r="AJ73" i="22"/>
  <c r="AI73" i="22"/>
  <c r="AH73" i="22"/>
  <c r="AG73" i="22"/>
  <c r="AF73" i="22"/>
  <c r="AE73" i="22"/>
  <c r="AD73" i="22"/>
  <c r="AC73" i="22"/>
  <c r="AB73" i="22"/>
  <c r="AA73" i="22"/>
  <c r="Z73" i="22"/>
  <c r="Y73" i="22"/>
  <c r="X73" i="22"/>
  <c r="W73" i="22"/>
  <c r="V73" i="22"/>
  <c r="U73" i="22"/>
  <c r="T73" i="22"/>
  <c r="S73" i="22"/>
  <c r="R73" i="22"/>
  <c r="Q73" i="22"/>
  <c r="P73" i="22"/>
  <c r="O73" i="22"/>
  <c r="N73" i="22"/>
  <c r="M73" i="22"/>
  <c r="L73" i="22"/>
  <c r="K73" i="22"/>
  <c r="J73" i="22"/>
  <c r="I73" i="22"/>
  <c r="AK72" i="22"/>
  <c r="AJ72" i="22"/>
  <c r="AI72" i="22"/>
  <c r="AH72" i="22"/>
  <c r="AG72" i="22"/>
  <c r="AF72" i="22"/>
  <c r="AE72" i="22"/>
  <c r="AD72" i="22"/>
  <c r="AC72" i="22"/>
  <c r="AB72" i="22"/>
  <c r="AA72" i="22"/>
  <c r="Z72" i="22"/>
  <c r="Y72" i="22"/>
  <c r="X72" i="22"/>
  <c r="W72" i="22"/>
  <c r="V72" i="22"/>
  <c r="U72" i="22"/>
  <c r="T72" i="22"/>
  <c r="S72" i="22"/>
  <c r="R72" i="22"/>
  <c r="Q72" i="22"/>
  <c r="P72" i="22"/>
  <c r="O72" i="22"/>
  <c r="N72" i="22"/>
  <c r="M72" i="22"/>
  <c r="L72" i="22"/>
  <c r="K72" i="22"/>
  <c r="J72" i="22"/>
  <c r="I72" i="22"/>
  <c r="H72" i="22"/>
  <c r="G72" i="22"/>
  <c r="E70" i="22"/>
  <c r="D70" i="22"/>
  <c r="C70" i="22"/>
  <c r="E66" i="22"/>
  <c r="D66" i="22"/>
  <c r="C66" i="22"/>
  <c r="AK38" i="22"/>
  <c r="AJ38" i="22"/>
  <c r="AI38" i="22"/>
  <c r="AH38" i="22"/>
  <c r="AG38" i="22"/>
  <c r="AF38" i="22"/>
  <c r="AE38" i="22"/>
  <c r="AD38" i="22"/>
  <c r="AC38" i="22"/>
  <c r="AB38" i="22"/>
  <c r="AA38" i="22"/>
  <c r="Z38" i="22"/>
  <c r="Y38" i="22"/>
  <c r="X38" i="22"/>
  <c r="W38" i="22"/>
  <c r="V38" i="22"/>
  <c r="U38" i="22"/>
  <c r="T38" i="22"/>
  <c r="S38" i="22"/>
  <c r="Q38" i="22"/>
  <c r="P38" i="22"/>
  <c r="O38" i="22"/>
  <c r="N38" i="22"/>
  <c r="M38" i="22"/>
  <c r="L38" i="22"/>
  <c r="K38" i="22"/>
  <c r="AK37" i="22"/>
  <c r="AJ37" i="22"/>
  <c r="AI37" i="22"/>
  <c r="AH37" i="22"/>
  <c r="AG37" i="22"/>
  <c r="AF37" i="22"/>
  <c r="AE37" i="22"/>
  <c r="AD37" i="22"/>
  <c r="AC37" i="22"/>
  <c r="AB37" i="22"/>
  <c r="AA37" i="22"/>
  <c r="Z37" i="22"/>
  <c r="Y37" i="22"/>
  <c r="X37" i="22"/>
  <c r="W37" i="22"/>
  <c r="V37" i="22"/>
  <c r="U37" i="22"/>
  <c r="T37" i="22"/>
  <c r="S37" i="22"/>
  <c r="R37" i="22"/>
  <c r="Q37" i="22"/>
  <c r="P37" i="22"/>
  <c r="O37" i="22"/>
  <c r="N37" i="22"/>
  <c r="M37" i="22"/>
  <c r="L37" i="22"/>
  <c r="K37" i="22"/>
  <c r="J37" i="22"/>
  <c r="I37" i="22"/>
  <c r="H37" i="22"/>
  <c r="G37" i="22"/>
  <c r="E35" i="22"/>
  <c r="D35" i="22"/>
  <c r="C35" i="22"/>
  <c r="C31" i="22"/>
  <c r="AI162" i="14"/>
  <c r="AI161" i="14"/>
  <c r="AI126" i="14"/>
  <c r="AI125" i="14"/>
  <c r="AI124" i="14"/>
  <c r="AI123" i="14"/>
  <c r="AI122" i="14"/>
  <c r="AI121" i="14"/>
  <c r="AI120" i="14"/>
  <c r="AI119" i="14"/>
  <c r="AI118" i="14"/>
  <c r="AI117" i="14"/>
  <c r="AI116" i="14"/>
  <c r="AI115" i="14"/>
  <c r="AI114" i="14"/>
  <c r="AI113" i="14"/>
  <c r="AI112" i="14"/>
  <c r="AI111" i="14"/>
  <c r="AI110" i="14"/>
  <c r="AI109" i="14"/>
  <c r="AI108" i="14"/>
  <c r="AI107" i="14"/>
  <c r="AI106" i="14"/>
  <c r="AI105" i="14"/>
  <c r="AI104" i="14"/>
  <c r="AI103" i="14"/>
  <c r="AI102" i="14"/>
  <c r="AI101" i="14"/>
  <c r="AI100" i="14"/>
  <c r="AI99" i="14"/>
  <c r="AI98" i="14"/>
  <c r="AI97" i="14"/>
  <c r="AI96" i="14"/>
  <c r="AI95" i="14"/>
  <c r="AI94" i="14"/>
  <c r="AI93" i="14"/>
  <c r="AI92" i="14"/>
  <c r="AI91" i="14"/>
  <c r="AI90" i="14"/>
  <c r="AI89" i="14"/>
  <c r="AI88" i="14"/>
  <c r="AI87" i="14"/>
  <c r="AI86" i="14"/>
  <c r="AI85" i="14"/>
  <c r="AI84" i="14"/>
  <c r="AI83" i="14"/>
  <c r="AI82" i="14"/>
  <c r="AI81" i="14"/>
  <c r="AI80" i="14"/>
  <c r="AI79" i="14"/>
  <c r="AI78" i="14"/>
  <c r="AI77" i="14"/>
  <c r="AI76" i="14"/>
  <c r="AI75" i="14"/>
  <c r="AI74" i="14"/>
  <c r="AI73" i="14"/>
  <c r="AI72" i="14"/>
  <c r="AI71" i="14"/>
  <c r="AI70" i="14"/>
  <c r="AI69" i="14"/>
  <c r="AI68" i="14"/>
  <c r="AI67" i="14"/>
  <c r="AI66" i="14"/>
  <c r="AI65" i="14"/>
  <c r="AI64" i="14"/>
  <c r="AI63" i="14"/>
  <c r="AI62" i="14"/>
  <c r="AI61" i="14"/>
  <c r="AI60" i="14"/>
  <c r="AI59" i="14"/>
  <c r="AI58" i="14"/>
  <c r="AI57" i="14"/>
  <c r="AI56" i="14"/>
  <c r="AI55" i="14"/>
  <c r="AI54" i="14"/>
  <c r="AI53" i="14"/>
  <c r="AI52" i="14"/>
  <c r="AI51" i="14"/>
  <c r="AI50" i="14"/>
  <c r="AI49" i="14"/>
  <c r="AI48" i="14"/>
  <c r="AI47" i="14"/>
  <c r="AI46" i="14"/>
  <c r="AI45" i="14"/>
  <c r="AI44" i="14"/>
  <c r="AI43" i="14"/>
  <c r="AI42" i="14"/>
  <c r="AI41" i="14"/>
  <c r="AI40" i="14"/>
  <c r="AI39" i="14"/>
  <c r="AI38" i="14"/>
  <c r="AI37" i="14"/>
  <c r="AI36" i="14"/>
  <c r="AI35" i="14"/>
  <c r="AI34" i="14"/>
  <c r="AI33" i="14"/>
  <c r="AI32" i="14"/>
  <c r="AI31" i="14"/>
  <c r="AI30" i="14"/>
  <c r="AI29" i="14"/>
  <c r="AI28" i="14"/>
  <c r="AI27" i="14"/>
  <c r="AI26" i="14"/>
  <c r="AI25" i="14"/>
  <c r="AI24" i="14"/>
  <c r="AI23" i="14"/>
  <c r="AI22" i="14"/>
  <c r="AI21" i="14"/>
  <c r="AI20" i="14"/>
  <c r="AI19" i="14"/>
  <c r="AI18" i="14"/>
  <c r="AI17" i="14"/>
  <c r="AI16" i="14"/>
  <c r="AI15" i="14"/>
  <c r="AI14" i="14"/>
  <c r="AI13" i="14"/>
  <c r="AI12" i="14"/>
  <c r="AI11" i="14"/>
  <c r="AI10" i="14"/>
  <c r="AI9" i="14"/>
  <c r="AI8" i="14"/>
  <c r="AI7" i="14"/>
  <c r="AI6" i="14"/>
  <c r="AI5" i="14"/>
  <c r="AI4" i="14"/>
  <c r="AI3" i="14"/>
  <c r="R67" i="1"/>
  <c r="P67" i="1"/>
  <c r="O67" i="1"/>
  <c r="N67" i="1"/>
  <c r="M67" i="1"/>
  <c r="L67" i="1"/>
  <c r="I67" i="1"/>
  <c r="H67" i="1"/>
  <c r="G67" i="1"/>
  <c r="F67" i="1"/>
  <c r="E67" i="1"/>
  <c r="D67" i="1"/>
  <c r="C67" i="1"/>
  <c r="AB62" i="1"/>
  <c r="R62" i="1"/>
  <c r="P62" i="1"/>
  <c r="H62" i="1"/>
  <c r="G62" i="1"/>
  <c r="N62" i="1"/>
  <c r="M62" i="1"/>
  <c r="L62" i="1"/>
  <c r="I62" i="1"/>
  <c r="F62" i="1"/>
  <c r="E62" i="1"/>
  <c r="D62" i="1"/>
  <c r="C62" i="1"/>
  <c r="I143" i="22"/>
  <c r="H177" i="22"/>
  <c r="J38" i="22"/>
  <c r="I38" i="22"/>
  <c r="C2" i="13" l="1"/>
  <c r="C36" i="12"/>
  <c r="C37" i="12" s="1"/>
  <c r="D36" i="12"/>
  <c r="D37" i="12" s="1"/>
  <c r="D32" i="12"/>
  <c r="D33" i="12" s="1"/>
  <c r="C32" i="12"/>
  <c r="C33" i="12" s="1"/>
  <c r="M111" i="22"/>
  <c r="U4" i="22" s="1"/>
  <c r="U111" i="22"/>
  <c r="AC4" i="22" s="1"/>
  <c r="AC111" i="22"/>
  <c r="AK4" i="22" s="1"/>
  <c r="M146" i="22"/>
  <c r="U7" i="22" s="1"/>
  <c r="I146" i="22"/>
  <c r="Q7" i="22" s="1"/>
  <c r="O146" i="22"/>
  <c r="W7" i="22" s="1"/>
  <c r="W146" i="22"/>
  <c r="AE7" i="22" s="1"/>
  <c r="AE146" i="22"/>
  <c r="AM7" i="22" s="1"/>
  <c r="Q111" i="22"/>
  <c r="Y4" i="22" s="1"/>
  <c r="Y111" i="22"/>
  <c r="AG4" i="22" s="1"/>
  <c r="K146" i="22"/>
  <c r="S7" i="22" s="1"/>
  <c r="S146" i="22"/>
  <c r="AA7" i="22" s="1"/>
  <c r="AA146" i="22"/>
  <c r="AI7" i="22" s="1"/>
  <c r="AI146" i="22"/>
  <c r="AQ7" i="22" s="1"/>
  <c r="I111" i="22"/>
  <c r="Q4" i="22" s="1"/>
  <c r="AG111" i="22"/>
  <c r="AO4" i="22" s="1"/>
  <c r="J41" i="22"/>
  <c r="R2" i="22" s="1"/>
  <c r="AK111" i="22"/>
  <c r="AS4" i="22" s="1"/>
  <c r="K111" i="22"/>
  <c r="S4" i="22" s="1"/>
  <c r="O111" i="22"/>
  <c r="W4" i="22" s="1"/>
  <c r="S111" i="22"/>
  <c r="AA4" i="22" s="1"/>
  <c r="W111" i="22"/>
  <c r="AE4" i="22" s="1"/>
  <c r="AA111" i="22"/>
  <c r="AI4" i="22" s="1"/>
  <c r="AE111" i="22"/>
  <c r="AM4" i="22" s="1"/>
  <c r="AI111" i="22"/>
  <c r="AQ4" i="22" s="1"/>
  <c r="L76" i="22"/>
  <c r="T3" i="22" s="1"/>
  <c r="P76" i="22"/>
  <c r="X3" i="22" s="1"/>
  <c r="T76" i="22"/>
  <c r="AB3" i="22" s="1"/>
  <c r="X76" i="22"/>
  <c r="AF3" i="22" s="1"/>
  <c r="AB76" i="22"/>
  <c r="AJ3" i="22" s="1"/>
  <c r="AF76" i="22"/>
  <c r="AN3" i="22" s="1"/>
  <c r="N41" i="22"/>
  <c r="V2" i="22" s="1"/>
  <c r="R41" i="22"/>
  <c r="Z2" i="22" s="1"/>
  <c r="V41" i="22"/>
  <c r="AD2" i="22" s="1"/>
  <c r="Z41" i="22"/>
  <c r="AH2" i="22" s="1"/>
  <c r="AD41" i="22"/>
  <c r="AL2" i="22" s="1"/>
  <c r="AH41" i="22"/>
  <c r="AP2" i="22" s="1"/>
  <c r="L41" i="22"/>
  <c r="T2" i="22" s="1"/>
  <c r="P41" i="22"/>
  <c r="X2" i="22" s="1"/>
  <c r="T41" i="22"/>
  <c r="AB2" i="22" s="1"/>
  <c r="X41" i="22"/>
  <c r="AF2" i="22" s="1"/>
  <c r="AB41" i="22"/>
  <c r="AJ2" i="22" s="1"/>
  <c r="AF41" i="22"/>
  <c r="AN2" i="22" s="1"/>
  <c r="AJ41" i="22"/>
  <c r="AR2" i="22" s="1"/>
  <c r="G73" i="22"/>
  <c r="G76" i="22" s="1"/>
  <c r="O3" i="22" s="1"/>
  <c r="H143" i="22"/>
  <c r="H146" i="22" s="1"/>
  <c r="P7" i="22" s="1"/>
  <c r="G213" i="22"/>
  <c r="O6" i="22" s="1"/>
  <c r="J213" i="22"/>
  <c r="R6" i="22" s="1"/>
  <c r="N213" i="22"/>
  <c r="V6" i="22" s="1"/>
  <c r="R213" i="22"/>
  <c r="Z6" i="22" s="1"/>
  <c r="V213" i="22"/>
  <c r="AD6" i="22" s="1"/>
  <c r="Z213" i="22"/>
  <c r="AH6" i="22" s="1"/>
  <c r="AD213" i="22"/>
  <c r="AL6" i="22" s="1"/>
  <c r="AH213" i="22"/>
  <c r="AP6" i="22" s="1"/>
  <c r="G212" i="22"/>
  <c r="X180" i="22"/>
  <c r="AF5" i="22" s="1"/>
  <c r="L180" i="22"/>
  <c r="T5" i="22" s="1"/>
  <c r="P180" i="22"/>
  <c r="X5" i="22" s="1"/>
  <c r="T180" i="22"/>
  <c r="AB5" i="22" s="1"/>
  <c r="M180" i="22"/>
  <c r="U5" i="22" s="1"/>
  <c r="N76" i="22"/>
  <c r="V3" i="22" s="1"/>
  <c r="R76" i="22"/>
  <c r="Z3" i="22" s="1"/>
  <c r="V76" i="22"/>
  <c r="AD3" i="22" s="1"/>
  <c r="Z76" i="22"/>
  <c r="AH3" i="22" s="1"/>
  <c r="AH76" i="22"/>
  <c r="AP3" i="22" s="1"/>
  <c r="AJ76" i="22"/>
  <c r="AR3" i="22" s="1"/>
  <c r="J76" i="22"/>
  <c r="R3" i="22" s="1"/>
  <c r="AD76" i="22"/>
  <c r="AL3" i="22" s="1"/>
  <c r="AJ180" i="22"/>
  <c r="AR5" i="22" s="1"/>
  <c r="AF180" i="22"/>
  <c r="AN5" i="22" s="1"/>
  <c r="AF213" i="22"/>
  <c r="AN6" i="22" s="1"/>
  <c r="AB180" i="22"/>
  <c r="AJ5" i="22" s="1"/>
  <c r="AB213" i="22"/>
  <c r="AJ6" i="22" s="1"/>
  <c r="J16" i="13"/>
  <c r="P213" i="22"/>
  <c r="X6" i="22" s="1"/>
  <c r="J10" i="13"/>
  <c r="G38" i="22"/>
  <c r="G41" i="22" s="1"/>
  <c r="O2" i="22" s="1"/>
  <c r="H38" i="22"/>
  <c r="H41" i="22" s="1"/>
  <c r="P2" i="22" s="1"/>
  <c r="H73" i="22"/>
  <c r="H76" i="22" s="1"/>
  <c r="P3" i="22" s="1"/>
  <c r="L213" i="22"/>
  <c r="T6" i="22" s="1"/>
  <c r="K180" i="22"/>
  <c r="S5" i="22" s="1"/>
  <c r="H180" i="22"/>
  <c r="P5" i="22" s="1"/>
  <c r="H111" i="22"/>
  <c r="P4" i="22" s="1"/>
  <c r="I41" i="22"/>
  <c r="Q2" i="22" s="1"/>
  <c r="K41" i="22"/>
  <c r="S2" i="22" s="1"/>
  <c r="O41" i="22"/>
  <c r="W2" i="22" s="1"/>
  <c r="S41" i="22"/>
  <c r="AA2" i="22" s="1"/>
  <c r="W41" i="22"/>
  <c r="AE2" i="22" s="1"/>
  <c r="AA41" i="22"/>
  <c r="AI2" i="22" s="1"/>
  <c r="AE41" i="22"/>
  <c r="AM2" i="22" s="1"/>
  <c r="AI41" i="22"/>
  <c r="AQ2" i="22" s="1"/>
  <c r="K76" i="22"/>
  <c r="S3" i="22" s="1"/>
  <c r="O76" i="22"/>
  <c r="W3" i="22" s="1"/>
  <c r="S76" i="22"/>
  <c r="AA3" i="22" s="1"/>
  <c r="W76" i="22"/>
  <c r="AE3" i="22" s="1"/>
  <c r="AA76" i="22"/>
  <c r="AI3" i="22" s="1"/>
  <c r="AE76" i="22"/>
  <c r="AM3" i="22" s="1"/>
  <c r="AI76" i="22"/>
  <c r="AQ3" i="22" s="1"/>
  <c r="L111" i="22"/>
  <c r="T4" i="22" s="1"/>
  <c r="P111" i="22"/>
  <c r="X4" i="22" s="1"/>
  <c r="AB4" i="22"/>
  <c r="X111" i="22"/>
  <c r="AF4" i="22" s="1"/>
  <c r="AB111" i="22"/>
  <c r="AJ4" i="22" s="1"/>
  <c r="AF111" i="22"/>
  <c r="AN4" i="22" s="1"/>
  <c r="AJ111" i="22"/>
  <c r="AR4" i="22" s="1"/>
  <c r="L146" i="22"/>
  <c r="T7" i="22" s="1"/>
  <c r="P146" i="22"/>
  <c r="X7" i="22" s="1"/>
  <c r="T146" i="22"/>
  <c r="AB7" i="22" s="1"/>
  <c r="X146" i="22"/>
  <c r="AF7" i="22" s="1"/>
  <c r="AB146" i="22"/>
  <c r="AJ7" i="22" s="1"/>
  <c r="AF146" i="22"/>
  <c r="AN7" i="22" s="1"/>
  <c r="AJ146" i="22"/>
  <c r="AR7" i="22" s="1"/>
  <c r="I180" i="22"/>
  <c r="Q5" i="22" s="1"/>
  <c r="Q180" i="22"/>
  <c r="Y5" i="22" s="1"/>
  <c r="U180" i="22"/>
  <c r="AC5" i="22" s="1"/>
  <c r="Y180" i="22"/>
  <c r="AG5" i="22" s="1"/>
  <c r="AC180" i="22"/>
  <c r="AK5" i="22" s="1"/>
  <c r="AG180" i="22"/>
  <c r="AO5" i="22" s="1"/>
  <c r="AK180" i="22"/>
  <c r="AS5" i="22" s="1"/>
  <c r="K213" i="22"/>
  <c r="S6" i="22" s="1"/>
  <c r="O213" i="22"/>
  <c r="W6" i="22" s="1"/>
  <c r="S213" i="22"/>
  <c r="AA6" i="22" s="1"/>
  <c r="W213" i="22"/>
  <c r="AE6" i="22" s="1"/>
  <c r="AA213" i="22"/>
  <c r="AI6" i="22" s="1"/>
  <c r="AE213" i="22"/>
  <c r="AM6" i="22" s="1"/>
  <c r="AI213" i="22"/>
  <c r="AQ6" i="22" s="1"/>
  <c r="L212" i="22"/>
  <c r="P212" i="22"/>
  <c r="AB212" i="22"/>
  <c r="AF212" i="22"/>
  <c r="I213" i="22"/>
  <c r="Q6" i="22" s="1"/>
  <c r="Q146" i="22"/>
  <c r="Y7" i="22" s="1"/>
  <c r="U146" i="22"/>
  <c r="AC7" i="22" s="1"/>
  <c r="Y146" i="22"/>
  <c r="AG7" i="22" s="1"/>
  <c r="AC146" i="22"/>
  <c r="AK7" i="22" s="1"/>
  <c r="AG146" i="22"/>
  <c r="AO7" i="22" s="1"/>
  <c r="AK146" i="22"/>
  <c r="AS7" i="22" s="1"/>
  <c r="J180" i="22"/>
  <c r="R5" i="22" s="1"/>
  <c r="N180" i="22"/>
  <c r="V5" i="22" s="1"/>
  <c r="R180" i="22"/>
  <c r="Z5" i="22" s="1"/>
  <c r="V180" i="22"/>
  <c r="AD5" i="22" s="1"/>
  <c r="Z180" i="22"/>
  <c r="AH5" i="22" s="1"/>
  <c r="AD180" i="22"/>
  <c r="AL5" i="22" s="1"/>
  <c r="AH180" i="22"/>
  <c r="AP5" i="22" s="1"/>
  <c r="T213" i="22"/>
  <c r="AB6" i="22" s="1"/>
  <c r="AJ213" i="22"/>
  <c r="AR6" i="22" s="1"/>
  <c r="AG212" i="22"/>
  <c r="J111" i="22"/>
  <c r="R4" i="22" s="1"/>
  <c r="M41" i="22"/>
  <c r="U2" i="22" s="1"/>
  <c r="Q41" i="22"/>
  <c r="Y2" i="22" s="1"/>
  <c r="U41" i="22"/>
  <c r="AC2" i="22" s="1"/>
  <c r="Y41" i="22"/>
  <c r="AG2" i="22" s="1"/>
  <c r="AC41" i="22"/>
  <c r="AK2" i="22" s="1"/>
  <c r="AG41" i="22"/>
  <c r="AO2" i="22" s="1"/>
  <c r="AK41" i="22"/>
  <c r="AS2" i="22" s="1"/>
  <c r="I76" i="22"/>
  <c r="Q3" i="22" s="1"/>
  <c r="M76" i="22"/>
  <c r="U3" i="22" s="1"/>
  <c r="Q76" i="22"/>
  <c r="Y3" i="22" s="1"/>
  <c r="U76" i="22"/>
  <c r="AC3" i="22" s="1"/>
  <c r="Y76" i="22"/>
  <c r="AG3" i="22" s="1"/>
  <c r="AC76" i="22"/>
  <c r="AK3" i="22" s="1"/>
  <c r="AG76" i="22"/>
  <c r="AO3" i="22" s="1"/>
  <c r="AK76" i="22"/>
  <c r="AS3" i="22" s="1"/>
  <c r="N111" i="22"/>
  <c r="V4" i="22" s="1"/>
  <c r="R111" i="22"/>
  <c r="Z4" i="22" s="1"/>
  <c r="V111" i="22"/>
  <c r="AD4" i="22" s="1"/>
  <c r="Z111" i="22"/>
  <c r="AH4" i="22" s="1"/>
  <c r="AD111" i="22"/>
  <c r="AL4" i="22" s="1"/>
  <c r="AH111" i="22"/>
  <c r="AP4" i="22" s="1"/>
  <c r="N146" i="22"/>
  <c r="V7" i="22" s="1"/>
  <c r="R146" i="22"/>
  <c r="Z7" i="22" s="1"/>
  <c r="V146" i="22"/>
  <c r="AD7" i="22" s="1"/>
  <c r="Z146" i="22"/>
  <c r="AH7" i="22" s="1"/>
  <c r="AD146" i="22"/>
  <c r="AL7" i="22" s="1"/>
  <c r="AH146" i="22"/>
  <c r="AP7" i="22" s="1"/>
  <c r="O180" i="22"/>
  <c r="W5" i="22" s="1"/>
  <c r="S180" i="22"/>
  <c r="AA5" i="22" s="1"/>
  <c r="W180" i="22"/>
  <c r="AE5" i="22" s="1"/>
  <c r="AA180" i="22"/>
  <c r="AI5" i="22" s="1"/>
  <c r="AE180" i="22"/>
  <c r="AM5" i="22" s="1"/>
  <c r="AI180" i="22"/>
  <c r="AQ5" i="22" s="1"/>
  <c r="M213" i="22"/>
  <c r="U6" i="22" s="1"/>
  <c r="Q213" i="22"/>
  <c r="Y6" i="22" s="1"/>
  <c r="U213" i="22"/>
  <c r="AC6" i="22" s="1"/>
  <c r="Y213" i="22"/>
  <c r="AG6" i="22" s="1"/>
  <c r="AC213" i="22"/>
  <c r="AK6" i="22" s="1"/>
  <c r="AK213" i="22"/>
  <c r="AS6" i="22" s="1"/>
  <c r="G111" i="22"/>
  <c r="O4" i="22" s="1"/>
  <c r="G177" i="22"/>
  <c r="G180" i="22" s="1"/>
  <c r="O5" i="22" s="1"/>
  <c r="J24" i="13"/>
  <c r="J7" i="13"/>
  <c r="H19" i="13"/>
  <c r="J9" i="13"/>
  <c r="H31" i="13"/>
  <c r="J30" i="13"/>
  <c r="J29" i="13"/>
  <c r="J28" i="13"/>
  <c r="H27" i="13"/>
  <c r="H26" i="13"/>
  <c r="J25" i="13"/>
  <c r="H23" i="13"/>
  <c r="H22" i="13"/>
  <c r="J21" i="13"/>
  <c r="J20" i="13"/>
  <c r="H18" i="13"/>
  <c r="J17" i="13"/>
  <c r="J15" i="13"/>
  <c r="H14" i="13"/>
  <c r="H13" i="13"/>
  <c r="J4" i="13"/>
  <c r="H4" i="13"/>
  <c r="J6" i="13"/>
  <c r="J143" i="22"/>
  <c r="J146" i="22" s="1"/>
  <c r="R7" i="22" s="1"/>
  <c r="H12" i="13"/>
  <c r="J11" i="13"/>
  <c r="H10" i="13"/>
  <c r="J8" i="13"/>
  <c r="J3" i="13" l="1"/>
  <c r="C16" i="12"/>
  <c r="H24" i="13"/>
  <c r="H16" i="13"/>
  <c r="F2" i="13"/>
  <c r="J2" i="13" s="1"/>
  <c r="H29" i="13"/>
  <c r="J27" i="13"/>
  <c r="J18" i="13"/>
  <c r="H15" i="13"/>
  <c r="H21" i="13"/>
  <c r="J26" i="13"/>
  <c r="H17" i="13"/>
  <c r="H9" i="13"/>
  <c r="H7" i="13"/>
  <c r="H6" i="13"/>
  <c r="J13" i="13"/>
  <c r="J14" i="13"/>
  <c r="J19" i="13"/>
  <c r="J12" i="13"/>
  <c r="J23" i="13"/>
  <c r="H28" i="13"/>
  <c r="H11" i="13"/>
  <c r="J22" i="13"/>
  <c r="H30" i="13"/>
  <c r="J31" i="13"/>
  <c r="H25" i="13"/>
  <c r="H20" i="13"/>
  <c r="J5" i="13"/>
  <c r="H5" i="13"/>
  <c r="H8" i="13"/>
  <c r="H2" i="13" l="1"/>
  <c r="H3" i="13"/>
  <c r="D16" i="12" l="1"/>
  <c r="AJ75" i="16" l="1"/>
  <c r="AJ85" i="16" l="1"/>
  <c r="J70" i="16"/>
  <c r="I57" i="12"/>
  <c r="I58" i="12" s="1"/>
  <c r="J87" i="16" l="1"/>
  <c r="J84" i="16"/>
  <c r="J71" i="16"/>
  <c r="K71" i="16" s="1"/>
  <c r="K84" i="16"/>
  <c r="AJ84" i="16" s="1"/>
  <c r="AJ82" i="16"/>
  <c r="J78" i="16"/>
  <c r="AJ70" i="16"/>
  <c r="AJ87" i="16" s="1"/>
  <c r="K87" i="16"/>
  <c r="K78" i="16"/>
  <c r="K72" i="16" s="1"/>
  <c r="J83" i="16"/>
  <c r="H57" i="12"/>
  <c r="J81" i="16" l="1"/>
  <c r="AJ78" i="16"/>
  <c r="J76" i="16"/>
  <c r="J72" i="16"/>
  <c r="H59" i="12"/>
  <c r="H58" i="12"/>
  <c r="F5" i="25" s="1"/>
  <c r="F6" i="25"/>
  <c r="J79" i="16"/>
  <c r="J77" i="16" s="1"/>
  <c r="K83" i="16"/>
  <c r="K81" i="16"/>
  <c r="K76" i="16"/>
  <c r="I59" i="12" l="1"/>
  <c r="H60" i="12"/>
  <c r="AJ76" i="16"/>
  <c r="J73" i="16"/>
  <c r="K79" i="16"/>
  <c r="K77" i="16" s="1"/>
  <c r="AJ77" i="16" s="1"/>
  <c r="AJ81" i="16"/>
  <c r="K73" i="16" l="1"/>
</calcChain>
</file>

<file path=xl/sharedStrings.xml><?xml version="1.0" encoding="utf-8"?>
<sst xmlns="http://schemas.openxmlformats.org/spreadsheetml/2006/main" count="1471" uniqueCount="613">
  <si>
    <t>DATES</t>
  </si>
  <si>
    <t>UoM</t>
  </si>
  <si>
    <t>STATION PERFORMANCE</t>
  </si>
  <si>
    <t>Power Generation</t>
  </si>
  <si>
    <t>Power Generation (As per ABT)</t>
  </si>
  <si>
    <t>Mus</t>
  </si>
  <si>
    <t>For the day</t>
  </si>
  <si>
    <t>For the month (MTD)</t>
  </si>
  <si>
    <t>Yield To date (YTD)</t>
  </si>
  <si>
    <t xml:space="preserve">Avg Load  </t>
  </si>
  <si>
    <t>MW</t>
  </si>
  <si>
    <t>Asking Rate</t>
  </si>
  <si>
    <t>Plant Load Factor</t>
  </si>
  <si>
    <t>%</t>
  </si>
  <si>
    <t>Aux Power Consumption</t>
  </si>
  <si>
    <t>For the day (Meter)</t>
  </si>
  <si>
    <t xml:space="preserve">As Per ABT </t>
  </si>
  <si>
    <t>Aux Power Consumption ( ABT)</t>
  </si>
  <si>
    <t>For the month (MTD)(ABT Mus)</t>
  </si>
  <si>
    <t>For the month (MTD)(ABT)</t>
  </si>
  <si>
    <t>Yield To date (YTD)(ABT)</t>
  </si>
  <si>
    <t>Boiler Availability</t>
  </si>
  <si>
    <t>Boiler Availability MTD</t>
  </si>
  <si>
    <t>Boiler Availability YTD</t>
  </si>
  <si>
    <t>Avg. flue gas temp.</t>
  </si>
  <si>
    <r>
      <rPr>
        <sz val="10"/>
        <rFont val="Calibri"/>
        <family val="2"/>
      </rPr>
      <t>̊</t>
    </r>
    <r>
      <rPr>
        <sz val="10"/>
        <rFont val="Arial"/>
        <family val="2"/>
      </rPr>
      <t xml:space="preserve"> C</t>
    </r>
  </si>
  <si>
    <t>TPTCL Sale</t>
  </si>
  <si>
    <t>Yield to date (YTD)</t>
  </si>
  <si>
    <t>Total Sales</t>
  </si>
  <si>
    <t>Total sales YTD</t>
  </si>
  <si>
    <t>UI Mus</t>
  </si>
  <si>
    <t>UI Mus (MTD)</t>
  </si>
  <si>
    <t>UI Mus (YTD)</t>
  </si>
  <si>
    <t>UI Payable(-) /Receivable(+)</t>
  </si>
  <si>
    <t>Rs</t>
  </si>
  <si>
    <t>Rs(Lakh)</t>
  </si>
  <si>
    <t>UI Payable(-) /Receivable(+)(MTD)</t>
  </si>
  <si>
    <t>DM water consumption</t>
  </si>
  <si>
    <t>DM water production</t>
  </si>
  <si>
    <t>MT</t>
  </si>
  <si>
    <t>DM water make up</t>
  </si>
  <si>
    <t>Cum</t>
  </si>
  <si>
    <t>DM water received externally</t>
  </si>
  <si>
    <t>TPC CONSUMPTION PER DAY</t>
  </si>
  <si>
    <t>TPH</t>
  </si>
  <si>
    <t>Raw water Con/MWH</t>
  </si>
  <si>
    <t>Raw water Con for the Month</t>
  </si>
  <si>
    <t>Raw water Con/MWH(MTD)</t>
  </si>
  <si>
    <t>Raw water Con/MWH(YTD)</t>
  </si>
  <si>
    <t>Coke Productions</t>
  </si>
  <si>
    <t>T</t>
  </si>
  <si>
    <t>TATA STEEL SHUT DOWN ACTUAL</t>
  </si>
  <si>
    <t>Hrs</t>
  </si>
  <si>
    <t>Hrs.</t>
  </si>
  <si>
    <t>TATA STEEL SHUT DOWN PLANNED</t>
  </si>
  <si>
    <t>STATION PERFORMANCE GRAPHS</t>
  </si>
  <si>
    <t>UNIT WISE PERFORMANCE</t>
  </si>
  <si>
    <t>UNIT # 1</t>
  </si>
  <si>
    <t>for the day (As per ABT)</t>
  </si>
  <si>
    <t>for the day</t>
  </si>
  <si>
    <t>for the month (MTD)</t>
  </si>
  <si>
    <t>Maximum load</t>
  </si>
  <si>
    <t>Minimum load</t>
  </si>
  <si>
    <t>Average load</t>
  </si>
  <si>
    <t>Daily Running hours</t>
  </si>
  <si>
    <t>hrs</t>
  </si>
  <si>
    <t>Monthly Running hours</t>
  </si>
  <si>
    <t>YTD Running hours</t>
  </si>
  <si>
    <t xml:space="preserve">Unit Availability </t>
  </si>
  <si>
    <t>Steam Consumption of TG#1</t>
  </si>
  <si>
    <t>Mt</t>
  </si>
  <si>
    <t>Sp.Steam Consumption</t>
  </si>
  <si>
    <t>kg/kwh</t>
  </si>
  <si>
    <t>UNIT # 2</t>
  </si>
  <si>
    <t>for the month</t>
  </si>
  <si>
    <t>Steam Consumption of TG#2</t>
  </si>
  <si>
    <t>UNIT # 3</t>
  </si>
  <si>
    <t>For the Day (As per ABT)</t>
  </si>
  <si>
    <t>For the Day</t>
  </si>
  <si>
    <t>For the Month (MTD)</t>
  </si>
  <si>
    <t>Steam Consumption of TG#3</t>
  </si>
  <si>
    <t xml:space="preserve">                                                                            TOTALIZERS READINGS AT 07:00 HOURS </t>
  </si>
  <si>
    <t>MONTHLY</t>
  </si>
  <si>
    <t>BTG steam flow &amp; DM make up
(Totalizer)</t>
  </si>
  <si>
    <t>TG-1 (Steam Totalizer)</t>
  </si>
  <si>
    <t>TG-2 (Steam Totalizer)</t>
  </si>
  <si>
    <t>TG-3 (Steam Totalizer)</t>
  </si>
  <si>
    <t>BOILER  1-1 (Steam flow)</t>
  </si>
  <si>
    <t>BOILER  1-2 (Steam flow)</t>
  </si>
  <si>
    <t>BOILER  1-3 (Steam flow)</t>
  </si>
  <si>
    <t>BOILER  1-4 (Steam flow)</t>
  </si>
  <si>
    <t>BOILER  2-3 (Steam flow)</t>
  </si>
  <si>
    <t>BOILER  2-4 (Steam flow)</t>
  </si>
  <si>
    <t>BOILER  3-1 (Steam flow)</t>
  </si>
  <si>
    <t>BOILER  3-2 (Steam flow)</t>
  </si>
  <si>
    <t>BOILER  3-3 (Steam flow)</t>
  </si>
  <si>
    <t>BOILER  3-4 (Steam flow)</t>
  </si>
  <si>
    <t>BOILER  2-1 (Steam flow)</t>
  </si>
  <si>
    <t>BOILER  2-2 (Steam flow)</t>
  </si>
  <si>
    <t>BOILER  4-1 (Steam flow)</t>
  </si>
  <si>
    <t>BOILER  4-2 (Steam flow)</t>
  </si>
  <si>
    <t>BOILER  4-3 (Steam flow)</t>
  </si>
  <si>
    <t>BOILER  4-4 (Steam flow)</t>
  </si>
  <si>
    <t>Unit-1 hotwell make up</t>
  </si>
  <si>
    <t>Unit-2 hotwell make up</t>
  </si>
  <si>
    <t>Unit-3 hotwell make up</t>
  </si>
  <si>
    <t>Boiler fill pump flow</t>
  </si>
  <si>
    <t>Unit-1 condensate flow</t>
  </si>
  <si>
    <t>Unit-1 DM water flow</t>
  </si>
  <si>
    <t>Excess return to DM tank</t>
  </si>
  <si>
    <t>TG steam flow &amp;
DM make up (TPH)</t>
  </si>
  <si>
    <t>TG-1 (TPH)</t>
  </si>
  <si>
    <t>TG-2 (TPH)</t>
  </si>
  <si>
    <t>TG-3 (TPH)</t>
  </si>
  <si>
    <t>Unit-1 HW make up (TPH)</t>
  </si>
  <si>
    <t>Unit-2 HW make up (TPH)</t>
  </si>
  <si>
    <t>Unit-3 HW make up (TPH)</t>
  </si>
  <si>
    <t>Boiler fill pump flow (TPH)</t>
  </si>
  <si>
    <t>Unit-1 condensate flow (TPH)</t>
  </si>
  <si>
    <t>Unit-1 DM water flow (TPH)</t>
  </si>
  <si>
    <t>Excess return to DM tank (TPH)</t>
  </si>
  <si>
    <t>(Hotwell make up+Boiler Fill p/p make up) - (excess return)</t>
  </si>
  <si>
    <t>Raw water totalizer readings</t>
  </si>
  <si>
    <t>Raw water intake at reservior (old meter)</t>
  </si>
  <si>
    <t>Raw water intake at reservior (new meter)</t>
  </si>
  <si>
    <t>Raw water inlet flow (HDA billing meter)</t>
  </si>
  <si>
    <t>TPC Cons-1 (RWP flow) - old meter</t>
  </si>
  <si>
    <t>TPC Cons-1 (RWP flow) - new meter</t>
  </si>
  <si>
    <t>TPC Cons-2 (Direct forebay make up)</t>
  </si>
  <si>
    <t>TSL Cons - New meter (EM type) Local reading</t>
  </si>
  <si>
    <t>TSL Cons - New meter (EM type) DCS reading</t>
  </si>
  <si>
    <t>Forebay make up through RWP</t>
  </si>
  <si>
    <t>TPC fire water cons</t>
  </si>
  <si>
    <t>TSL fire water cons</t>
  </si>
  <si>
    <t>DM plant make up</t>
  </si>
  <si>
    <t>CW blow down</t>
  </si>
  <si>
    <t>Service Water Cons</t>
  </si>
  <si>
    <t>Raw water consumption
(M3/day)</t>
  </si>
  <si>
    <t>TSL Cons - new meter</t>
  </si>
  <si>
    <t>TSL Cons - DCS meter</t>
  </si>
  <si>
    <t>TPC fire water cons (EM)</t>
  </si>
  <si>
    <t>TSL fire water cons (EM)</t>
  </si>
  <si>
    <t>Raw water analysis</t>
  </si>
  <si>
    <t>Total TPC raw water cons</t>
  </si>
  <si>
    <t>Total TPC raw water cons (MTD)</t>
  </si>
  <si>
    <t>Total TPC raw water cons %</t>
  </si>
  <si>
    <t>Total TPC raw water cons % (MTD)</t>
  </si>
  <si>
    <t>Total TSL raw water cons</t>
  </si>
  <si>
    <t>Total TSL raw water cons (MTD)</t>
  </si>
  <si>
    <t>Total TSL raw water cons %</t>
  </si>
  <si>
    <t>Total TSL raw water cons % (MTD)</t>
  </si>
  <si>
    <t>Total raw water cons per day (TPC+TSL)</t>
  </si>
  <si>
    <t>Total raw water cons per day (TPC+TSL) - MTD</t>
  </si>
  <si>
    <t>Gap between billing meter - (total intake at reservoir + forebay)</t>
  </si>
  <si>
    <t>Gap between billing meter - (TPC cons + TSL cons)</t>
  </si>
  <si>
    <t>TPC make up (DM plant + RW to Forebay +Direct Forbay + TPC Fire water)</t>
  </si>
  <si>
    <t>TPC make up MTD</t>
  </si>
  <si>
    <t>Gap between TPC cons - Total make up</t>
  </si>
  <si>
    <t>CT evaporation loss</t>
  </si>
  <si>
    <t>Reservoir level down</t>
  </si>
  <si>
    <t>1.0 ft</t>
  </si>
  <si>
    <t>2.5 ft</t>
  </si>
  <si>
    <t>Specific Raw water consumption</t>
  </si>
  <si>
    <t>Parameters/Dates</t>
  </si>
  <si>
    <t>BOILER # 1-1</t>
  </si>
  <si>
    <t>Steam Generation</t>
  </si>
  <si>
    <t>TPD</t>
  </si>
  <si>
    <t>BOILER # 1-2</t>
  </si>
  <si>
    <t>BOILER # 1-3</t>
  </si>
  <si>
    <t>BOILER#1-4</t>
  </si>
  <si>
    <t>BOILER # 2-3</t>
  </si>
  <si>
    <t>BOILER # 2-4</t>
  </si>
  <si>
    <t>BOILER # 3-1</t>
  </si>
  <si>
    <t>BOILER # 3-2</t>
  </si>
  <si>
    <t>BOILER # 3-3</t>
  </si>
  <si>
    <t>BOILER # 3-4</t>
  </si>
  <si>
    <t>BOILER # 2-1</t>
  </si>
  <si>
    <t>BOILER # 2-2</t>
  </si>
  <si>
    <t>BOILER # 4-1</t>
  </si>
  <si>
    <t>BOILER # 4-2</t>
  </si>
  <si>
    <t>BOILER # 4-3</t>
  </si>
  <si>
    <t>BOILER# 4-4</t>
  </si>
  <si>
    <t>NOs</t>
  </si>
  <si>
    <t>Boilers partial/not available</t>
  </si>
  <si>
    <t>Avg running hr of partialy available Blr.</t>
  </si>
  <si>
    <t>Avg No of Boilers in service</t>
  </si>
  <si>
    <t>Nos</t>
  </si>
  <si>
    <t>day-2</t>
  </si>
  <si>
    <t>day-7</t>
  </si>
  <si>
    <t>Date</t>
  </si>
  <si>
    <t>Max Possible Generation  (MUs)</t>
  </si>
  <si>
    <t>Max Possible Generation (MUs) as per boiler availability</t>
  </si>
  <si>
    <t>Total Station Generation (MUs)</t>
  </si>
  <si>
    <t>Variance</t>
  </si>
  <si>
    <t>Variance due to FGT</t>
  </si>
  <si>
    <t>Reason for Variance</t>
  </si>
  <si>
    <t>rs</t>
  </si>
  <si>
    <t>mw</t>
  </si>
  <si>
    <t>MAIN
EQUIPMENTS*</t>
  </si>
  <si>
    <t>OUTAGE REASON</t>
  </si>
  <si>
    <t>OUTAGE 
HOURS</t>
  </si>
  <si>
    <t>OUTAGE 
SINCE</t>
  </si>
  <si>
    <t>REMARKS</t>
  </si>
  <si>
    <t>MAIN EQUIPMENTS* (Pump/Motor)</t>
  </si>
  <si>
    <t>CW PUMPs</t>
  </si>
  <si>
    <t>CEPs</t>
  </si>
  <si>
    <t>LOPs</t>
  </si>
  <si>
    <t>HOTWELL MAKE UP P/PS</t>
  </si>
  <si>
    <t>BOILER FILL P/PS</t>
  </si>
  <si>
    <t>BFPs</t>
  </si>
  <si>
    <t>ACW Pumps</t>
  </si>
  <si>
    <t>Booster Pumps</t>
  </si>
  <si>
    <t>ID Fans</t>
  </si>
  <si>
    <t>HPDPs</t>
  </si>
  <si>
    <t>CT FANS</t>
  </si>
  <si>
    <t>DATE/TIME OF 
OUTAGE</t>
  </si>
  <si>
    <t>MAIN
ASSET</t>
  </si>
  <si>
    <t>PLANNED(P)
/FORCED(F)</t>
  </si>
  <si>
    <t>LOAD DURING 
OUTAGE</t>
  </si>
  <si>
    <t xml:space="preserve">OUTAGE REASON </t>
  </si>
  <si>
    <t>DATE/TIME OF 
RESTORATION</t>
  </si>
  <si>
    <t>OUTAGE HOURS</t>
  </si>
  <si>
    <t>OUTAGE 
CAUSE FACTOR *</t>
  </si>
  <si>
    <t>Critical Equipment outage Hrs</t>
  </si>
  <si>
    <t>Sl.</t>
  </si>
  <si>
    <t>Equipment/Sysytem Description</t>
  </si>
  <si>
    <t>Priority</t>
  </si>
  <si>
    <t>Total Hrs(MTD)</t>
  </si>
  <si>
    <t>TG-1</t>
  </si>
  <si>
    <t>H</t>
  </si>
  <si>
    <t>GT-1</t>
  </si>
  <si>
    <t>WASTE HEAT RECOVERY BOILER 1-1</t>
  </si>
  <si>
    <t>INDUCED DRAUGHT FAN 1-1</t>
  </si>
  <si>
    <t>WASTE HEAT RECOVERY BOILER 1-2</t>
  </si>
  <si>
    <t>INDUCED DRAUGHT FAN 1-2</t>
  </si>
  <si>
    <t>WASTE HEAT RECOVERY BOILER 1-3</t>
  </si>
  <si>
    <t>INDUCED DRAUGHT FAN 1-3</t>
  </si>
  <si>
    <t>WASTE HEAT RECOVERY BOILER 1-4</t>
  </si>
  <si>
    <t>INDUCED DRAUGHT FAN 1-4</t>
  </si>
  <si>
    <t>WASTE HEAT RECOVERY BOILER 2-3</t>
  </si>
  <si>
    <t>INDUCED DRAUGHT FAN 2-3</t>
  </si>
  <si>
    <t>WASTE HEAT RECOVERY BOILER 2-4</t>
  </si>
  <si>
    <t>INDUCED DRAUGHT FAN 2-4</t>
  </si>
  <si>
    <t>CONDENSER-1</t>
  </si>
  <si>
    <t>DEAERATOR-1</t>
  </si>
  <si>
    <t>MAIN OIL TANK-1</t>
  </si>
  <si>
    <t>TG-2</t>
  </si>
  <si>
    <t>GT-2</t>
  </si>
  <si>
    <t>WASTE HEAT RECOVERY BOILER 2-1</t>
  </si>
  <si>
    <t>INDUCED DRAUGHT FAN 2-1</t>
  </si>
  <si>
    <t>WASTE HEAT RECOVERY BOILER 2-2</t>
  </si>
  <si>
    <t>INDUCED DRAUGHT FAN 2-2</t>
  </si>
  <si>
    <t>WASTE HEAT RECOVERY BOILER 3-1</t>
  </si>
  <si>
    <t>INDUCED DRAUGHT FAN 3-1</t>
  </si>
  <si>
    <t>WASTE HEAT RECOVERY BOILER 3-2</t>
  </si>
  <si>
    <t>INDUCED DRAUGHT FAN 3-2</t>
  </si>
  <si>
    <t>WASTE HEAT RECOVERY BOILER 3-3</t>
  </si>
  <si>
    <t>INDUCED DRAUGHT FAN 3-3</t>
  </si>
  <si>
    <t>WASTE HEAT RECOVERY BOILER 3-4</t>
  </si>
  <si>
    <t>INDUCED DRAUGHT FAN 3-4</t>
  </si>
  <si>
    <t>CONDENSER-2</t>
  </si>
  <si>
    <t>DEAERATOR-2</t>
  </si>
  <si>
    <t>MAIN OIL TANK-2</t>
  </si>
  <si>
    <t>TG-3</t>
  </si>
  <si>
    <t>GT-3</t>
  </si>
  <si>
    <t>WASTE HEAT RECOVERY BOILER 4-1</t>
  </si>
  <si>
    <t>INDUCED DRAUGHT FAN 4-1</t>
  </si>
  <si>
    <t>WASTE HEAT RECOVERY BOILER 4-2</t>
  </si>
  <si>
    <t>INDUCED DRAUGHT FAN 4-2</t>
  </si>
  <si>
    <t>WASTE HEAT RECOVERY BOILER 4-3</t>
  </si>
  <si>
    <t>INDUCED DRAUGHT FAN 4-3</t>
  </si>
  <si>
    <t>WASTE HEAT RECOVERY BOILER 4-4</t>
  </si>
  <si>
    <t>INDUCED DRAUGHT FAN 4-4</t>
  </si>
  <si>
    <t>CONDENSER-3</t>
  </si>
  <si>
    <t>DEAERATOR-3</t>
  </si>
  <si>
    <t>MAIN OIL TANK-3</t>
  </si>
  <si>
    <t>DG Set</t>
  </si>
  <si>
    <t>DCS Max DNA</t>
  </si>
  <si>
    <t>DCS Rockwell</t>
  </si>
  <si>
    <t>132KV Circuit-1</t>
  </si>
  <si>
    <t>132KV Circuit-2</t>
  </si>
  <si>
    <t>132KV Busbar A</t>
  </si>
  <si>
    <t>M</t>
  </si>
  <si>
    <t>132KV Busbar B</t>
  </si>
  <si>
    <t>BOILER FEED PUMP-1A</t>
  </si>
  <si>
    <t>BOILER FEED PUMP-1B</t>
  </si>
  <si>
    <t>BOILER FEED PUMP-1C</t>
  </si>
  <si>
    <t>EMERGENCY OIL PUMP-1</t>
  </si>
  <si>
    <t>CONDENSATE EXTRACTION PUMP-1A</t>
  </si>
  <si>
    <t>CONDENSATE EXTRACTION PUMP-1B</t>
  </si>
  <si>
    <t>AUXILLIARY COOLING WATER PUMP-1A</t>
  </si>
  <si>
    <t>AUXILLIARY COOLING WATER PUMP-1B</t>
  </si>
  <si>
    <t>BOOSTER PUMP-1A</t>
  </si>
  <si>
    <t>BOOSTER PUMP-1B</t>
  </si>
  <si>
    <t>MAIN OIL PUMP-1</t>
  </si>
  <si>
    <t>AUXILLIARY OIL PUMP-1</t>
  </si>
  <si>
    <t>DC JOP-1</t>
  </si>
  <si>
    <t>BOILER FEED PUMP-2A</t>
  </si>
  <si>
    <t>BOILER FEED PUMP-2B</t>
  </si>
  <si>
    <t>BOILER FEED PUMP-2C</t>
  </si>
  <si>
    <t>EMERGENCY OIL PUMP-2</t>
  </si>
  <si>
    <t>CONDENSATE EXTRACTION PUMP-2A</t>
  </si>
  <si>
    <t>CONDENSATE EXTRACTION PUMP-2B</t>
  </si>
  <si>
    <t>AUXILLIARY COOLING WATER PUMP-2A</t>
  </si>
  <si>
    <t>AUXILLIARY COOLING WATER PUMP-2B</t>
  </si>
  <si>
    <t>BOOSTER PUMP-2A</t>
  </si>
  <si>
    <t>BOOSTER PUMP-2B</t>
  </si>
  <si>
    <t>MAIN OIL PUMP-2</t>
  </si>
  <si>
    <t>AUXILLIARY OIL PUMP-2</t>
  </si>
  <si>
    <t>DC JOP-2</t>
  </si>
  <si>
    <t>BOILER FEED PUMP-3A</t>
  </si>
  <si>
    <t>BOILER FEED PUMP-3B</t>
  </si>
  <si>
    <t>BOILER FEED PUMP-3C</t>
  </si>
  <si>
    <t>EMERGENCY OIL PUMP-3</t>
  </si>
  <si>
    <t>CONDENSATE EXTRACTION PUMP-3A</t>
  </si>
  <si>
    <t>CONDENSATE EXTRACTION PUMP-3B</t>
  </si>
  <si>
    <t>AUXILLIARY COOLING WATER PUMP-3A</t>
  </si>
  <si>
    <t>AUXILLIARY COOLING WATER PUMP-3B</t>
  </si>
  <si>
    <t>BOOSTER PUMP-3A</t>
  </si>
  <si>
    <t>BOOSTER PUMP-3B</t>
  </si>
  <si>
    <t>MAIN OIL PUMP-3</t>
  </si>
  <si>
    <t>AUXILLIARY OIL PUMP-3</t>
  </si>
  <si>
    <t>DC JOP-3</t>
  </si>
  <si>
    <t>Air Compressor-A</t>
  </si>
  <si>
    <t>Air Compressor-B</t>
  </si>
  <si>
    <t>Air Compressor-C</t>
  </si>
  <si>
    <t>COOLING WATER PUMP-A</t>
  </si>
  <si>
    <t>COOLING WATER PUMP-B</t>
  </si>
  <si>
    <t>COOLING WATER PUMP-C</t>
  </si>
  <si>
    <t>COOLING WATER PUMP-D</t>
  </si>
  <si>
    <t>COOLING TOWER-1</t>
  </si>
  <si>
    <t>COOLING TOWER-2</t>
  </si>
  <si>
    <t>COOLING TOWER-3</t>
  </si>
  <si>
    <t>COOLING TOWER-4</t>
  </si>
  <si>
    <t>COOLING TOWER-5</t>
  </si>
  <si>
    <t>COOLING TOWER-6</t>
  </si>
  <si>
    <t>COOLING TOWER-7</t>
  </si>
  <si>
    <t>COOLING TOWER-8</t>
  </si>
  <si>
    <t>RAW WATER MAKE-UP PUMP-1</t>
  </si>
  <si>
    <t>RAW WATER MAKE-UP PUMP-2</t>
  </si>
  <si>
    <t>RAW WATER MAKE-UP PUMP-3</t>
  </si>
  <si>
    <t>RAW WATER MAKE-UP PUMP-4</t>
  </si>
  <si>
    <t>FIRE WATER EMERGENCY DIESEL PUMP-1</t>
  </si>
  <si>
    <t>FIRE WATER EMERGENCY DIESEL PUMP-2</t>
  </si>
  <si>
    <t>ST-1</t>
  </si>
  <si>
    <t>ST-2</t>
  </si>
  <si>
    <t>SST-1</t>
  </si>
  <si>
    <t>SST-2</t>
  </si>
  <si>
    <t>SST-3</t>
  </si>
  <si>
    <t>SST-4</t>
  </si>
  <si>
    <t>BAT-1</t>
  </si>
  <si>
    <t>BAT-2</t>
  </si>
  <si>
    <t>BAT-3</t>
  </si>
  <si>
    <t>BAT-4</t>
  </si>
  <si>
    <t>RWPT-1</t>
  </si>
  <si>
    <t>RWPT-2</t>
  </si>
  <si>
    <t xml:space="preserve">TG UPS-1 </t>
  </si>
  <si>
    <t xml:space="preserve">TG UPS-2 </t>
  </si>
  <si>
    <t xml:space="preserve">BMCC-1 UPS-1 </t>
  </si>
  <si>
    <t xml:space="preserve">BMCC-1 UPS-2 </t>
  </si>
  <si>
    <t xml:space="preserve">BMCC-2 UPS-1 </t>
  </si>
  <si>
    <t xml:space="preserve">BMCC-2 UPS-2 </t>
  </si>
  <si>
    <t>AC JOP-1</t>
  </si>
  <si>
    <t>L</t>
  </si>
  <si>
    <t>AC JOP-2</t>
  </si>
  <si>
    <t>AC JOP-3</t>
  </si>
  <si>
    <t>FIRE WATER ELECTRIC PUMP-1</t>
  </si>
  <si>
    <t>FIRE WATER ELECTRIC PUMP-2</t>
  </si>
  <si>
    <t>FIRE WATER ELECTRIC PUMP-3</t>
  </si>
  <si>
    <t>FIRE WATER JOCKEY PUMP-1</t>
  </si>
  <si>
    <t>FIRE WATER JOCKEY PUMP-2</t>
  </si>
  <si>
    <t>HOT WELL MAKE UP PUMP-1</t>
  </si>
  <si>
    <t>HOT WELL MAKE UP PUMP-2</t>
  </si>
  <si>
    <t>HOT WELL MAKE UP PUMP-3</t>
  </si>
  <si>
    <t>HOT WELL MAKE UP PUMP-4</t>
  </si>
  <si>
    <t>BOILER FILL PUMP-1</t>
  </si>
  <si>
    <t>BOILER FILL PUMP-2</t>
  </si>
  <si>
    <t>Non Critical Equipment outage Hrs</t>
  </si>
  <si>
    <t>CW BLOW DOWN PUMP-1</t>
  </si>
  <si>
    <t>CW BLOW DOWN PUMP-2</t>
  </si>
  <si>
    <t>CW BLOW DOWN PUMP-3</t>
  </si>
  <si>
    <t>CW BLOW DOWN PUMP-4</t>
  </si>
  <si>
    <t>PSSF-1 Running Hrs</t>
  </si>
  <si>
    <t>PSSF-2 Running Hrs</t>
  </si>
  <si>
    <t>PSSF-3 Running Hrs</t>
  </si>
  <si>
    <t>PSSF-4 Running Hrs</t>
  </si>
  <si>
    <t>Chlorination System running Hrs.</t>
  </si>
  <si>
    <t>AIR DRYER-1</t>
  </si>
  <si>
    <t>AIR DRYER-2</t>
  </si>
  <si>
    <t>UNIT # 1 PERFORMANCE GRAPHS</t>
  </si>
  <si>
    <t>UNIT # 2 PERFORMANCE GRAPHS</t>
  </si>
  <si>
    <t>UNIT # 3 PERFORMANCE GRAPHS</t>
  </si>
  <si>
    <t>Base Data</t>
  </si>
  <si>
    <t>Last Three Months Data</t>
  </si>
  <si>
    <t>% Compliance</t>
  </si>
  <si>
    <t>PLF</t>
  </si>
  <si>
    <t>Availability</t>
  </si>
  <si>
    <t>Target</t>
  </si>
  <si>
    <t>Actual</t>
  </si>
  <si>
    <t>APC</t>
  </si>
  <si>
    <t>Sales</t>
  </si>
  <si>
    <t>TPTCL Sales</t>
  </si>
  <si>
    <t>APC(%)</t>
  </si>
  <si>
    <t>DM water Cons</t>
  </si>
  <si>
    <t>Department :  Haldia Operations</t>
  </si>
  <si>
    <t>Month Year</t>
  </si>
  <si>
    <t>Working days</t>
  </si>
  <si>
    <t>Date of April-18</t>
  </si>
  <si>
    <t>Measure Owner: JMR Group</t>
  </si>
  <si>
    <t>Current Status</t>
  </si>
  <si>
    <t>Compliance &gt;= 90%</t>
  </si>
  <si>
    <t>OK</t>
  </si>
  <si>
    <t>Upper Band</t>
  </si>
  <si>
    <t>80% &lt; Compliance &lt; 90%</t>
  </si>
  <si>
    <t>Alarm</t>
  </si>
  <si>
    <t>Lower Band</t>
  </si>
  <si>
    <t>Compliance &lt;= 80%</t>
  </si>
  <si>
    <t>Not OK</t>
  </si>
  <si>
    <t>Frequency of Review: Daily</t>
  </si>
  <si>
    <t>Date of Dec-14</t>
  </si>
  <si>
    <t>Date of Oct-12</t>
  </si>
  <si>
    <t>Date of June-18</t>
  </si>
  <si>
    <t>1st</t>
  </si>
  <si>
    <t>2nd</t>
  </si>
  <si>
    <t>Date of deviation</t>
  </si>
  <si>
    <t>KPI affected (mark Red)</t>
  </si>
  <si>
    <t>Abnormality /Deviations</t>
  </si>
  <si>
    <t>Root Cause</t>
  </si>
  <si>
    <t>Action Plan</t>
  </si>
  <si>
    <t>Responsibility</t>
  </si>
  <si>
    <t>Target Date</t>
  </si>
  <si>
    <t>Completion date</t>
  </si>
  <si>
    <t>Remarks</t>
  </si>
  <si>
    <t>KPIs</t>
  </si>
  <si>
    <t>Since Inception</t>
  </si>
  <si>
    <t>FY'23 Best</t>
  </si>
  <si>
    <t>Generation in MUs</t>
  </si>
  <si>
    <t> 2.855 (27th Feb’23)</t>
  </si>
  <si>
    <t>APC in %</t>
  </si>
  <si>
    <t> 6.72 (15th FEB’23)</t>
  </si>
  <si>
    <t>2.01 (26th DEC’22) </t>
  </si>
  <si>
    <t>Absolute RW consumption in  M³</t>
  </si>
  <si>
    <t>FY'24</t>
  </si>
  <si>
    <t>1.83 on 28th June'23</t>
  </si>
  <si>
    <t>3413 M³ on 2nd August'23</t>
  </si>
  <si>
    <t>Sp RW consumption in %</t>
  </si>
  <si>
    <t>FY'24 Best</t>
  </si>
  <si>
    <t> 2.860 (29th March’23)</t>
  </si>
  <si>
    <t> 6.72 (15th Feb’23)</t>
  </si>
  <si>
    <t>6.46  (29th Dec'23)</t>
  </si>
  <si>
    <t>Jan'24</t>
  </si>
  <si>
    <t>3rd</t>
  </si>
  <si>
    <t>4th</t>
  </si>
  <si>
    <t>5th</t>
  </si>
  <si>
    <t>6th</t>
  </si>
  <si>
    <t>7th</t>
  </si>
  <si>
    <t>8th</t>
  </si>
  <si>
    <t>9th</t>
  </si>
  <si>
    <t>10th</t>
  </si>
  <si>
    <t>11th</t>
  </si>
  <si>
    <t>12th</t>
  </si>
  <si>
    <t>13th</t>
  </si>
  <si>
    <t>14th</t>
  </si>
  <si>
    <t>15th</t>
  </si>
  <si>
    <t>16th</t>
  </si>
  <si>
    <t>17th</t>
  </si>
  <si>
    <t>18th</t>
  </si>
  <si>
    <t>19th</t>
  </si>
  <si>
    <t>20th</t>
  </si>
  <si>
    <t>21st</t>
  </si>
  <si>
    <t>22nd</t>
  </si>
  <si>
    <t>23rd</t>
  </si>
  <si>
    <t>24th</t>
  </si>
  <si>
    <t>25th</t>
  </si>
  <si>
    <t>26th</t>
  </si>
  <si>
    <t>27th</t>
  </si>
  <si>
    <t>28th</t>
  </si>
  <si>
    <t>29th</t>
  </si>
  <si>
    <t>30th</t>
  </si>
  <si>
    <t>31st</t>
  </si>
  <si>
    <t> 2.927 (11th Feb'24)</t>
  </si>
  <si>
    <t>2.927 Mus on 11th Feb'24</t>
  </si>
  <si>
    <t>Max Load</t>
  </si>
  <si>
    <t>Min Load</t>
  </si>
  <si>
    <t xml:space="preserve"> </t>
  </si>
  <si>
    <t>Feb'24</t>
  </si>
  <si>
    <t>March'24</t>
  </si>
  <si>
    <t>TG  Availability</t>
  </si>
  <si>
    <t>Generation Availability</t>
  </si>
  <si>
    <t>Unit-1 Boilers fully available</t>
  </si>
  <si>
    <t>Unit-2 Boilers fully available</t>
  </si>
  <si>
    <t>Unit-3 Boilers fully available</t>
  </si>
  <si>
    <t xml:space="preserve">Generation Availability </t>
  </si>
  <si>
    <t xml:space="preserve"> Boilers fully available</t>
  </si>
  <si>
    <t>Unit# 1 Boilers</t>
  </si>
  <si>
    <t>Unit# 2 Boilers</t>
  </si>
  <si>
    <t>Unit# 3 Boilers</t>
  </si>
  <si>
    <t xml:space="preserve">TG Availability </t>
  </si>
  <si>
    <t>Unit  Boilers</t>
  </si>
  <si>
    <t>Unit # 1 Generation Availability as per ABP -99.72 %</t>
  </si>
  <si>
    <t>Unit # 3 Generation Availability as per ABP -99.72 %</t>
  </si>
  <si>
    <t> 6.46 (29th Dec’23)</t>
  </si>
  <si>
    <t>FY'25 Best</t>
  </si>
  <si>
    <t>Unit # 1 Generation as per AOP -30.04 MU's</t>
  </si>
  <si>
    <t>Unit # 2 Generation as per AOP -30.04 MU's</t>
  </si>
  <si>
    <t>Unit # 3 Generation as per AOP -20.03 MU's</t>
  </si>
  <si>
    <t>2.904 Mus on 15th May'24</t>
  </si>
  <si>
    <t>6.62% on 15th May'24</t>
  </si>
  <si>
    <t>June-2024      Doc.No-TPCL/IMS/OPN/REP/R001</t>
  </si>
  <si>
    <t xml:space="preserve">  HALDIA DAILY STATION REPORT June'24</t>
  </si>
  <si>
    <t>Target Station Generation as per AOP -78.968 MU's</t>
  </si>
  <si>
    <t>Target Station Aux Power Consumption as per AOP -7.05%</t>
  </si>
  <si>
    <t>Target Generation Availability as per AOP -99.16 %</t>
  </si>
  <si>
    <t>Target Sales to TPTCL as per AOP - 73.4MU's</t>
  </si>
  <si>
    <t xml:space="preserve">  HALDIA DAILY STATION REPORT -June'24</t>
  </si>
  <si>
    <t>Unit # 1 Plant Load Factor as per ABP -97.92 %</t>
  </si>
  <si>
    <t>Unit # 2 Plant Load Factor as per AOP -97.92 %</t>
  </si>
  <si>
    <t>Unit # 3 Plant Load Factor as per AOP - 97.92 %</t>
  </si>
  <si>
    <t>HALDIA DAILY STATION REPORT -June'24</t>
  </si>
  <si>
    <t>EQUIPMENT OUTAGE HISTORY OF THE MONTH June'24</t>
  </si>
  <si>
    <t>ASSET OUTAGE HISTORY OF THE MONTH -June'24</t>
  </si>
  <si>
    <t>REMARKS FOR THE MONTH June-24</t>
  </si>
  <si>
    <t>Target (June'24)</t>
  </si>
  <si>
    <t>01.06.2024</t>
  </si>
  <si>
    <t>Target Station Plant Load Factor as per AOP -97.927 %</t>
  </si>
  <si>
    <t>1) TG Unit - 1,2 &amp; 3 average load were 41.42 MW, 39.75 MW, &amp;  27.4 MW  respectively with 16 Boilers in service.(2) Average Flue gas temperature was 957ºC. Row wise temp were 957ºC,983ºC, 938ºC and 950ºC respectively. (3) Chlorination plant was in stopped condition. (4) Boiler 1-3 soot blowing was done. (5) Boiler 3-3 HPDP-2 PM job done by MMD. (6) Boiler FG I/L pr. trans. fluctuating problem ractified by IMD.</t>
  </si>
  <si>
    <t>1) TG Unit - 1,2 &amp; 3 average load were 40.5 MW, 39.5 MW, &amp;  27.4 MW  respectively with 16 Boilers in service.(2) Average Flue gas temperature was 947ºC. Row wise temp were 939ºC,970ºC, 931ºC and 947ºC respectively. (3) Chlorination plant was in stopped condition. (4) Unit # 1 AOP trial run taken . (5)All 3 units EOP trial run taken. (6) Unit # 1 EOP DCS operation issue ractified  by IMD.</t>
  </si>
  <si>
    <t>02.06.2024</t>
  </si>
  <si>
    <t>1) TG Unit - 1,2 &amp; 3 average load were 42.33 MW, 40.38 MW, &amp;  28.1 MW  respectively with 16 Boilers in service.(2) Average Flue gas temperature was 962ºC. Row wise temp were 951ºC,991ºC, 943ºC and 961ºC respectively. Row-3 pushing was stop for 1.75 hrs.(3) Chlorination plant was in stopped condition. (4) Boiler-2-1 5% CBD given for 1 hour.</t>
  </si>
  <si>
    <t>03.06.2024</t>
  </si>
  <si>
    <t>No deviation</t>
  </si>
  <si>
    <t>04.06.2024</t>
  </si>
  <si>
    <t>1) TG Unit - 1,2 &amp; 3 average load were 43.13 MW, 42.71 MW, &amp;  28.63 MW  respectively with 16 Boilers in service.(2) Average Flue gas temperature was 981ºC. Row wise temp were 977ºC,1007ºC, 958ºC and 981ºC respectively. (3) Chlorination plant was in stopped condition. (4) Soot blowing done in Boiler 4-2. (5) DG trial taken &amp; found ok.</t>
  </si>
  <si>
    <t>05.06.2024</t>
  </si>
  <si>
    <t>1) TG Unit - 1,2 &amp; 3 average load were 43.0 MW, 42.79 MW, &amp;  28.25 MW  respectively with 16 Boilers in service.(2) Average Flue gas temperature was 978ºC. Row wise temp were 979ºC,1001ºC, 958ºC and 973ºC respectively. (3) Chlorination plant was in stopped condition. (4) Soot blowing done in Boiler 3-3.(5) Row-3 and Row-4 taken shutdown for 3 &amp; 1 hrs. form TSL end.</t>
  </si>
  <si>
    <t>1) TG Unit - 1,2 &amp; 3 average load were 41.72 MW, 42.17 MW, &amp;  28.0 MW  respectively with 16 Boilers in service.(2) Average Flue gas temperature was 964ºC. Row wise temp were 959ºC,989ºC, 958ºC and 949ºC respectively. (3) Chlorination plant was in stopped condition. (4) Boiler-2/1 air ingress at Eco outlet attened by MMD.(5) CWP-C discharge valve MOV rectification job done by EMD and IMD.</t>
  </si>
  <si>
    <t>06.06.2024</t>
  </si>
  <si>
    <t>Row# 4 shutdown for 11hrs.</t>
  </si>
  <si>
    <t>07.06.2024</t>
  </si>
  <si>
    <t>1) TG Unit - 1,2 &amp; 3 average load were 43.88 MW, 43.63 MW, &amp;  27.3 MW  respectively with 16 Boilers in service.(2) Average Flue gas temperature was 990ºC. Row wise temp were 986ºC,1019ºC, 988ºC and 966ºC respectively. (3) Chlorination plant was in stopped condition. (4) ACW -1B current tranducer cheange  by EMD.(5) Row #4 schedule shutdown for 11hrs.</t>
  </si>
  <si>
    <t>Raw Water taken with PHE</t>
  </si>
  <si>
    <t>1) TG Unit - 1,2 &amp; 3 average load were 43.14 MW, 43.79 MW, &amp;  27.2 MW  respectively with 16 Boilers in service.(2) Average Flue gas temperature was 993ºC. Row wise temp were 991ºC,1026ºC, 990ºC and 964ºC respectively. (3) Chlorination plant was in stopped condition. (4)Unit#2 Amonia-1 level switch issue ractified  by IMD.(5) Unit#1 oil centrifuge PM job done by MMD.(6) Unit #2 D/A filling CV operation problem ractified by IMD.</t>
  </si>
  <si>
    <t>08.06.2024</t>
  </si>
  <si>
    <t>1) TG Unit - 1,2 &amp; 3 average load were 44.0 MW, 44.13 MW, &amp;  27.6 MW  respectively with 16 Boilers in service.(2) Average Flue gas temperature was 994ºC. Row wise temp were 990ºC,1013ºC, 996ºC and 980ºC respectively. (3) Chlorination plant was in stopped condition. (4) Boiler 1-3 LRSB -3 retracting issue ractified  by MMD.(5)Boiler 3-1 sootblowing done.(6) Unit#3 MOP trial taken found normal.</t>
  </si>
  <si>
    <t>Row-1,3 and 4 production stop for 1.5 hrs,1 hr and 2.5 hrs respectively due to low oven availability.</t>
  </si>
  <si>
    <t xml:space="preserve">1) TG Unit - 1,2 &amp; 3 average load were 44.05 MW, 44.38 MW, &amp;  28.1 MW  respectively with 16 Boilers in service.(2) Average Flue gas temperature was 994ºC. Row wise temp were 994ºC,1024ºC, 984ºC and 974ºC respectively. (3) Row-1,3 and 4 production was stop for 1.5 hrs,1 hr and 2.5 hrs respectively by TSL due to low oven availability. (4) Chlorination plant was in stopped condition. </t>
  </si>
  <si>
    <t>09.06.2024</t>
  </si>
  <si>
    <t>10.06.2024</t>
  </si>
  <si>
    <t>11.06.2024</t>
  </si>
  <si>
    <t>1) TG Unit - 1,2 &amp; 3 average load were 42.21 MW, 42.71 MW, &amp;  28.08 MW  respectively with 16 Boilers in service.(2) Average Flue gas temperature was 977ºC. Row wise temp were 958ºC,1019ºC, 976ºC and 956ºC respectively. (3) DG trial taken &amp; found ok. (4) Chlorination plant was in stopped condition. (5) CW pump C &amp; D rotation checking done.</t>
  </si>
  <si>
    <t>12.06.2024</t>
  </si>
  <si>
    <t>1) TG Unit - 1,2 &amp; 3 average load were 42.46 MW, 44.92 MW, &amp;  27.79 MW  respectively with 16 Boilers in service.(2) Average Flue gas temperature was 987ºC. Row wise temp were 973ºC,1013ºC, 984ºC and 980ºC respectively. (3) Chlorination plant was in stopped condition. (4)Boiler-4-1,2-1 and 4-3 5% CBD given for 1hr,30 min and 30 min respectively.(5) ACW-1A coupling guard replacement done by MMD.</t>
  </si>
  <si>
    <t>13.06.2024</t>
  </si>
  <si>
    <t>1) TG Unit - 1,2 &amp; 3 average load were 42.03 MW, 42.45 MW, &amp;  28 MW  respectively with 16 Boilers in service.(2) Average Flue gas temperature was 973ºC. Row wise temp were 974ºC,994ºC, 959ºC and 963ºC respectively. (3) Chlorination plant was in stopped condition. (4) BFP-3A transducer replacement was done by EMD.</t>
  </si>
  <si>
    <t>Row-1 was under 10 hours shutdown.</t>
  </si>
  <si>
    <t>14.06.2024</t>
  </si>
  <si>
    <t>1) TG Unit - 1,2 &amp; 3 average load were 40.81 MW, 41.44 MW, &amp;  27.4 MW  respectively with 16 Boilers in service.(2) Average Flue gas temperature was 964ºC. Row wise temp were 938ºC,990ºC, 955ºC and 973ºC respectively. Row-1 was under 10 hours shutdown (planned of 8 Hrs) from 09:00 Hr to 19:00 Hr. (3) Chlorination plant was in stopped condition. (4) Fire water Jocky pump-2 feeder end maintenance and PM were done by EMD and MMD.(5) Boiler 4-2 RSB-1 line leakage was arrested by MMD. (6) Standby CW pump C &amp; D shaft freeness checking were done and found ok.</t>
  </si>
  <si>
    <t>Row-1 was under 1 hours shutdown.</t>
  </si>
  <si>
    <t>1) TG Unit - 1,2 &amp; 3 average load were 40.79 MW, 42.1 MW, &amp;  27.4 MW  respectively with 16 Boilers in service.(2) Average Flue gas temperature was 967ºC. Row wise temp were 924ºC,999ºC, 968ºC and 975ºC respectively. Row-1 was under 1 hour shutdown . (3) Chlorination plant was in stopped condition. (4) BMCC-1 lighting transformer was rectified by EMD.</t>
  </si>
  <si>
    <t>15.06.2024</t>
  </si>
  <si>
    <t>16.06.2024</t>
  </si>
  <si>
    <t>1) TG Unit - 1,2 &amp; 3 average load were 41.24 MW, 41.45 MW, &amp;  27.4 MW  respectively with 16 Boilers in service.(2) Average Flue gas temperature was 969ºC. Row wise temp were 945ºC,996ºC, 966ºC and 972ºC respectively. (3) Chlorination plant was in stopped condition. (4) Make-Up water pump-4 maintanence job dobe by MMD.(5) All 3 units EOP trial run taken found normal.(6) Unit #2 MOP trial run taken. (7) Unit-3 lub oil filter filter changeover was done from 3A to 3B; cartidge replacement was done in filter 3A by MMD.</t>
  </si>
  <si>
    <t>Row-1 was under 7 hours shutdown.</t>
  </si>
  <si>
    <t>1) TG Unit - 1,2 &amp; 3 average load were 42.1 MW, 41.89 MW, &amp;  27.4 MW  respectively with 16 Boilers in service.(2) Average Flue gas temperature was 971ºC. Row wise temp were 930ºC,1004ºC, 971ºC and 980ºC respectively. (3) Row-1 shutdown taken by TSL for 3.3 hrs and 3.75 hrs respectively for low CT and breakdown of pusher car. (4) Chlorination plant was in stopped condition. (5) Diesel fire water pump-1 schedule trial trial run taken found normal.</t>
  </si>
  <si>
    <t>17.06.2024</t>
  </si>
  <si>
    <t>18.06.2024</t>
  </si>
  <si>
    <t>1) TG Unit - 1,2 &amp; 3 average load were 42.33 MW, 42.92 MW, &amp;  27.33 MW  respectively with 16 Boilers in service.(2) Average Flue gas temperature was 979ºC. Row wise temp were 942ºC,1008ºC, 981ºC and 984ºC respectively. (3) CW Pump C &amp; D rotation checking done &amp; found ok. (4) Chlorination plant was in stopped condition. (5) DG schedule trial taken &amp; found ok.(6) Boiler-3/1 was taken out of service at 06:26 hrs on 19.06.24 for Overhauling &amp; license renewal.</t>
  </si>
  <si>
    <t>19.06.24
06:26 Hr</t>
  </si>
  <si>
    <t>HRSG 3-1</t>
  </si>
  <si>
    <t>P</t>
  </si>
  <si>
    <t>Overhauling &amp; license renewal</t>
  </si>
  <si>
    <t xml:space="preserve">1) TG Unit - 1,2 &amp; 3 average load were 42.33 MW, 42.92 MW, &amp;  27.33 MW  respectively with 15.2 Boilers in service.(2) Average Flue gas temperature was 985ºC. Row wise temp were 973ºC,999ºC, 984ºC and 984ºC respectively. (3) Boiler 3-1 taken out of service at 06:26 hr. for Overhauling &amp; license renewal. (4) Chlorination plant was in stopped condition. </t>
  </si>
  <si>
    <t>19.06.2024</t>
  </si>
  <si>
    <t>Boiler 3-1 outage for overhauling</t>
  </si>
  <si>
    <t>Boiler 3-1 outage for overhauling; Row-3 : 2.5 Hrs , Row-1: 3 Hrs and Row-3: 3 Hrs pushing -charging stopped.</t>
  </si>
  <si>
    <t>20.06.2024</t>
  </si>
  <si>
    <t>1) TG Unit - 1,2 &amp; 3 average load were 40.18 MW, 39.72 MW, &amp;  27.4 MW  respectively with 15.0 Boilers in service.(2) Average Flue gas temperature was 988ºC. Row wise temp were 968ºC,1009ºC, 972ºC and 998ºC respectively. Row-3 of 2.5 Hrs , Row-1 of 3 Hrs and Row-3 again 3 Hrs pushing -charging stopped. (3) Boiler 3-1 was taken out of service at 06:26 hr. for Overhauling &amp; license renewal. (4) Chlorination plant was in stopped condition. (5) Boiler 3-1 ID Fan no-load and full load trial run was atken and found ok. (6) Boiler 1-2 HPDP-1 motor was replaced by EMD; trial run was taken and found ok. (7) Boiler 3-1 internal hydro test was carried out. (8) Voltage jerk was observed at 15:48 Hr due to Old Haldia S/S to Exide 33 KV line LA Bursting issue.</t>
  </si>
  <si>
    <t xml:space="preserve">Boiler 3-1 is taken back in service at 21:22 Hr. </t>
  </si>
  <si>
    <t>21:22 Hr  21.06.24</t>
  </si>
  <si>
    <t>1) TG Unit - 1,2 &amp; 3 average load were 39.29 MW, 39.67 MW, &amp;  27.4 MW  respectively with 15.11 Boilers in service.(2) Average Flue gas temperature was 978ºC. Row wise temp were 965ºC,1001ºC, 956ºC and 989ºC respectively. (3) Boiler 3-1 was taken out of service at 06:26 hr. for Overhauling &amp; license renewal on 19.06.24 (4) Chlorination plant was in stopped condition. (5) Boiler 3-1 ID was taken in service after Hydro test (external) and overhauling at 21:22 Hr.(6) raw water pond make up line MOV operation was rectified by IMD.(7) Boiler 4-2 RSB line leakage was arrested by MMD.</t>
  </si>
  <si>
    <t>21.06.2024</t>
  </si>
  <si>
    <t>22.06.2024</t>
  </si>
  <si>
    <t>1) TG Unit - 1,2 &amp; 3 average load were 42.47 MW, 42.33 MW, &amp;  28.4 MW  respectively with 16 Boilers in service.(2) Average Flue gas temperature was 985ºC. Row wise temp were 978ºC,1012ºC, 955ºC and 997ºC respectively. (3) MRSS battery Bank-2 capcity test was done and taken in service.(4) Chlorination plant was in stopped condition. (5) Unit#2 ELC PM job was done by MMD.(6) Boiler 3-1 safty valve setting done by MMD.(7) Hydrazine Pump 1A &amp; 1B PM job done by MMD.</t>
  </si>
  <si>
    <t>BFP-2A</t>
  </si>
  <si>
    <t>Motor replacement</t>
  </si>
  <si>
    <t>motor replacement is due to DE side high temp issue and abnormal sound.</t>
  </si>
  <si>
    <t>1) TG Unit - 1,2 &amp; 3 average load were 43.78 MW, 43.99 MW, &amp;  28.7 MW  respectively with 16 Boilers in service.(2) Average Flue gas temperature was 990ºC. Row wise temp were 976ºC,1013ºC, 971ºC and 1000ºC respectively. (3) BFP-2A motor replacement done by EMD due to Motor DE side having abnormal sound and bearing temp high issue.(4) Chlorination plant was in stopped condition. (5) Soot blowing was done in Boiler-4/2.(6) All three units EOP schedule trial run taken.(7) Boiler 3-1 SS sample cooler leakage arrested by MMD.</t>
  </si>
  <si>
    <t>23.06.2024</t>
  </si>
  <si>
    <t>24.06.2024</t>
  </si>
  <si>
    <t>1) TG Unit - 1,2 &amp; 3 average load were 44.74 MW, 44.79 MW, &amp;  28.7 MW  respectively with 16 Boilers in service.(2) Average Flue gas temperature was 1000ºC. Row wise temp were 994ºC,1031ºC, 975ºC and 998ºC respectively. Row-1 pushing-charging was stopped from 10:00 Hr to 12:30 Hr. due to non availability. (3)  Chlorination plant was in stopped condition. (5) Soot blowing was done in Boiler-4-4.(6) U-2 MOT was topped up by 2 barrels.U-3 condenser pit dewatering pump PM was done by MMD. (7) BFP - 2B &amp; 3C motor greasing was done as per schedule by EMD.</t>
  </si>
  <si>
    <t>25.06.2024</t>
  </si>
  <si>
    <t>Boiler 1-3</t>
  </si>
  <si>
    <t>Boiler 1-1</t>
  </si>
  <si>
    <t>26.06.24
00:00 Hr</t>
  </si>
  <si>
    <t>26.06.24
06:00 Hr</t>
  </si>
  <si>
    <t>FY'25 (June)</t>
  </si>
  <si>
    <t>Boiler 1-1  and 1-3 outage for overhauling</t>
  </si>
  <si>
    <t>1) TG Unit - 1,2 &amp; 3 average load were 44.53 MW, 45.33MW, &amp;  28.9 MW  respectively with 16 Boilers in service.(2) Average Flue gas temperature was 1006ºC. Row wise temp were 991ºC,1026ºC, 989ºC and 1016ºC respectively.  (3)  Chlorination plant was in stopped condition. (5) DG trial was taken.(6) IAC- A PM was done by MMD.(7) Boiler 2-3 FG temp transmitters difference high problem was rectified  by IMD.</t>
  </si>
  <si>
    <t>26.06.2024</t>
  </si>
  <si>
    <t>Boiler 1-1  and 1-3 outage.</t>
  </si>
  <si>
    <t>Boiler 1-1 was taken out of service at 06:00 hr. on 26.06.24 for Overhauling &amp; license renewal. Boiler 1-3 was taken out of service at 00:00 hr. on 26.06.24 for Overhauling &amp; license renewal.</t>
  </si>
  <si>
    <t>1) TG Unit - 1,2 &amp; 3 average load were 38.94MW, 38.56MW, &amp;  28.4 MW  respectively with 14.25 Boilers in service.(2) Average Flue gas temperature was 1004ºC. Row wise temp were 999ºC,1021ºC, 982ºC and 1011ºC respectively.  (3)  Chlorination plant was in stopped condition. (5) CW Pump C &amp; D.rotation checking done.(6)Unit # 2&amp;3 AOP Motor greasing done by EMD.  (7) Boiler 1-1 was taken out of service at 06:00 hr. on 26.06.24 for Overhauling &amp; license renewal. (8) Boiler 1-3 was taken out of service at 00:00 hr. on 26.06.24 for Overhauling &amp; license renewal. (9) Boiler 1-3 ID fan Motor noload trial taken.</t>
  </si>
  <si>
    <t>27.06.2024</t>
  </si>
  <si>
    <t>01:35 Hr  29.06.24</t>
  </si>
  <si>
    <t>1) TG Unit - 1,2 &amp; 3 average load were 37.07 MW, 38.03 MW, &amp;  28.5 MW  respectively with 14.0 Boilers in service.(2) Average Flue gas temperature was 1000ºC. Row wise temp were 1006ºC,1019ºC, 968ºC and 1010ºC respectively.  (3)  Chlorination plant was in stopped condition. (5) Boiler 1-1 and 1-3 (internal) Hydro test were done. (6) Boiler 2-4 Inlet duct air ingress point related leakage was arrested by MMD.</t>
  </si>
  <si>
    <t>28.06.2024</t>
  </si>
  <si>
    <t>1) TG Unit - 1,2 &amp; 3 average load were 36.77 MW, 39.36 MW, &amp;  28.3 MW  respectively with 14.0 Boilers in service.(2) Average Flue gas temperature was 1006ºC. Row wise temp were 1005ºC,1027ºC, 986ºC and 1004ºC respectively.  (3)  Chlorination plant was in stopped condition. (5) Boiler 1-3 was taken in service at 01:35hrs after overhauling job.(6) HDA water supply line leakage near oil godown area is arrested by MMD.</t>
  </si>
  <si>
    <t>14:35 Hr  29.06.24</t>
  </si>
  <si>
    <t xml:space="preserve">Boiler-1-3 and Boiler 1-1 were taken in service at 01:35 Hr. &amp; 14:35 Hr. on 29.06.24 respectively after overhauling &amp; license renewal job. </t>
  </si>
  <si>
    <t>1) TG Unit - 1,2 &amp; 3 average load were 40.58 MW, 41.87 MW, &amp;  28.6 MW  respectively with 15.33 Boilers in service.(2) Average Flue gas temperature was 1022ºC. Row wise temp were 1036ºC,1032ºC, 996ºC and 10026C respectively.  (3)  Chlorination plant was in stopped condition. (5) Boiler 1-3 was taken in service at 01:35hrs after overhauling job.(6) HDA water supply line shoutdown job by MMD.(7) Boiler 1-1 was taken in service at 14:35hrs after overhauling job (8) Jockey pump-1 PM job done by MMD. (9) Unit#3 D/A filling line CV ractified by IMD.</t>
  </si>
  <si>
    <t>29.06.2024</t>
  </si>
  <si>
    <t>30.06.2024</t>
  </si>
  <si>
    <t>1) TG Unit - 1,2 &amp; 3 average load were 45.18 MW, 45.85 MW, &amp;  29.5 MW  respectively with 16 Boilers in service.(2) Average Flue gas temperature was 1014ºC. Row wise temp were 1002ºC,1029ºC, 998ºC and 10027ºC respectively.  (3) Chlorination plant was in stopped condition. (5) U-1 AOP schedule trial run was taken and found ok.(7) All units EOP trial run were taken and found 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</si>
</sst>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2">
    <numFmt numFmtId="43" formatCode="_ * #,##0.00_ ;_ * \-#,##0.00_ ;_ * &quot;-&quot;??_ ;_ @_ "/>
    <numFmt numFmtId="164" formatCode="0.000"/>
    <numFmt numFmtId="165" formatCode="0.0"/>
    <numFmt numFmtId="166" formatCode="#,##0.0"/>
    <numFmt numFmtId="167" formatCode="[$-409]d\-mmm\-yy;@"/>
    <numFmt numFmtId="168" formatCode="[$-409]d\-mmm;@"/>
    <numFmt numFmtId="169" formatCode="[$-14009]dd/mm/yy;@"/>
    <numFmt numFmtId="170" formatCode="0.0000"/>
    <numFmt numFmtId="171" formatCode="0.0%"/>
    <numFmt numFmtId="172" formatCode="0.00000"/>
    <numFmt numFmtId="173" formatCode="0.00000000"/>
    <numFmt numFmtId="174" formatCode="#,##0.000"/>
  </numFmts>
  <fonts count="6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4"/>
      <name val="Arial"/>
      <family val="2"/>
    </font>
    <font>
      <sz val="14"/>
      <color indexed="8"/>
      <name val="Arial"/>
      <family val="2"/>
    </font>
    <font>
      <sz val="12"/>
      <color indexed="8"/>
      <name val="Arial"/>
      <family val="2"/>
    </font>
    <font>
      <b/>
      <sz val="20"/>
      <color indexed="8"/>
      <name val="Arial"/>
      <family val="2"/>
    </font>
    <font>
      <sz val="16"/>
      <color indexed="8"/>
      <name val="Arial"/>
      <family val="2"/>
    </font>
    <font>
      <b/>
      <sz val="10"/>
      <color indexed="12"/>
      <name val="Arial"/>
      <family val="2"/>
    </font>
    <font>
      <sz val="12"/>
      <name val="Arial"/>
      <family val="2"/>
    </font>
    <font>
      <sz val="16"/>
      <name val="Arial"/>
      <family val="2"/>
    </font>
    <font>
      <b/>
      <sz val="12"/>
      <name val="Arial"/>
      <family val="2"/>
    </font>
    <font>
      <b/>
      <sz val="14"/>
      <name val="Arial"/>
      <family val="2"/>
    </font>
    <font>
      <b/>
      <sz val="10"/>
      <color indexed="10"/>
      <name val="Arial"/>
      <family val="2"/>
    </font>
    <font>
      <b/>
      <sz val="10"/>
      <name val="Arial"/>
      <family val="2"/>
    </font>
    <font>
      <sz val="8"/>
      <name val="Arial"/>
      <family val="2"/>
    </font>
    <font>
      <sz val="14"/>
      <color indexed="9"/>
      <name val="Arial"/>
      <family val="2"/>
    </font>
    <font>
      <b/>
      <sz val="28"/>
      <name val="Arial"/>
      <family val="2"/>
    </font>
    <font>
      <sz val="18"/>
      <name val="Arial"/>
      <family val="2"/>
    </font>
    <font>
      <sz val="10"/>
      <color indexed="12"/>
      <name val="Arial"/>
      <family val="2"/>
    </font>
    <font>
      <b/>
      <sz val="14"/>
      <color indexed="9"/>
      <name val="Arial"/>
      <family val="2"/>
    </font>
    <font>
      <b/>
      <sz val="14"/>
      <color indexed="8"/>
      <name val="Arial"/>
      <family val="2"/>
    </font>
    <font>
      <b/>
      <sz val="11"/>
      <name val="Arial"/>
      <family val="2"/>
    </font>
    <font>
      <b/>
      <sz val="24"/>
      <color indexed="8"/>
      <name val="Arial"/>
      <family val="2"/>
    </font>
    <font>
      <b/>
      <sz val="22"/>
      <name val="Arial"/>
      <family val="2"/>
    </font>
    <font>
      <b/>
      <sz val="12"/>
      <color indexed="8"/>
      <name val="Arial"/>
      <family val="2"/>
    </font>
    <font>
      <b/>
      <sz val="22"/>
      <color indexed="8"/>
      <name val="Arial"/>
      <family val="2"/>
    </font>
    <font>
      <b/>
      <sz val="24"/>
      <name val="Arial"/>
      <family val="2"/>
    </font>
    <font>
      <b/>
      <sz val="16"/>
      <color indexed="8"/>
      <name val="Arial"/>
      <family val="2"/>
    </font>
    <font>
      <b/>
      <sz val="20"/>
      <name val="Arial"/>
      <family val="2"/>
    </font>
    <font>
      <b/>
      <sz val="16"/>
      <name val="Arial"/>
      <family val="2"/>
    </font>
    <font>
      <sz val="10"/>
      <name val="Calibri"/>
      <family val="2"/>
    </font>
    <font>
      <sz val="11"/>
      <name val="Arial"/>
      <family val="2"/>
    </font>
    <font>
      <b/>
      <sz val="11"/>
      <color indexed="8"/>
      <name val="Arial"/>
      <family val="2"/>
    </font>
    <font>
      <b/>
      <u/>
      <sz val="12"/>
      <name val="Arial"/>
      <family val="2"/>
    </font>
    <font>
      <sz val="5.5"/>
      <name val="Arial"/>
      <family val="2"/>
    </font>
    <font>
      <b/>
      <u/>
      <sz val="10"/>
      <name val="Arial"/>
      <family val="2"/>
    </font>
    <font>
      <b/>
      <sz val="9"/>
      <color indexed="18"/>
      <name val="Arial"/>
      <family val="2"/>
    </font>
    <font>
      <b/>
      <sz val="10"/>
      <color indexed="18"/>
      <name val="Arial"/>
      <family val="2"/>
    </font>
    <font>
      <b/>
      <sz val="9.5"/>
      <color indexed="18"/>
      <name val="Arial"/>
      <family val="2"/>
    </font>
    <font>
      <b/>
      <sz val="9"/>
      <name val="Arial"/>
      <family val="2"/>
    </font>
    <font>
      <b/>
      <sz val="11"/>
      <color theme="1"/>
      <name val="Calibri"/>
      <family val="2"/>
      <scheme val="minor"/>
    </font>
    <font>
      <b/>
      <sz val="14"/>
      <color theme="1"/>
      <name val="Calibri"/>
      <family val="2"/>
      <scheme val="minor"/>
    </font>
    <font>
      <sz val="11"/>
      <name val="Calibri"/>
      <family val="2"/>
      <scheme val="minor"/>
    </font>
    <font>
      <b/>
      <sz val="10"/>
      <color rgb="FF0000FF"/>
      <name val="Arial"/>
      <family val="2"/>
    </font>
    <font>
      <b/>
      <sz val="11"/>
      <color rgb="FF0000FF"/>
      <name val="Arial"/>
      <family val="2"/>
    </font>
    <font>
      <b/>
      <sz val="22"/>
      <color theme="0"/>
      <name val="Arial"/>
      <family val="2"/>
    </font>
    <font>
      <b/>
      <sz val="14"/>
      <color rgb="FFFF0000"/>
      <name val="Arial"/>
      <family val="2"/>
    </font>
    <font>
      <sz val="11"/>
      <color rgb="FF0000FF"/>
      <name val="Arial"/>
      <family val="2"/>
    </font>
    <font>
      <sz val="8"/>
      <name val="Arial"/>
      <family val="2"/>
    </font>
    <font>
      <sz val="8"/>
      <name val="Arial"/>
      <family val="2"/>
    </font>
    <font>
      <sz val="10"/>
      <name val="Arial"/>
      <family val="2"/>
    </font>
    <font>
      <b/>
      <sz val="14"/>
      <color rgb="FF0000FF"/>
      <name val="Arial"/>
      <family val="2"/>
    </font>
    <font>
      <b/>
      <sz val="10"/>
      <color rgb="FF000000"/>
      <name val="Arial"/>
      <family val="2"/>
    </font>
    <font>
      <b/>
      <sz val="10"/>
      <color theme="1"/>
      <name val="Calibri"/>
      <family val="2"/>
    </font>
    <font>
      <b/>
      <sz val="11"/>
      <color theme="1"/>
      <name val="Calibri"/>
      <family val="2"/>
    </font>
    <font>
      <sz val="8"/>
      <name val="Arial"/>
      <family val="2"/>
    </font>
    <font>
      <sz val="11"/>
      <name val="Trebuchet MS"/>
      <family val="2"/>
    </font>
    <font>
      <sz val="11"/>
      <color theme="1"/>
      <name val="Trebuchet MS"/>
      <family val="2"/>
    </font>
  </fonts>
  <fills count="56">
    <fill>
      <patternFill patternType="none"/>
    </fill>
    <fill>
      <patternFill patternType="gray125"/>
    </fill>
    <fill>
      <patternFill patternType="solid">
        <fgColor indexed="41"/>
        <bgColor indexed="64"/>
      </patternFill>
    </fill>
    <fill>
      <patternFill patternType="solid">
        <fgColor indexed="60"/>
        <bgColor indexed="64"/>
      </patternFill>
    </fill>
    <fill>
      <patternFill patternType="solid">
        <fgColor indexed="42"/>
        <bgColor indexed="64"/>
      </patternFill>
    </fill>
    <fill>
      <patternFill patternType="solid">
        <fgColor indexed="40"/>
        <bgColor indexed="64"/>
      </patternFill>
    </fill>
    <fill>
      <patternFill patternType="solid">
        <fgColor indexed="43"/>
        <bgColor indexed="64"/>
      </patternFill>
    </fill>
    <fill>
      <patternFill patternType="solid">
        <fgColor indexed="51"/>
        <bgColor indexed="64"/>
      </patternFill>
    </fill>
    <fill>
      <patternFill patternType="solid">
        <fgColor indexed="44"/>
        <bgColor indexed="64"/>
      </patternFill>
    </fill>
    <fill>
      <patternFill patternType="solid">
        <fgColor indexed="45"/>
        <bgColor indexed="64"/>
      </patternFill>
    </fill>
    <fill>
      <patternFill patternType="solid">
        <fgColor indexed="2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indexed="11"/>
        <bgColor indexed="64"/>
      </patternFill>
    </fill>
    <fill>
      <patternFill patternType="solid">
        <fgColor indexed="9"/>
        <bgColor indexed="64"/>
      </patternFill>
    </fill>
    <fill>
      <patternFill patternType="solid">
        <fgColor indexed="10"/>
        <bgColor indexed="64"/>
      </patternFill>
    </fill>
    <fill>
      <patternFill patternType="solid">
        <fgColor indexed="50"/>
        <bgColor indexed="64"/>
      </patternFill>
    </fill>
    <fill>
      <patternFill patternType="solid">
        <fgColor rgb="FF99CCFF"/>
        <bgColor indexed="64"/>
      </patternFill>
    </fill>
    <fill>
      <patternFill patternType="solid">
        <fgColor rgb="FFFFFF99"/>
        <bgColor indexed="64"/>
      </patternFill>
    </fill>
    <fill>
      <patternFill patternType="solid">
        <fgColor theme="1"/>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rgb="FFCCFFFF"/>
        <bgColor indexed="64"/>
      </patternFill>
    </fill>
    <fill>
      <patternFill patternType="solid">
        <fgColor theme="6" tint="0.39997558519241921"/>
        <bgColor indexed="64"/>
      </patternFill>
    </fill>
    <fill>
      <patternFill patternType="solid">
        <fgColor theme="0"/>
        <bgColor indexed="64"/>
      </patternFill>
    </fill>
    <fill>
      <patternFill patternType="solid">
        <fgColor theme="0" tint="-0.14999847407452621"/>
        <bgColor indexed="64"/>
      </patternFill>
    </fill>
    <fill>
      <patternFill patternType="solid">
        <fgColor rgb="FFCCFFCC"/>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rgb="FFFFFFB3"/>
        <bgColor indexed="64"/>
      </patternFill>
    </fill>
    <fill>
      <patternFill patternType="solid">
        <fgColor theme="5" tint="0.39997558519241921"/>
        <bgColor indexed="64"/>
      </patternFill>
    </fill>
    <fill>
      <patternFill patternType="solid">
        <fgColor rgb="FFFFFF79"/>
        <bgColor indexed="64"/>
      </patternFill>
    </fill>
    <fill>
      <patternFill patternType="solid">
        <fgColor theme="7" tint="0.39997558519241921"/>
        <bgColor indexed="64"/>
      </patternFill>
    </fill>
    <fill>
      <patternFill patternType="solid">
        <fgColor rgb="FF92D050"/>
        <bgColor indexed="64"/>
      </patternFill>
    </fill>
    <fill>
      <patternFill patternType="solid">
        <fgColor rgb="FFFFFFAF"/>
        <bgColor indexed="64"/>
      </patternFill>
    </fill>
    <fill>
      <patternFill patternType="solid">
        <fgColor rgb="FFFFFF4F"/>
        <bgColor indexed="64"/>
      </patternFill>
    </fill>
    <fill>
      <patternFill patternType="solid">
        <fgColor rgb="FF00B0F0"/>
        <bgColor indexed="64"/>
      </patternFill>
    </fill>
    <fill>
      <patternFill patternType="solid">
        <fgColor rgb="FF00B050"/>
        <bgColor indexed="64"/>
      </patternFill>
    </fill>
    <fill>
      <patternFill patternType="solid">
        <fgColor rgb="FFCCC0DA"/>
        <bgColor indexed="64"/>
      </patternFill>
    </fill>
    <fill>
      <patternFill patternType="solid">
        <fgColor rgb="FFB8CCE4"/>
        <bgColor indexed="64"/>
      </patternFill>
    </fill>
    <fill>
      <patternFill patternType="solid">
        <fgColor rgb="FFFFC000"/>
        <bgColor indexed="64"/>
      </patternFill>
    </fill>
    <fill>
      <patternFill patternType="solid">
        <fgColor rgb="FF00CCFF"/>
        <bgColor indexed="64"/>
      </patternFill>
    </fill>
    <fill>
      <patternFill patternType="solid">
        <fgColor rgb="FFFF99CC"/>
        <bgColor indexed="64"/>
      </patternFill>
    </fill>
    <fill>
      <patternFill patternType="solid">
        <fgColor theme="9"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39997558519241921"/>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diagonal/>
    </border>
    <border>
      <left/>
      <right/>
      <top style="medium">
        <color indexed="64"/>
      </top>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style="thin">
        <color indexed="64"/>
      </bottom>
      <diagonal/>
    </border>
    <border>
      <left style="medium">
        <color indexed="64"/>
      </left>
      <right/>
      <top/>
      <bottom/>
      <diagonal/>
    </border>
    <border>
      <left style="medium">
        <color indexed="64"/>
      </left>
      <right style="thin">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thin">
        <color indexed="64"/>
      </left>
      <right style="medium">
        <color indexed="64"/>
      </right>
      <top style="thin">
        <color indexed="64"/>
      </top>
      <bottom style="medium">
        <color indexed="64"/>
      </bottom>
      <diagonal/>
    </border>
  </borders>
  <cellStyleXfs count="22">
    <xf numFmtId="0" fontId="0" fillId="0" borderId="0"/>
    <xf numFmtId="0" fontId="11" fillId="0" borderId="0"/>
    <xf numFmtId="9" fontId="11" fillId="0" borderId="0" applyFont="0" applyFill="0" applyBorder="0" applyAlignment="0" applyProtection="0"/>
    <xf numFmtId="0" fontId="11" fillId="0" borderId="0"/>
    <xf numFmtId="0" fontId="11" fillId="0" borderId="0"/>
    <xf numFmtId="0" fontId="10" fillId="0" borderId="0"/>
    <xf numFmtId="43" fontId="10" fillId="0" borderId="0" applyFont="0" applyFill="0" applyBorder="0" applyAlignment="0" applyProtection="0"/>
    <xf numFmtId="0" fontId="10" fillId="0" borderId="0"/>
    <xf numFmtId="0" fontId="9" fillId="0" borderId="0"/>
    <xf numFmtId="0" fontId="8" fillId="0" borderId="0"/>
    <xf numFmtId="0" fontId="60" fillId="0" borderId="0"/>
    <xf numFmtId="0" fontId="7" fillId="0" borderId="0"/>
    <xf numFmtId="0" fontId="11" fillId="0" borderId="0"/>
    <xf numFmtId="0" fontId="11" fillId="0" borderId="0"/>
    <xf numFmtId="0" fontId="6" fillId="0" borderId="0"/>
    <xf numFmtId="0" fontId="11" fillId="0" borderId="0" applyNumberFormat="0"/>
    <xf numFmtId="0" fontId="5" fillId="0" borderId="0"/>
    <xf numFmtId="0" fontId="11" fillId="0" borderId="0"/>
    <xf numFmtId="0" fontId="4" fillId="0" borderId="0"/>
    <xf numFmtId="0" fontId="3" fillId="0" borderId="0"/>
    <xf numFmtId="0" fontId="2" fillId="0" borderId="0"/>
    <xf numFmtId="0" fontId="1" fillId="0" borderId="0"/>
  </cellStyleXfs>
  <cellXfs count="589">
    <xf numFmtId="0" fontId="0" fillId="0" borderId="0" xfId="0"/>
    <xf numFmtId="0" fontId="14" fillId="2" borderId="1" xfId="0" applyFont="1" applyFill="1" applyBorder="1" applyAlignment="1">
      <alignment horizontal="center" vertical="center"/>
    </xf>
    <xf numFmtId="0" fontId="18" fillId="2" borderId="1" xfId="0" applyFont="1" applyFill="1" applyBorder="1" applyAlignment="1">
      <alignment vertical="center"/>
    </xf>
    <xf numFmtId="2" fontId="17" fillId="2" borderId="1" xfId="0" applyNumberFormat="1" applyFont="1" applyFill="1" applyBorder="1" applyAlignment="1">
      <alignment horizontal="center" vertical="center"/>
    </xf>
    <xf numFmtId="0" fontId="20" fillId="2" borderId="1" xfId="0" applyFont="1" applyFill="1" applyBorder="1" applyAlignment="1">
      <alignment vertical="center"/>
    </xf>
    <xf numFmtId="0" fontId="0" fillId="0" borderId="0" xfId="0" applyAlignment="1">
      <alignment horizontal="center"/>
    </xf>
    <xf numFmtId="0" fontId="0" fillId="3" borderId="0" xfId="0" applyFill="1"/>
    <xf numFmtId="0" fontId="14" fillId="4" borderId="1" xfId="0" applyFont="1" applyFill="1" applyBorder="1" applyAlignment="1">
      <alignment horizontal="center" vertical="center"/>
    </xf>
    <xf numFmtId="164" fontId="17" fillId="2" borderId="1" xfId="0" applyNumberFormat="1" applyFont="1" applyFill="1" applyBorder="1" applyAlignment="1">
      <alignment horizontal="center" vertical="center"/>
    </xf>
    <xf numFmtId="0" fontId="16" fillId="5" borderId="1" xfId="0" applyFont="1" applyFill="1" applyBorder="1" applyAlignment="1">
      <alignment horizontal="left" vertical="center"/>
    </xf>
    <xf numFmtId="0" fontId="19" fillId="5" borderId="1" xfId="0" applyFont="1" applyFill="1" applyBorder="1" applyAlignment="1">
      <alignment vertical="center"/>
    </xf>
    <xf numFmtId="0" fontId="20" fillId="6" borderId="1" xfId="0" applyFont="1" applyFill="1" applyBorder="1" applyAlignment="1">
      <alignment vertical="center"/>
    </xf>
    <xf numFmtId="0" fontId="18" fillId="6" borderId="1" xfId="0" applyFont="1" applyFill="1" applyBorder="1" applyAlignment="1">
      <alignment vertical="center"/>
    </xf>
    <xf numFmtId="164" fontId="17" fillId="6" borderId="1" xfId="0" applyNumberFormat="1" applyFont="1" applyFill="1" applyBorder="1" applyAlignment="1">
      <alignment horizontal="center" vertical="center"/>
    </xf>
    <xf numFmtId="0" fontId="16" fillId="7" borderId="1" xfId="0" applyFont="1" applyFill="1" applyBorder="1" applyAlignment="1">
      <alignment horizontal="left" vertical="center"/>
    </xf>
    <xf numFmtId="0" fontId="19" fillId="7" borderId="1" xfId="0" applyFont="1" applyFill="1" applyBorder="1" applyAlignment="1">
      <alignment vertical="center"/>
    </xf>
    <xf numFmtId="0" fontId="11" fillId="5" borderId="1" xfId="0" applyFont="1" applyFill="1" applyBorder="1" applyAlignment="1">
      <alignment horizontal="center" vertical="center"/>
    </xf>
    <xf numFmtId="0" fontId="18" fillId="8" borderId="1" xfId="0" applyFont="1" applyFill="1" applyBorder="1" applyAlignment="1">
      <alignment vertical="center"/>
    </xf>
    <xf numFmtId="0" fontId="11" fillId="8" borderId="1" xfId="0" applyFont="1" applyFill="1" applyBorder="1" applyAlignment="1">
      <alignment horizontal="center" vertical="center"/>
    </xf>
    <xf numFmtId="0" fontId="20" fillId="8" borderId="1" xfId="0" applyFont="1" applyFill="1" applyBorder="1" applyAlignment="1">
      <alignment vertical="center"/>
    </xf>
    <xf numFmtId="0" fontId="20" fillId="8" borderId="1" xfId="0" applyFont="1" applyFill="1" applyBorder="1" applyAlignment="1">
      <alignment vertical="center" wrapText="1"/>
    </xf>
    <xf numFmtId="0" fontId="20" fillId="5" borderId="1" xfId="0" applyFont="1" applyFill="1" applyBorder="1" applyAlignment="1">
      <alignment vertical="center"/>
    </xf>
    <xf numFmtId="0" fontId="0" fillId="4" borderId="1" xfId="0" applyFill="1" applyBorder="1" applyAlignment="1">
      <alignment horizontal="center" vertical="center"/>
    </xf>
    <xf numFmtId="164" fontId="17" fillId="5" borderId="1" xfId="0" applyNumberFormat="1" applyFont="1" applyFill="1" applyBorder="1" applyAlignment="1">
      <alignment horizontal="center" vertical="center"/>
    </xf>
    <xf numFmtId="164" fontId="0" fillId="4" borderId="1" xfId="0" applyNumberFormat="1" applyFill="1" applyBorder="1" applyAlignment="1">
      <alignment horizontal="center" vertical="center" wrapText="1"/>
    </xf>
    <xf numFmtId="167" fontId="0" fillId="4" borderId="1" xfId="0" applyNumberFormat="1" applyFill="1" applyBorder="1" applyAlignment="1">
      <alignment horizontal="center" vertical="center" wrapText="1"/>
    </xf>
    <xf numFmtId="0" fontId="18" fillId="9" borderId="1" xfId="0" applyFont="1" applyFill="1" applyBorder="1" applyAlignment="1">
      <alignment vertical="center"/>
    </xf>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0" fontId="0" fillId="3" borderId="0" xfId="0" applyFill="1" applyAlignment="1">
      <alignment vertical="center"/>
    </xf>
    <xf numFmtId="0" fontId="23" fillId="0" borderId="0" xfId="0" applyFont="1"/>
    <xf numFmtId="0" fontId="0" fillId="0" borderId="0" xfId="0" applyAlignment="1">
      <alignment horizontal="center" vertical="center"/>
    </xf>
    <xf numFmtId="0" fontId="18" fillId="4" borderId="1" xfId="0" applyFont="1" applyFill="1" applyBorder="1" applyAlignment="1">
      <alignment horizontal="center" vertical="center"/>
    </xf>
    <xf numFmtId="0" fontId="0" fillId="0" borderId="0" xfId="0" applyAlignment="1">
      <alignment horizontal="center" wrapText="1"/>
    </xf>
    <xf numFmtId="0" fontId="18" fillId="2" borderId="1" xfId="0" applyFont="1" applyFill="1" applyBorder="1" applyAlignment="1">
      <alignment horizontal="center" vertical="center"/>
    </xf>
    <xf numFmtId="0" fontId="0" fillId="0" borderId="0" xfId="0" applyAlignment="1">
      <alignment vertical="center"/>
    </xf>
    <xf numFmtId="0" fontId="11" fillId="2"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9" borderId="1" xfId="0" applyFont="1" applyFill="1" applyBorder="1" applyAlignment="1">
      <alignment horizontal="center" vertical="center"/>
    </xf>
    <xf numFmtId="0" fontId="18" fillId="4" borderId="2"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18" fillId="2" borderId="1" xfId="0" applyFont="1" applyFill="1" applyBorder="1" applyAlignment="1">
      <alignment vertical="center" wrapText="1"/>
    </xf>
    <xf numFmtId="14" fontId="11" fillId="4" borderId="1" xfId="0" applyNumberFormat="1" applyFont="1" applyFill="1" applyBorder="1" applyAlignment="1">
      <alignment horizontal="center" vertical="center"/>
    </xf>
    <xf numFmtId="0" fontId="18" fillId="8" borderId="3" xfId="0" applyFont="1" applyFill="1" applyBorder="1" applyAlignment="1">
      <alignment vertical="center"/>
    </xf>
    <xf numFmtId="0" fontId="11" fillId="8" borderId="3" xfId="0" applyFont="1" applyFill="1" applyBorder="1" applyAlignment="1">
      <alignment horizontal="center" vertical="center"/>
    </xf>
    <xf numFmtId="0" fontId="18" fillId="18" borderId="1" xfId="0" applyFont="1" applyFill="1" applyBorder="1" applyAlignment="1">
      <alignment vertical="center"/>
    </xf>
    <xf numFmtId="0" fontId="18" fillId="18" borderId="0" xfId="0" applyFont="1" applyFill="1" applyAlignment="1">
      <alignment horizontal="left" vertical="center"/>
    </xf>
    <xf numFmtId="0" fontId="16" fillId="10" borderId="1" xfId="0" applyFont="1" applyFill="1" applyBorder="1" applyAlignment="1">
      <alignment horizontal="left" vertical="center"/>
    </xf>
    <xf numFmtId="0" fontId="19" fillId="10" borderId="1" xfId="0" applyFont="1" applyFill="1" applyBorder="1" applyAlignment="1">
      <alignment vertical="center"/>
    </xf>
    <xf numFmtId="0" fontId="20" fillId="9" borderId="1" xfId="0" applyFont="1" applyFill="1" applyBorder="1" applyAlignment="1">
      <alignment vertical="center"/>
    </xf>
    <xf numFmtId="2" fontId="0" fillId="2" borderId="1" xfId="0" applyNumberFormat="1" applyFill="1" applyBorder="1" applyAlignment="1">
      <alignment horizontal="center" vertical="center"/>
    </xf>
    <xf numFmtId="0" fontId="11" fillId="20" borderId="0" xfId="0" applyFont="1" applyFill="1"/>
    <xf numFmtId="0" fontId="11" fillId="20" borderId="0" xfId="0" applyFont="1" applyFill="1" applyAlignment="1">
      <alignment horizontal="left"/>
    </xf>
    <xf numFmtId="0" fontId="11" fillId="20" borderId="0" xfId="0" applyFont="1" applyFill="1" applyAlignment="1">
      <alignment vertical="center" wrapText="1"/>
    </xf>
    <xf numFmtId="0" fontId="31" fillId="0" borderId="0" xfId="0" applyFont="1" applyAlignment="1">
      <alignment horizontal="center" vertical="center"/>
    </xf>
    <xf numFmtId="0" fontId="0" fillId="20" borderId="0" xfId="0" applyFill="1"/>
    <xf numFmtId="0" fontId="0" fillId="20" borderId="0" xfId="0" applyFill="1" applyAlignment="1">
      <alignment vertical="center"/>
    </xf>
    <xf numFmtId="0" fontId="28" fillId="20" borderId="0" xfId="0" applyFont="1" applyFill="1" applyAlignment="1">
      <alignment vertical="center"/>
    </xf>
    <xf numFmtId="2" fontId="0" fillId="0" borderId="0" xfId="0" applyNumberFormat="1" applyAlignment="1">
      <alignment vertical="center"/>
    </xf>
    <xf numFmtId="0" fontId="28" fillId="0" borderId="0" xfId="0" applyFont="1" applyAlignment="1">
      <alignment horizontal="center" vertical="center"/>
    </xf>
    <xf numFmtId="16" fontId="0" fillId="0" borderId="0" xfId="0" applyNumberFormat="1" applyAlignment="1">
      <alignment vertical="center"/>
    </xf>
    <xf numFmtId="0" fontId="28" fillId="0" borderId="0" xfId="0" applyFont="1" applyAlignment="1">
      <alignment vertical="center"/>
    </xf>
    <xf numFmtId="16" fontId="23" fillId="0" borderId="0" xfId="0" applyNumberFormat="1" applyFont="1" applyAlignment="1">
      <alignment vertical="center"/>
    </xf>
    <xf numFmtId="0" fontId="23" fillId="0" borderId="0" xfId="0" applyFont="1" applyAlignment="1">
      <alignment vertical="center"/>
    </xf>
    <xf numFmtId="17" fontId="21" fillId="11" borderId="1" xfId="0" applyNumberFormat="1" applyFont="1" applyFill="1" applyBorder="1" applyAlignment="1">
      <alignment horizontal="center" vertical="center"/>
    </xf>
    <xf numFmtId="0" fontId="34" fillId="2" borderId="1" xfId="0" applyFont="1" applyFill="1" applyBorder="1" applyAlignment="1">
      <alignment horizontal="center" vertical="center"/>
    </xf>
    <xf numFmtId="0" fontId="22" fillId="20" borderId="1" xfId="0" applyFont="1" applyFill="1" applyBorder="1"/>
    <xf numFmtId="0" fontId="30" fillId="2" borderId="1" xfId="0" applyFont="1" applyFill="1" applyBorder="1" applyAlignment="1">
      <alignment horizontal="center" vertical="center"/>
    </xf>
    <xf numFmtId="164" fontId="0" fillId="0" borderId="0" xfId="0" applyNumberFormat="1" applyAlignment="1">
      <alignment vertical="center"/>
    </xf>
    <xf numFmtId="0" fontId="20" fillId="21" borderId="2" xfId="0" applyFont="1" applyFill="1" applyBorder="1" applyAlignment="1">
      <alignment horizontal="center" vertical="center" wrapText="1"/>
    </xf>
    <xf numFmtId="0" fontId="21" fillId="21" borderId="1" xfId="0" applyFont="1" applyFill="1" applyBorder="1" applyAlignment="1">
      <alignment horizontal="center" vertical="center"/>
    </xf>
    <xf numFmtId="0" fontId="20" fillId="21" borderId="1" xfId="0" applyFont="1" applyFill="1" applyBorder="1" applyAlignment="1">
      <alignment horizontal="center" vertical="center" wrapText="1"/>
    </xf>
    <xf numFmtId="0" fontId="20" fillId="22" borderId="2" xfId="0" applyFont="1" applyFill="1" applyBorder="1" applyAlignment="1">
      <alignment horizontal="center" vertical="center" wrapText="1"/>
    </xf>
    <xf numFmtId="0" fontId="12" fillId="22" borderId="0" xfId="0" applyFont="1" applyFill="1" applyAlignment="1">
      <alignment horizontal="center" vertical="center"/>
    </xf>
    <xf numFmtId="0" fontId="20" fillId="22" borderId="1" xfId="0" applyFont="1" applyFill="1" applyBorder="1" applyAlignment="1">
      <alignment horizontal="center" vertical="center" wrapText="1"/>
    </xf>
    <xf numFmtId="0" fontId="31" fillId="23" borderId="1" xfId="0" applyFont="1" applyFill="1" applyBorder="1" applyAlignment="1">
      <alignment horizontal="center" vertical="center" wrapText="1"/>
    </xf>
    <xf numFmtId="0" fontId="31" fillId="24" borderId="1" xfId="0" applyFont="1" applyFill="1" applyBorder="1" applyAlignment="1">
      <alignment vertical="center" wrapText="1"/>
    </xf>
    <xf numFmtId="0" fontId="23" fillId="24" borderId="1" xfId="0" applyFont="1" applyFill="1" applyBorder="1" applyAlignment="1">
      <alignment horizontal="center" vertical="center" wrapText="1"/>
    </xf>
    <xf numFmtId="2" fontId="23" fillId="24" borderId="1" xfId="0" applyNumberFormat="1" applyFont="1" applyFill="1" applyBorder="1" applyAlignment="1">
      <alignment horizontal="center" vertical="center"/>
    </xf>
    <xf numFmtId="0" fontId="11" fillId="0" borderId="0" xfId="0" applyFont="1" applyAlignment="1">
      <alignment horizontal="center"/>
    </xf>
    <xf numFmtId="1" fontId="17" fillId="5" borderId="1" xfId="0" applyNumberFormat="1" applyFont="1" applyFill="1" applyBorder="1" applyAlignment="1">
      <alignment horizontal="center" vertical="center"/>
    </xf>
    <xf numFmtId="17" fontId="51" fillId="0" borderId="1" xfId="0" applyNumberFormat="1" applyFont="1" applyBorder="1" applyAlignment="1">
      <alignment horizontal="center"/>
    </xf>
    <xf numFmtId="0" fontId="50" fillId="0" borderId="2" xfId="0" applyFont="1" applyBorder="1"/>
    <xf numFmtId="0" fontId="50" fillId="0" borderId="0" xfId="0" applyFont="1" applyAlignment="1">
      <alignment horizontal="center"/>
    </xf>
    <xf numFmtId="0" fontId="23" fillId="0" borderId="5" xfId="0" applyFont="1" applyBorder="1" applyAlignment="1">
      <alignment horizontal="center"/>
    </xf>
    <xf numFmtId="0" fontId="23" fillId="0" borderId="6" xfId="0" applyFont="1" applyBorder="1" applyAlignment="1">
      <alignment horizontal="center"/>
    </xf>
    <xf numFmtId="0" fontId="0" fillId="0" borderId="5" xfId="0" applyBorder="1"/>
    <xf numFmtId="0" fontId="23" fillId="0" borderId="7" xfId="0" applyFont="1" applyBorder="1" applyAlignment="1">
      <alignment horizontal="center"/>
    </xf>
    <xf numFmtId="0" fontId="52" fillId="21" borderId="1" xfId="0" applyFont="1" applyFill="1" applyBorder="1" applyAlignment="1">
      <alignment horizontal="left"/>
    </xf>
    <xf numFmtId="0" fontId="23" fillId="0" borderId="0" xfId="0" applyFont="1" applyAlignment="1">
      <alignment horizontal="center"/>
    </xf>
    <xf numFmtId="0" fontId="0" fillId="3" borderId="0" xfId="0" applyFill="1" applyAlignment="1">
      <alignment horizontal="center"/>
    </xf>
    <xf numFmtId="2" fontId="53" fillId="28" borderId="1" xfId="0" applyNumberFormat="1" applyFont="1" applyFill="1" applyBorder="1" applyAlignment="1">
      <alignment horizontal="center" vertical="center"/>
    </xf>
    <xf numFmtId="0" fontId="0" fillId="20" borderId="0" xfId="0" applyFill="1" applyAlignment="1">
      <alignment horizontal="center" vertical="center"/>
    </xf>
    <xf numFmtId="2" fontId="17" fillId="20" borderId="1" xfId="0" applyNumberFormat="1" applyFont="1" applyFill="1" applyBorder="1" applyAlignment="1">
      <alignment horizontal="center" vertical="center"/>
    </xf>
    <xf numFmtId="0" fontId="11" fillId="0" borderId="0" xfId="0" applyFont="1" applyAlignment="1">
      <alignment vertical="center"/>
    </xf>
    <xf numFmtId="0" fontId="11" fillId="0" borderId="0" xfId="0" applyFont="1" applyAlignment="1">
      <alignment horizontal="right" vertical="center"/>
    </xf>
    <xf numFmtId="0" fontId="51" fillId="29" borderId="1" xfId="0" applyFont="1" applyFill="1" applyBorder="1" applyAlignment="1">
      <alignment horizontal="center" vertical="center"/>
    </xf>
    <xf numFmtId="0" fontId="0" fillId="27" borderId="1" xfId="0" applyFill="1" applyBorder="1" applyAlignment="1">
      <alignment horizontal="center" vertical="center"/>
    </xf>
    <xf numFmtId="0" fontId="11" fillId="27" borderId="1" xfId="0" applyFont="1" applyFill="1" applyBorder="1" applyAlignment="1">
      <alignment horizontal="center" vertical="center"/>
    </xf>
    <xf numFmtId="1" fontId="0" fillId="27" borderId="1" xfId="0" applyNumberFormat="1" applyFill="1" applyBorder="1" applyAlignment="1">
      <alignment horizontal="center" vertical="center"/>
    </xf>
    <xf numFmtId="0" fontId="0" fillId="27" borderId="3" xfId="0" applyFill="1" applyBorder="1" applyAlignment="1">
      <alignment horizontal="center" vertical="center"/>
    </xf>
    <xf numFmtId="0" fontId="0" fillId="27" borderId="2" xfId="0" applyFill="1" applyBorder="1" applyAlignment="1">
      <alignment horizontal="center" vertical="center"/>
    </xf>
    <xf numFmtId="0" fontId="0" fillId="30" borderId="0" xfId="0" applyFill="1" applyAlignment="1">
      <alignment horizontal="center" vertical="center"/>
    </xf>
    <xf numFmtId="0" fontId="33" fillId="9" borderId="4" xfId="0" applyFont="1" applyFill="1" applyBorder="1" applyAlignment="1">
      <alignment vertical="center"/>
    </xf>
    <xf numFmtId="0" fontId="22" fillId="20" borderId="3" xfId="0" applyFont="1" applyFill="1" applyBorder="1"/>
    <xf numFmtId="0" fontId="22" fillId="20" borderId="3" xfId="0" applyFont="1" applyFill="1" applyBorder="1" applyAlignment="1">
      <alignment horizontal="center"/>
    </xf>
    <xf numFmtId="49" fontId="32" fillId="31" borderId="8" xfId="0" applyNumberFormat="1" applyFont="1" applyFill="1" applyBorder="1" applyAlignment="1">
      <alignment vertical="center"/>
    </xf>
    <xf numFmtId="49" fontId="32" fillId="31" borderId="7" xfId="0" applyNumberFormat="1" applyFont="1" applyFill="1" applyBorder="1" applyAlignment="1">
      <alignment vertical="center"/>
    </xf>
    <xf numFmtId="2" fontId="17" fillId="30" borderId="1" xfId="0" applyNumberFormat="1" applyFont="1" applyFill="1" applyBorder="1" applyAlignment="1">
      <alignment horizontal="center" vertical="center"/>
    </xf>
    <xf numFmtId="16" fontId="18" fillId="4" borderId="1" xfId="0" applyNumberFormat="1" applyFont="1" applyFill="1" applyBorder="1" applyAlignment="1">
      <alignment horizontal="center" vertical="center"/>
    </xf>
    <xf numFmtId="0" fontId="18" fillId="4" borderId="1" xfId="0" applyFont="1" applyFill="1" applyBorder="1" applyAlignment="1">
      <alignment horizontal="center" vertical="center" wrapText="1"/>
    </xf>
    <xf numFmtId="0" fontId="41" fillId="30" borderId="0" xfId="0" applyFont="1" applyFill="1" applyAlignment="1">
      <alignment vertical="center"/>
    </xf>
    <xf numFmtId="0" fontId="41" fillId="0" borderId="0" xfId="0" applyFont="1" applyAlignment="1">
      <alignment vertical="center"/>
    </xf>
    <xf numFmtId="0" fontId="31" fillId="30" borderId="0" xfId="0" applyFont="1" applyFill="1" applyAlignment="1">
      <alignment horizontal="center" vertical="center"/>
    </xf>
    <xf numFmtId="0" fontId="41" fillId="33" borderId="10" xfId="0" applyFont="1" applyFill="1" applyBorder="1" applyAlignment="1">
      <alignment horizontal="left" vertical="center"/>
    </xf>
    <xf numFmtId="1" fontId="41" fillId="33" borderId="11" xfId="0" applyNumberFormat="1" applyFont="1" applyFill="1" applyBorder="1" applyAlignment="1">
      <alignment horizontal="right" vertical="center"/>
    </xf>
    <xf numFmtId="1" fontId="31" fillId="34" borderId="12" xfId="0" applyNumberFormat="1" applyFont="1" applyFill="1" applyBorder="1" applyAlignment="1">
      <alignment horizontal="center" vertical="center"/>
    </xf>
    <xf numFmtId="0" fontId="41" fillId="33" borderId="13" xfId="0" applyFont="1" applyFill="1" applyBorder="1" applyAlignment="1">
      <alignment horizontal="left" vertical="center"/>
    </xf>
    <xf numFmtId="1" fontId="41" fillId="33" borderId="1" xfId="0" applyNumberFormat="1" applyFont="1" applyFill="1" applyBorder="1" applyAlignment="1">
      <alignment horizontal="right" vertical="center"/>
    </xf>
    <xf numFmtId="1" fontId="41" fillId="33" borderId="1" xfId="0" applyNumberFormat="1" applyFont="1" applyFill="1" applyBorder="1" applyAlignment="1">
      <alignment horizontal="right" vertical="center" wrapText="1"/>
    </xf>
    <xf numFmtId="0" fontId="41" fillId="33" borderId="13" xfId="0" applyFont="1" applyFill="1" applyBorder="1" applyAlignment="1">
      <alignment horizontal="left" vertical="center" wrapText="1"/>
    </xf>
    <xf numFmtId="0" fontId="31" fillId="30" borderId="0" xfId="0" applyFont="1" applyFill="1" applyAlignment="1">
      <alignment vertical="center"/>
    </xf>
    <xf numFmtId="0" fontId="31" fillId="0" borderId="0" xfId="0" applyFont="1" applyAlignment="1">
      <alignment vertical="center"/>
    </xf>
    <xf numFmtId="0" fontId="41" fillId="33" borderId="15" xfId="0" applyFont="1" applyFill="1" applyBorder="1" applyAlignment="1">
      <alignment horizontal="left" vertical="center" wrapText="1"/>
    </xf>
    <xf numFmtId="1" fontId="41" fillId="33" borderId="3" xfId="0" applyNumberFormat="1" applyFont="1" applyFill="1" applyBorder="1" applyAlignment="1">
      <alignment horizontal="right" vertical="center"/>
    </xf>
    <xf numFmtId="0" fontId="31" fillId="25" borderId="11" xfId="0" applyFont="1" applyFill="1" applyBorder="1" applyAlignment="1">
      <alignment horizontal="left" vertical="center"/>
    </xf>
    <xf numFmtId="0" fontId="31" fillId="25" borderId="1" xfId="0" applyFont="1" applyFill="1" applyBorder="1" applyAlignment="1">
      <alignment horizontal="left" vertical="center"/>
    </xf>
    <xf numFmtId="0" fontId="31" fillId="25" borderId="1" xfId="0" applyFont="1" applyFill="1" applyBorder="1" applyAlignment="1">
      <alignment horizontal="left" vertical="center" wrapText="1"/>
    </xf>
    <xf numFmtId="0" fontId="31" fillId="25" borderId="3" xfId="0" applyFont="1" applyFill="1" applyBorder="1" applyAlignment="1">
      <alignment horizontal="left" vertical="center" wrapText="1"/>
    </xf>
    <xf numFmtId="0" fontId="41" fillId="35" borderId="11" xfId="0" applyFont="1" applyFill="1" applyBorder="1" applyAlignment="1">
      <alignment horizontal="left" vertical="center" wrapText="1"/>
    </xf>
    <xf numFmtId="1" fontId="41" fillId="35" borderId="11" xfId="0" applyNumberFormat="1" applyFont="1" applyFill="1" applyBorder="1" applyAlignment="1">
      <alignment horizontal="right" vertical="center"/>
    </xf>
    <xf numFmtId="0" fontId="41" fillId="35" borderId="1" xfId="0" applyFont="1" applyFill="1" applyBorder="1" applyAlignment="1">
      <alignment horizontal="left" vertical="center" wrapText="1"/>
    </xf>
    <xf numFmtId="1" fontId="41" fillId="35" borderId="1" xfId="0" applyNumberFormat="1" applyFont="1" applyFill="1" applyBorder="1" applyAlignment="1">
      <alignment horizontal="right" vertical="center"/>
    </xf>
    <xf numFmtId="0" fontId="41" fillId="35" borderId="1" xfId="0" applyFont="1" applyFill="1" applyBorder="1" applyAlignment="1">
      <alignment horizontal="left" vertical="center"/>
    </xf>
    <xf numFmtId="0" fontId="41" fillId="35" borderId="3" xfId="0" applyFont="1" applyFill="1" applyBorder="1" applyAlignment="1">
      <alignment horizontal="left" vertical="center"/>
    </xf>
    <xf numFmtId="1" fontId="41" fillId="35" borderId="3" xfId="0" applyNumberFormat="1" applyFont="1" applyFill="1" applyBorder="1" applyAlignment="1">
      <alignment horizontal="right" vertical="center"/>
    </xf>
    <xf numFmtId="0" fontId="31" fillId="36" borderId="0" xfId="0" applyFont="1" applyFill="1" applyAlignment="1">
      <alignment vertical="center"/>
    </xf>
    <xf numFmtId="0" fontId="31" fillId="37" borderId="1" xfId="0" applyFont="1" applyFill="1" applyBorder="1" applyAlignment="1">
      <alignment horizontal="left" vertical="center" wrapText="1"/>
    </xf>
    <xf numFmtId="0" fontId="31" fillId="36" borderId="1" xfId="0" applyFont="1" applyFill="1" applyBorder="1" applyAlignment="1">
      <alignment horizontal="left" vertical="center" wrapText="1"/>
    </xf>
    <xf numFmtId="0" fontId="31" fillId="38" borderId="0" xfId="0" applyFont="1" applyFill="1" applyAlignment="1">
      <alignment vertical="center"/>
    </xf>
    <xf numFmtId="0" fontId="31" fillId="38" borderId="1" xfId="0" applyFont="1" applyFill="1" applyBorder="1" applyAlignment="1">
      <alignment horizontal="left" vertical="center" wrapText="1"/>
    </xf>
    <xf numFmtId="0" fontId="54" fillId="30" borderId="0" xfId="0" applyFont="1" applyFill="1" applyAlignment="1">
      <alignment vertical="center"/>
    </xf>
    <xf numFmtId="0" fontId="54" fillId="38" borderId="0" xfId="0" applyFont="1" applyFill="1" applyAlignment="1">
      <alignment vertical="center"/>
    </xf>
    <xf numFmtId="0" fontId="54" fillId="38" borderId="1" xfId="0" applyFont="1" applyFill="1" applyBorder="1" applyAlignment="1">
      <alignment horizontal="left" vertical="center" wrapText="1"/>
    </xf>
    <xf numFmtId="0" fontId="41" fillId="38" borderId="0" xfId="0" applyFont="1" applyFill="1" applyAlignment="1">
      <alignment vertical="center"/>
    </xf>
    <xf numFmtId="0" fontId="31" fillId="38" borderId="1" xfId="0" applyFont="1" applyFill="1" applyBorder="1" applyAlignment="1">
      <alignment horizontal="left" vertical="center"/>
    </xf>
    <xf numFmtId="0" fontId="41" fillId="0" borderId="0" xfId="0" applyFont="1" applyAlignment="1">
      <alignment horizontal="center" vertical="center" wrapText="1"/>
    </xf>
    <xf numFmtId="0" fontId="41" fillId="0" borderId="0" xfId="0" applyFont="1" applyAlignment="1">
      <alignment horizontal="left" vertical="center"/>
    </xf>
    <xf numFmtId="0" fontId="41" fillId="0" borderId="0" xfId="0" applyFont="1" applyAlignment="1">
      <alignment horizontal="right" vertical="center"/>
    </xf>
    <xf numFmtId="0" fontId="20" fillId="30" borderId="1" xfId="0" applyFont="1" applyFill="1" applyBorder="1" applyAlignment="1">
      <alignment vertical="center" wrapText="1"/>
    </xf>
    <xf numFmtId="0" fontId="11" fillId="15" borderId="0" xfId="0" applyFont="1" applyFill="1" applyAlignment="1">
      <alignment vertical="center"/>
    </xf>
    <xf numFmtId="0" fontId="11" fillId="15" borderId="0" xfId="0" applyFont="1" applyFill="1" applyAlignment="1">
      <alignment horizontal="center" vertical="center"/>
    </xf>
    <xf numFmtId="0" fontId="11" fillId="15" borderId="1" xfId="0" applyFont="1" applyFill="1" applyBorder="1" applyAlignment="1">
      <alignment vertical="center"/>
    </xf>
    <xf numFmtId="0" fontId="12" fillId="15" borderId="0" xfId="0" applyFont="1" applyFill="1" applyAlignment="1">
      <alignment vertical="center"/>
    </xf>
    <xf numFmtId="0" fontId="21" fillId="15" borderId="0" xfId="0" applyFont="1" applyFill="1" applyAlignment="1">
      <alignment vertical="center" wrapText="1"/>
    </xf>
    <xf numFmtId="0" fontId="12" fillId="15" borderId="0" xfId="0" applyFont="1" applyFill="1" applyAlignment="1">
      <alignment horizontal="left" vertical="center"/>
    </xf>
    <xf numFmtId="0" fontId="41" fillId="0" borderId="1" xfId="0" applyFont="1" applyBorder="1" applyAlignment="1">
      <alignment vertical="center"/>
    </xf>
    <xf numFmtId="0" fontId="20" fillId="15" borderId="0" xfId="0" applyFont="1" applyFill="1" applyAlignment="1">
      <alignment vertical="center" textRotation="90" wrapText="1"/>
    </xf>
    <xf numFmtId="0" fontId="12" fillId="15" borderId="1" xfId="0" applyFont="1" applyFill="1" applyBorder="1" applyAlignment="1">
      <alignment horizontal="center" vertical="center" wrapText="1"/>
    </xf>
    <xf numFmtId="0" fontId="12" fillId="0" borderId="1" xfId="0" applyFont="1" applyBorder="1" applyAlignment="1">
      <alignment vertical="center"/>
    </xf>
    <xf numFmtId="0" fontId="43" fillId="15" borderId="0" xfId="0" applyFont="1" applyFill="1" applyAlignment="1">
      <alignment vertical="center"/>
    </xf>
    <xf numFmtId="0" fontId="45" fillId="15" borderId="0" xfId="0" applyFont="1" applyFill="1" applyAlignment="1">
      <alignment vertical="center"/>
    </xf>
    <xf numFmtId="0" fontId="11" fillId="15" borderId="0" xfId="0" applyFont="1" applyFill="1" applyAlignment="1">
      <alignment vertical="center" wrapText="1"/>
    </xf>
    <xf numFmtId="0" fontId="11" fillId="11" borderId="1" xfId="0" applyFont="1" applyFill="1" applyBorder="1" applyAlignment="1">
      <alignment vertical="center" wrapText="1"/>
    </xf>
    <xf numFmtId="17" fontId="11" fillId="11" borderId="1" xfId="0" applyNumberFormat="1" applyFont="1" applyFill="1" applyBorder="1" applyAlignment="1">
      <alignment horizontal="center" vertical="center" wrapText="1"/>
    </xf>
    <xf numFmtId="0" fontId="23" fillId="11" borderId="1" xfId="0" applyFont="1" applyFill="1" applyBorder="1" applyAlignment="1">
      <alignment vertical="center"/>
    </xf>
    <xf numFmtId="1" fontId="11" fillId="11" borderId="1" xfId="0" applyNumberFormat="1" applyFont="1" applyFill="1" applyBorder="1" applyAlignment="1">
      <alignment horizontal="center" vertical="center"/>
    </xf>
    <xf numFmtId="0" fontId="11" fillId="11" borderId="1" xfId="0" applyFont="1" applyFill="1" applyBorder="1" applyAlignment="1">
      <alignment vertical="center"/>
    </xf>
    <xf numFmtId="0" fontId="23" fillId="11" borderId="18" xfId="0" applyFont="1" applyFill="1" applyBorder="1" applyAlignment="1">
      <alignment vertical="center" wrapText="1"/>
    </xf>
    <xf numFmtId="1" fontId="23" fillId="11" borderId="11" xfId="0" applyNumberFormat="1" applyFont="1" applyFill="1" applyBorder="1" applyAlignment="1">
      <alignment horizontal="center" vertical="center" wrapText="1"/>
    </xf>
    <xf numFmtId="0" fontId="23" fillId="11" borderId="13" xfId="0" applyFont="1" applyFill="1" applyBorder="1" applyAlignment="1">
      <alignment vertical="center" wrapText="1"/>
    </xf>
    <xf numFmtId="1" fontId="23" fillId="11" borderId="1" xfId="0" applyNumberFormat="1" applyFont="1" applyFill="1" applyBorder="1" applyAlignment="1">
      <alignment horizontal="center" vertical="center" wrapText="1"/>
    </xf>
    <xf numFmtId="0" fontId="46" fillId="11" borderId="13" xfId="0" applyFont="1" applyFill="1" applyBorder="1" applyAlignment="1">
      <alignment vertical="center"/>
    </xf>
    <xf numFmtId="2" fontId="47" fillId="11" borderId="1" xfId="0" applyNumberFormat="1" applyFont="1" applyFill="1" applyBorder="1" applyAlignment="1">
      <alignment horizontal="center" vertical="center"/>
    </xf>
    <xf numFmtId="0" fontId="48" fillId="11" borderId="13" xfId="0" applyFont="1" applyFill="1" applyBorder="1" applyAlignment="1">
      <alignment vertical="center"/>
    </xf>
    <xf numFmtId="0" fontId="23" fillId="15" borderId="1" xfId="0" applyFont="1" applyFill="1" applyBorder="1" applyAlignment="1">
      <alignment horizontal="center" vertical="center" wrapText="1"/>
    </xf>
    <xf numFmtId="0" fontId="23" fillId="14" borderId="1" xfId="0" applyFont="1" applyFill="1" applyBorder="1" applyAlignment="1">
      <alignment horizontal="center" vertical="center" wrapText="1"/>
    </xf>
    <xf numFmtId="0" fontId="28" fillId="11" borderId="1" xfId="0" applyFont="1" applyFill="1" applyBorder="1" applyAlignment="1">
      <alignment horizontal="center" vertical="center"/>
    </xf>
    <xf numFmtId="0" fontId="23" fillId="16" borderId="1" xfId="0" applyFont="1" applyFill="1" applyBorder="1" applyAlignment="1">
      <alignment horizontal="center" vertical="center" wrapText="1"/>
    </xf>
    <xf numFmtId="0" fontId="47" fillId="11" borderId="19" xfId="0" applyFont="1" applyFill="1" applyBorder="1" applyAlignment="1">
      <alignment vertical="center"/>
    </xf>
    <xf numFmtId="1" fontId="47" fillId="11" borderId="1" xfId="0" applyNumberFormat="1" applyFont="1" applyFill="1" applyBorder="1" applyAlignment="1">
      <alignment horizontal="center" vertical="center"/>
    </xf>
    <xf numFmtId="0" fontId="11" fillId="15" borderId="0" xfId="0" applyFont="1" applyFill="1" applyAlignment="1">
      <alignment horizontal="center" vertical="center" wrapText="1"/>
    </xf>
    <xf numFmtId="0" fontId="0" fillId="15" borderId="0" xfId="0" applyFill="1"/>
    <xf numFmtId="0" fontId="23" fillId="15" borderId="0" xfId="0" applyFont="1" applyFill="1" applyAlignment="1">
      <alignment vertical="center"/>
    </xf>
    <xf numFmtId="2" fontId="11" fillId="11" borderId="1" xfId="0" applyNumberFormat="1" applyFont="1" applyFill="1" applyBorder="1" applyAlignment="1">
      <alignment horizontal="center" vertical="center"/>
    </xf>
    <xf numFmtId="165" fontId="28" fillId="11" borderId="1" xfId="0" applyNumberFormat="1" applyFont="1" applyFill="1" applyBorder="1"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wrapText="1"/>
    </xf>
    <xf numFmtId="17" fontId="49" fillId="11" borderId="1" xfId="0" applyNumberFormat="1" applyFont="1" applyFill="1" applyBorder="1" applyAlignment="1">
      <alignment horizontal="center" vertical="center" wrapText="1"/>
    </xf>
    <xf numFmtId="0" fontId="37" fillId="6" borderId="20" xfId="0" applyFont="1" applyFill="1" applyBorder="1" applyAlignment="1">
      <alignment vertical="center" wrapText="1"/>
    </xf>
    <xf numFmtId="0" fontId="37" fillId="6" borderId="6" xfId="0" applyFont="1" applyFill="1" applyBorder="1" applyAlignment="1">
      <alignment vertical="center" wrapText="1"/>
    </xf>
    <xf numFmtId="170" fontId="0" fillId="0" borderId="0" xfId="0" applyNumberFormat="1" applyAlignment="1">
      <alignment vertical="center"/>
    </xf>
    <xf numFmtId="170" fontId="0" fillId="0" borderId="0" xfId="0" applyNumberFormat="1"/>
    <xf numFmtId="1" fontId="31" fillId="37" borderId="14" xfId="0" applyNumberFormat="1" applyFont="1" applyFill="1" applyBorder="1" applyAlignment="1">
      <alignment horizontal="center" vertical="center"/>
    </xf>
    <xf numFmtId="1" fontId="31" fillId="37" borderId="16" xfId="0" applyNumberFormat="1" applyFont="1" applyFill="1" applyBorder="1" applyAlignment="1">
      <alignment horizontal="center" vertical="center"/>
    </xf>
    <xf numFmtId="1" fontId="31" fillId="40" borderId="14" xfId="0" applyNumberFormat="1" applyFont="1" applyFill="1" applyBorder="1" applyAlignment="1">
      <alignment horizontal="center" vertical="center"/>
    </xf>
    <xf numFmtId="1" fontId="54" fillId="40" borderId="14" xfId="0" applyNumberFormat="1" applyFont="1" applyFill="1" applyBorder="1" applyAlignment="1">
      <alignment horizontal="center" vertical="center"/>
    </xf>
    <xf numFmtId="2" fontId="11" fillId="27" borderId="1" xfId="0" applyNumberFormat="1" applyFont="1" applyFill="1" applyBorder="1" applyAlignment="1">
      <alignment horizontal="center" vertical="center"/>
    </xf>
    <xf numFmtId="20" fontId="0" fillId="4" borderId="1" xfId="0" applyNumberFormat="1" applyFill="1" applyBorder="1" applyAlignment="1">
      <alignment horizontal="center" vertical="center"/>
    </xf>
    <xf numFmtId="165" fontId="0" fillId="27" borderId="1" xfId="0" applyNumberFormat="1" applyFill="1" applyBorder="1" applyAlignment="1">
      <alignment horizontal="center" vertical="center"/>
    </xf>
    <xf numFmtId="0" fontId="41" fillId="38" borderId="3" xfId="0" applyFont="1" applyFill="1" applyBorder="1" applyAlignment="1">
      <alignment horizontal="left" vertical="center" wrapText="1"/>
    </xf>
    <xf numFmtId="1" fontId="41" fillId="40" borderId="16" xfId="0" applyNumberFormat="1" applyFont="1" applyFill="1" applyBorder="1" applyAlignment="1">
      <alignment horizontal="center" vertical="center"/>
    </xf>
    <xf numFmtId="1" fontId="41" fillId="37" borderId="24" xfId="0" applyNumberFormat="1" applyFont="1" applyFill="1" applyBorder="1" applyAlignment="1">
      <alignment horizontal="center" vertical="center"/>
    </xf>
    <xf numFmtId="0" fontId="41" fillId="36" borderId="0" xfId="0" applyFont="1" applyFill="1" applyAlignment="1">
      <alignment vertical="center"/>
    </xf>
    <xf numFmtId="0" fontId="41" fillId="36" borderId="1" xfId="0" applyFont="1" applyFill="1" applyBorder="1" applyAlignment="1">
      <alignment horizontal="left" vertical="center" wrapText="1"/>
    </xf>
    <xf numFmtId="1" fontId="41" fillId="37" borderId="14" xfId="0" applyNumberFormat="1" applyFont="1" applyFill="1" applyBorder="1" applyAlignment="1">
      <alignment horizontal="center" vertical="center"/>
    </xf>
    <xf numFmtId="0" fontId="41" fillId="38" borderId="1" xfId="0" applyFont="1" applyFill="1" applyBorder="1" applyAlignment="1">
      <alignment horizontal="left" vertical="center" wrapText="1"/>
    </xf>
    <xf numFmtId="1" fontId="41" fillId="40" borderId="14" xfId="0" applyNumberFormat="1" applyFont="1" applyFill="1" applyBorder="1" applyAlignment="1">
      <alignment horizontal="center" vertical="center"/>
    </xf>
    <xf numFmtId="0" fontId="41" fillId="30" borderId="0" xfId="0" applyFont="1" applyFill="1" applyAlignment="1">
      <alignment horizontal="center" vertical="center"/>
    </xf>
    <xf numFmtId="0" fontId="41" fillId="0" borderId="0" xfId="0" applyFont="1" applyAlignment="1">
      <alignment horizontal="center" vertical="center"/>
    </xf>
    <xf numFmtId="0" fontId="56" fillId="38" borderId="9" xfId="0" applyFont="1" applyFill="1" applyBorder="1" applyAlignment="1">
      <alignment horizontal="left" vertical="center" wrapText="1"/>
    </xf>
    <xf numFmtId="1" fontId="56" fillId="40" borderId="22" xfId="0" applyNumberFormat="1" applyFont="1" applyFill="1" applyBorder="1" applyAlignment="1">
      <alignment horizontal="center" vertical="center"/>
    </xf>
    <xf numFmtId="0" fontId="56" fillId="30" borderId="0" xfId="0" applyFont="1" applyFill="1" applyAlignment="1">
      <alignment vertical="center"/>
    </xf>
    <xf numFmtId="0" fontId="56" fillId="0" borderId="0" xfId="0" applyFont="1" applyAlignment="1">
      <alignment vertical="center"/>
    </xf>
    <xf numFmtId="1" fontId="17" fillId="2" borderId="1" xfId="0" applyNumberFormat="1" applyFont="1" applyFill="1" applyBorder="1" applyAlignment="1">
      <alignment horizontal="center" vertical="center"/>
    </xf>
    <xf numFmtId="0" fontId="57" fillId="30" borderId="0" xfId="0" applyFont="1" applyFill="1" applyAlignment="1">
      <alignment vertical="center"/>
    </xf>
    <xf numFmtId="0" fontId="57" fillId="38" borderId="0" xfId="0" applyFont="1" applyFill="1" applyAlignment="1">
      <alignment vertical="center"/>
    </xf>
    <xf numFmtId="0" fontId="41" fillId="43" borderId="2" xfId="0" applyFont="1" applyFill="1" applyBorder="1" applyAlignment="1">
      <alignment horizontal="left" vertical="center" wrapText="1"/>
    </xf>
    <xf numFmtId="1" fontId="41" fillId="43" borderId="24" xfId="0" applyNumberFormat="1" applyFont="1" applyFill="1" applyBorder="1" applyAlignment="1">
      <alignment horizontal="center" vertical="center"/>
    </xf>
    <xf numFmtId="0" fontId="31" fillId="43" borderId="2" xfId="0" applyFont="1" applyFill="1" applyBorder="1" applyAlignment="1">
      <alignment horizontal="left" vertical="center" wrapText="1"/>
    </xf>
    <xf numFmtId="1" fontId="31" fillId="43" borderId="24" xfId="0" applyNumberFormat="1" applyFont="1" applyFill="1" applyBorder="1" applyAlignment="1">
      <alignment horizontal="center" vertical="center"/>
    </xf>
    <xf numFmtId="0" fontId="31" fillId="44" borderId="1" xfId="0" applyFont="1" applyFill="1" applyBorder="1" applyAlignment="1">
      <alignment horizontal="left" vertical="center" wrapText="1"/>
    </xf>
    <xf numFmtId="1" fontId="31" fillId="44" borderId="14" xfId="0" applyNumberFormat="1" applyFont="1" applyFill="1" applyBorder="1" applyAlignment="1">
      <alignment horizontal="center" vertical="center"/>
    </xf>
    <xf numFmtId="0" fontId="41" fillId="44" borderId="1" xfId="0" applyFont="1" applyFill="1" applyBorder="1" applyAlignment="1">
      <alignment horizontal="left" vertical="center" wrapText="1"/>
    </xf>
    <xf numFmtId="1" fontId="41" fillId="0" borderId="0" xfId="0" applyNumberFormat="1" applyFont="1" applyAlignment="1">
      <alignment horizontal="right" vertical="center"/>
    </xf>
    <xf numFmtId="0" fontId="23" fillId="0" borderId="1" xfId="0" applyFont="1" applyBorder="1" applyAlignment="1">
      <alignment horizontal="center"/>
    </xf>
    <xf numFmtId="0" fontId="0" fillId="0" borderId="1" xfId="0" applyBorder="1" applyAlignment="1">
      <alignment horizontal="center"/>
    </xf>
    <xf numFmtId="0" fontId="0" fillId="24" borderId="1" xfId="0" applyFill="1" applyBorder="1"/>
    <xf numFmtId="0" fontId="41" fillId="46" borderId="1" xfId="0" applyFont="1" applyFill="1" applyBorder="1" applyAlignment="1">
      <alignment horizontal="left" vertical="center" wrapText="1"/>
    </xf>
    <xf numFmtId="0" fontId="31" fillId="46" borderId="1" xfId="0" applyFont="1" applyFill="1" applyBorder="1" applyAlignment="1">
      <alignment horizontal="left" vertical="center" wrapText="1"/>
    </xf>
    <xf numFmtId="0" fontId="11" fillId="0" borderId="4" xfId="0" applyFont="1" applyBorder="1" applyAlignment="1">
      <alignment horizontal="center" vertical="center" wrapText="1"/>
    </xf>
    <xf numFmtId="0" fontId="12" fillId="0" borderId="0" xfId="0" applyFont="1" applyAlignment="1">
      <alignment horizontal="center" vertical="center"/>
    </xf>
    <xf numFmtId="171" fontId="23" fillId="11" borderId="9" xfId="2" applyNumberFormat="1" applyFont="1" applyFill="1" applyBorder="1" applyAlignment="1">
      <alignment horizontal="center" vertical="center"/>
    </xf>
    <xf numFmtId="10" fontId="23" fillId="11" borderId="9" xfId="2" applyNumberFormat="1" applyFont="1" applyFill="1" applyBorder="1" applyAlignment="1">
      <alignment horizontal="center" vertical="center"/>
    </xf>
    <xf numFmtId="10" fontId="23" fillId="11" borderId="17" xfId="2" applyNumberFormat="1" applyFont="1" applyFill="1" applyBorder="1" applyAlignment="1">
      <alignment horizontal="center" vertical="center"/>
    </xf>
    <xf numFmtId="9" fontId="11" fillId="15" borderId="0" xfId="2" applyFont="1" applyFill="1" applyBorder="1" applyAlignment="1">
      <alignment horizontal="center" vertical="center"/>
    </xf>
    <xf numFmtId="0" fontId="41" fillId="36" borderId="2" xfId="0" applyFont="1" applyFill="1" applyBorder="1" applyAlignment="1">
      <alignment horizontal="left" vertical="center" wrapText="1"/>
    </xf>
    <xf numFmtId="0" fontId="21" fillId="37" borderId="0" xfId="0" applyFont="1" applyFill="1" applyAlignment="1">
      <alignment horizontal="center" vertical="center" textRotation="90" wrapText="1"/>
    </xf>
    <xf numFmtId="0" fontId="31" fillId="42" borderId="2" xfId="0" applyFont="1" applyFill="1" applyBorder="1" applyAlignment="1">
      <alignment horizontal="left" vertical="center" wrapText="1"/>
    </xf>
    <xf numFmtId="165" fontId="17" fillId="2" borderId="1" xfId="0" applyNumberFormat="1" applyFont="1" applyFill="1" applyBorder="1" applyAlignment="1">
      <alignment horizontal="center" vertical="center"/>
    </xf>
    <xf numFmtId="0" fontId="41" fillId="47" borderId="1" xfId="0" applyFont="1" applyFill="1" applyBorder="1" applyAlignment="1">
      <alignment horizontal="left" vertical="center" wrapText="1"/>
    </xf>
    <xf numFmtId="1" fontId="41" fillId="48" borderId="1" xfId="0" applyNumberFormat="1" applyFont="1" applyFill="1" applyBorder="1" applyAlignment="1">
      <alignment horizontal="right" vertical="center"/>
    </xf>
    <xf numFmtId="1" fontId="0" fillId="0" borderId="0" xfId="0" applyNumberFormat="1" applyAlignment="1">
      <alignment vertical="center"/>
    </xf>
    <xf numFmtId="0" fontId="31" fillId="49" borderId="1" xfId="0" applyFont="1" applyFill="1" applyBorder="1" applyAlignment="1">
      <alignment horizontal="left" vertical="center" wrapText="1"/>
    </xf>
    <xf numFmtId="0" fontId="41" fillId="49" borderId="1" xfId="0" applyFont="1" applyFill="1" applyBorder="1" applyAlignment="1">
      <alignment horizontal="left" vertical="center" wrapText="1"/>
    </xf>
    <xf numFmtId="1" fontId="41" fillId="33" borderId="1" xfId="0" applyNumberFormat="1" applyFont="1" applyFill="1" applyBorder="1" applyAlignment="1">
      <alignment vertical="center"/>
    </xf>
    <xf numFmtId="0" fontId="31" fillId="45" borderId="3" xfId="0" applyFont="1" applyFill="1" applyBorder="1" applyAlignment="1">
      <alignment horizontal="left" vertical="center" wrapText="1"/>
    </xf>
    <xf numFmtId="2" fontId="18" fillId="4" borderId="1" xfId="0" applyNumberFormat="1" applyFont="1" applyFill="1" applyBorder="1" applyAlignment="1">
      <alignment horizontal="center" vertical="center"/>
    </xf>
    <xf numFmtId="0" fontId="41" fillId="33" borderId="1" xfId="0" applyFont="1" applyFill="1" applyBorder="1" applyAlignment="1">
      <alignment vertical="center"/>
    </xf>
    <xf numFmtId="2" fontId="12" fillId="0" borderId="4" xfId="0" applyNumberFormat="1" applyFont="1" applyBorder="1" applyAlignment="1">
      <alignment horizontal="center" vertical="center"/>
    </xf>
    <xf numFmtId="2" fontId="12" fillId="15" borderId="1" xfId="0" applyNumberFormat="1" applyFont="1" applyFill="1" applyBorder="1" applyAlignment="1">
      <alignment horizontal="center" vertical="center"/>
    </xf>
    <xf numFmtId="0" fontId="12" fillId="0" borderId="4" xfId="0" applyFont="1" applyBorder="1" applyAlignment="1">
      <alignment horizontal="center" vertical="center"/>
    </xf>
    <xf numFmtId="0" fontId="11" fillId="4" borderId="1" xfId="0" applyFont="1" applyFill="1" applyBorder="1" applyAlignment="1">
      <alignment horizontal="left" vertical="center" wrapText="1"/>
    </xf>
    <xf numFmtId="49" fontId="35" fillId="11" borderId="26" xfId="0" applyNumberFormat="1" applyFont="1" applyFill="1" applyBorder="1" applyAlignment="1">
      <alignment vertical="center"/>
    </xf>
    <xf numFmtId="0" fontId="41" fillId="24" borderId="1" xfId="0" applyFont="1" applyFill="1" applyBorder="1" applyAlignment="1">
      <alignment horizontal="left" vertical="center" wrapText="1"/>
    </xf>
    <xf numFmtId="2" fontId="17" fillId="50" borderId="1" xfId="0" applyNumberFormat="1" applyFont="1" applyFill="1" applyBorder="1" applyAlignment="1">
      <alignment horizontal="center" vertical="center"/>
    </xf>
    <xf numFmtId="164" fontId="17" fillId="50" borderId="1" xfId="0" applyNumberFormat="1" applyFont="1" applyFill="1" applyBorder="1" applyAlignment="1">
      <alignment horizontal="center" vertical="center"/>
    </xf>
    <xf numFmtId="164" fontId="17" fillId="2" borderId="2" xfId="0" applyNumberFormat="1" applyFont="1" applyFill="1" applyBorder="1" applyAlignment="1">
      <alignment horizontal="center" vertical="center"/>
    </xf>
    <xf numFmtId="2" fontId="17" fillId="6" borderId="1" xfId="0" applyNumberFormat="1" applyFont="1" applyFill="1" applyBorder="1" applyAlignment="1">
      <alignment horizontal="center" vertical="center"/>
    </xf>
    <xf numFmtId="2" fontId="17" fillId="9" borderId="1" xfId="0" applyNumberFormat="1" applyFont="1" applyFill="1" applyBorder="1" applyAlignment="1">
      <alignment horizontal="center" vertical="center"/>
    </xf>
    <xf numFmtId="1" fontId="34" fillId="2" borderId="1" xfId="0" applyNumberFormat="1" applyFont="1" applyFill="1" applyBorder="1" applyAlignment="1">
      <alignment horizontal="center" vertical="center"/>
    </xf>
    <xf numFmtId="164" fontId="17" fillId="9" borderId="1" xfId="0" applyNumberFormat="1" applyFont="1" applyFill="1" applyBorder="1" applyAlignment="1">
      <alignment horizontal="center" vertical="center"/>
    </xf>
    <xf numFmtId="165" fontId="17" fillId="9" borderId="1" xfId="0" applyNumberFormat="1" applyFont="1" applyFill="1" applyBorder="1" applyAlignment="1">
      <alignment horizontal="center" vertical="center"/>
    </xf>
    <xf numFmtId="1" fontId="17" fillId="9" borderId="1" xfId="0" applyNumberFormat="1" applyFont="1" applyFill="1" applyBorder="1" applyAlignment="1">
      <alignment horizontal="center" vertical="center"/>
    </xf>
    <xf numFmtId="0" fontId="51" fillId="0" borderId="1" xfId="0" applyFont="1" applyBorder="1"/>
    <xf numFmtId="164" fontId="0" fillId="0" borderId="0" xfId="0" applyNumberFormat="1" applyAlignment="1">
      <alignment horizontal="center"/>
    </xf>
    <xf numFmtId="165" fontId="17" fillId="28" borderId="1" xfId="0" applyNumberFormat="1" applyFont="1" applyFill="1" applyBorder="1" applyAlignment="1">
      <alignment horizontal="center" vertical="center"/>
    </xf>
    <xf numFmtId="2" fontId="17" fillId="28" borderId="1" xfId="0" applyNumberFormat="1" applyFont="1" applyFill="1" applyBorder="1" applyAlignment="1">
      <alignment horizontal="center" vertical="center"/>
    </xf>
    <xf numFmtId="164" fontId="17" fillId="51" borderId="1" xfId="0" applyNumberFormat="1" applyFont="1" applyFill="1" applyBorder="1" applyAlignment="1">
      <alignment horizontal="center" vertical="center"/>
    </xf>
    <xf numFmtId="0" fontId="11" fillId="24" borderId="1" xfId="0" applyFont="1" applyFill="1" applyBorder="1"/>
    <xf numFmtId="164" fontId="0" fillId="0" borderId="1" xfId="0" applyNumberFormat="1" applyBorder="1" applyAlignment="1">
      <alignment horizontal="center" vertical="center" wrapText="1"/>
    </xf>
    <xf numFmtId="1" fontId="31" fillId="39" borderId="27" xfId="0" applyNumberFormat="1" applyFont="1" applyFill="1" applyBorder="1" applyAlignment="1">
      <alignment horizontal="center" vertical="center"/>
    </xf>
    <xf numFmtId="1" fontId="31" fillId="39" borderId="25" xfId="0" applyNumberFormat="1" applyFont="1" applyFill="1" applyBorder="1" applyAlignment="1">
      <alignment horizontal="center" vertical="center"/>
    </xf>
    <xf numFmtId="2" fontId="0" fillId="0" borderId="0" xfId="0" applyNumberFormat="1" applyAlignment="1">
      <alignment horizontal="center"/>
    </xf>
    <xf numFmtId="170" fontId="0" fillId="0" borderId="0" xfId="0" applyNumberFormat="1" applyAlignment="1">
      <alignment horizontal="center"/>
    </xf>
    <xf numFmtId="2" fontId="17" fillId="5" borderId="1" xfId="0" applyNumberFormat="1" applyFont="1" applyFill="1" applyBorder="1" applyAlignment="1">
      <alignment horizontal="center" vertical="center"/>
    </xf>
    <xf numFmtId="0" fontId="31" fillId="5" borderId="1" xfId="0" applyFont="1" applyFill="1" applyBorder="1" applyAlignment="1">
      <alignment vertical="center"/>
    </xf>
    <xf numFmtId="170" fontId="0" fillId="27" borderId="1" xfId="0" applyNumberFormat="1" applyFill="1" applyBorder="1" applyAlignment="1">
      <alignment horizontal="center" vertical="center"/>
    </xf>
    <xf numFmtId="2" fontId="0" fillId="27" borderId="1" xfId="0" applyNumberFormat="1" applyFill="1" applyBorder="1" applyAlignment="1">
      <alignment horizontal="center" vertical="center"/>
    </xf>
    <xf numFmtId="165" fontId="0" fillId="0" borderId="0" xfId="0" applyNumberFormat="1" applyAlignment="1">
      <alignment horizontal="center"/>
    </xf>
    <xf numFmtId="49" fontId="32" fillId="31" borderId="7" xfId="0" applyNumberFormat="1" applyFont="1" applyFill="1" applyBorder="1" applyAlignment="1">
      <alignment horizontal="center" vertical="center"/>
    </xf>
    <xf numFmtId="1" fontId="31" fillId="39" borderId="38" xfId="0" applyNumberFormat="1" applyFont="1" applyFill="1" applyBorder="1" applyAlignment="1">
      <alignment horizontal="center" vertical="center"/>
    </xf>
    <xf numFmtId="1" fontId="31" fillId="41" borderId="27" xfId="0" applyNumberFormat="1" applyFont="1" applyFill="1" applyBorder="1" applyAlignment="1">
      <alignment horizontal="center" vertical="center"/>
    </xf>
    <xf numFmtId="1" fontId="31" fillId="41" borderId="25" xfId="0" applyNumberFormat="1" applyFont="1" applyFill="1" applyBorder="1" applyAlignment="1">
      <alignment horizontal="center" vertical="center"/>
    </xf>
    <xf numFmtId="1" fontId="31" fillId="41" borderId="39" xfId="0" applyNumberFormat="1" applyFont="1" applyFill="1" applyBorder="1" applyAlignment="1">
      <alignment horizontal="center" vertical="center"/>
    </xf>
    <xf numFmtId="1" fontId="31" fillId="37" borderId="25" xfId="0" applyNumberFormat="1" applyFont="1" applyFill="1" applyBorder="1" applyAlignment="1">
      <alignment horizontal="center" vertical="center"/>
    </xf>
    <xf numFmtId="165" fontId="0" fillId="0" borderId="0" xfId="0" applyNumberFormat="1" applyAlignment="1">
      <alignment vertical="center"/>
    </xf>
    <xf numFmtId="172" fontId="0" fillId="0" borderId="0" xfId="0" applyNumberFormat="1" applyAlignment="1">
      <alignment vertical="center"/>
    </xf>
    <xf numFmtId="2" fontId="11" fillId="4" borderId="1" xfId="0" applyNumberFormat="1" applyFont="1" applyFill="1" applyBorder="1" applyAlignment="1">
      <alignment horizontal="center" vertical="center" wrapText="1"/>
    </xf>
    <xf numFmtId="2" fontId="17" fillId="2" borderId="2" xfId="0" applyNumberFormat="1" applyFont="1" applyFill="1" applyBorder="1" applyAlignment="1">
      <alignment horizontal="center" vertical="center"/>
    </xf>
    <xf numFmtId="2" fontId="17" fillId="30" borderId="0" xfId="0" applyNumberFormat="1" applyFont="1" applyFill="1" applyAlignment="1">
      <alignment horizontal="center" vertical="center"/>
    </xf>
    <xf numFmtId="0" fontId="0" fillId="0" borderId="1" xfId="0" applyBorder="1" applyAlignment="1">
      <alignment vertical="center"/>
    </xf>
    <xf numFmtId="168" fontId="42" fillId="32" borderId="3" xfId="0" applyNumberFormat="1" applyFont="1" applyFill="1" applyBorder="1" applyAlignment="1" applyProtection="1">
      <alignment horizontal="right" vertical="center"/>
      <protection locked="0"/>
    </xf>
    <xf numFmtId="1" fontId="31" fillId="25" borderId="1" xfId="0" applyNumberFormat="1" applyFont="1" applyFill="1" applyBorder="1" applyAlignment="1">
      <alignment horizontal="right" vertical="center"/>
    </xf>
    <xf numFmtId="1" fontId="41" fillId="36" borderId="1" xfId="0" applyNumberFormat="1" applyFont="1" applyFill="1" applyBorder="1" applyAlignment="1">
      <alignment horizontal="right" vertical="center"/>
    </xf>
    <xf numFmtId="1" fontId="31" fillId="37" borderId="1" xfId="0" applyNumberFormat="1" applyFont="1" applyFill="1" applyBorder="1" applyAlignment="1">
      <alignment horizontal="right" vertical="center"/>
    </xf>
    <xf numFmtId="1" fontId="31" fillId="45" borderId="1" xfId="0" applyNumberFormat="1" applyFont="1" applyFill="1" applyBorder="1" applyAlignment="1">
      <alignment horizontal="right" vertical="center"/>
    </xf>
    <xf numFmtId="1" fontId="31" fillId="36" borderId="1" xfId="0" applyNumberFormat="1" applyFont="1" applyFill="1" applyBorder="1" applyAlignment="1">
      <alignment horizontal="right" vertical="center"/>
    </xf>
    <xf numFmtId="9" fontId="41" fillId="43" borderId="1" xfId="2" applyFont="1" applyFill="1" applyBorder="1" applyAlignment="1">
      <alignment horizontal="right" vertical="center"/>
    </xf>
    <xf numFmtId="9" fontId="31" fillId="43" borderId="1" xfId="2" applyFont="1" applyFill="1" applyBorder="1" applyAlignment="1">
      <alignment horizontal="right" vertical="center"/>
    </xf>
    <xf numFmtId="1" fontId="41" fillId="38" borderId="1" xfId="0" applyNumberFormat="1" applyFont="1" applyFill="1" applyBorder="1" applyAlignment="1">
      <alignment horizontal="right" vertical="center"/>
    </xf>
    <xf numFmtId="1" fontId="54" fillId="38" borderId="1" xfId="0" applyNumberFormat="1" applyFont="1" applyFill="1" applyBorder="1" applyAlignment="1">
      <alignment horizontal="right" vertical="center"/>
    </xf>
    <xf numFmtId="1" fontId="31" fillId="38" borderId="1" xfId="0" applyNumberFormat="1" applyFont="1" applyFill="1" applyBorder="1" applyAlignment="1">
      <alignment horizontal="right" vertical="center"/>
    </xf>
    <xf numFmtId="165" fontId="56" fillId="38" borderId="1" xfId="0" applyNumberFormat="1" applyFont="1" applyFill="1" applyBorder="1" applyAlignment="1">
      <alignment horizontal="right" vertical="center"/>
    </xf>
    <xf numFmtId="0" fontId="31" fillId="52" borderId="1" xfId="0" applyFont="1" applyFill="1" applyBorder="1" applyAlignment="1">
      <alignment horizontal="left" vertical="center" wrapText="1"/>
    </xf>
    <xf numFmtId="1" fontId="31" fillId="52" borderId="1" xfId="0" applyNumberFormat="1" applyFont="1" applyFill="1" applyBorder="1" applyAlignment="1">
      <alignment horizontal="right" vertical="center"/>
    </xf>
    <xf numFmtId="1" fontId="31" fillId="52" borderId="14" xfId="0" applyNumberFormat="1" applyFont="1" applyFill="1" applyBorder="1" applyAlignment="1">
      <alignment horizontal="center" vertical="center"/>
    </xf>
    <xf numFmtId="0" fontId="41" fillId="52" borderId="0" xfId="0" applyFont="1" applyFill="1" applyAlignment="1">
      <alignment vertical="center"/>
    </xf>
    <xf numFmtId="1" fontId="31" fillId="25" borderId="27" xfId="0" applyNumberFormat="1" applyFont="1" applyFill="1" applyBorder="1" applyAlignment="1">
      <alignment horizontal="right" vertical="center"/>
    </xf>
    <xf numFmtId="1" fontId="31" fillId="25" borderId="25" xfId="0" applyNumberFormat="1" applyFont="1" applyFill="1" applyBorder="1" applyAlignment="1">
      <alignment horizontal="right" vertical="center"/>
    </xf>
    <xf numFmtId="1" fontId="31" fillId="25" borderId="39" xfId="0" applyNumberFormat="1" applyFont="1" applyFill="1" applyBorder="1" applyAlignment="1">
      <alignment horizontal="right" vertical="center"/>
    </xf>
    <xf numFmtId="1" fontId="41" fillId="33" borderId="2" xfId="0" applyNumberFormat="1" applyFont="1" applyFill="1" applyBorder="1" applyAlignment="1">
      <alignment horizontal="right" vertical="center"/>
    </xf>
    <xf numFmtId="1" fontId="31" fillId="34" borderId="24" xfId="0" applyNumberFormat="1" applyFont="1" applyFill="1" applyBorder="1" applyAlignment="1">
      <alignment horizontal="center" vertical="center"/>
    </xf>
    <xf numFmtId="0" fontId="38" fillId="4" borderId="1" xfId="0" applyFont="1" applyFill="1" applyBorder="1" applyAlignment="1">
      <alignment horizontal="left" vertical="center"/>
    </xf>
    <xf numFmtId="164" fontId="23" fillId="9" borderId="1" xfId="0" applyNumberFormat="1" applyFont="1" applyFill="1" applyBorder="1" applyAlignment="1">
      <alignment horizontal="center" vertical="center"/>
    </xf>
    <xf numFmtId="164" fontId="23" fillId="28" borderId="1" xfId="0" applyNumberFormat="1" applyFont="1" applyFill="1" applyBorder="1" applyAlignment="1">
      <alignment horizontal="center" vertical="center"/>
    </xf>
    <xf numFmtId="164" fontId="23" fillId="19" borderId="1" xfId="0" applyNumberFormat="1" applyFont="1" applyFill="1" applyBorder="1" applyAlignment="1">
      <alignment horizontal="center" vertical="center"/>
    </xf>
    <xf numFmtId="164" fontId="23" fillId="2" borderId="1" xfId="0" applyNumberFormat="1" applyFont="1" applyFill="1" applyBorder="1" applyAlignment="1">
      <alignment horizontal="center" vertical="center"/>
    </xf>
    <xf numFmtId="164" fontId="23" fillId="6" borderId="1" xfId="0" applyNumberFormat="1" applyFont="1" applyFill="1" applyBorder="1" applyAlignment="1">
      <alignment horizontal="center" vertical="center"/>
    </xf>
    <xf numFmtId="165" fontId="0" fillId="0" borderId="0" xfId="0" applyNumberFormat="1"/>
    <xf numFmtId="166" fontId="17" fillId="2" borderId="3" xfId="0" applyNumberFormat="1" applyFont="1" applyFill="1" applyBorder="1" applyAlignment="1">
      <alignment horizontal="center" vertical="center"/>
    </xf>
    <xf numFmtId="166" fontId="17" fillId="2" borderId="1" xfId="0" applyNumberFormat="1" applyFont="1" applyFill="1" applyBorder="1" applyAlignment="1">
      <alignment horizontal="center" vertical="center"/>
    </xf>
    <xf numFmtId="170" fontId="17" fillId="2" borderId="2" xfId="0" applyNumberFormat="1" applyFont="1" applyFill="1" applyBorder="1" applyAlignment="1">
      <alignment horizontal="center" vertical="center"/>
    </xf>
    <xf numFmtId="0" fontId="11" fillId="30" borderId="1" xfId="0" applyFont="1" applyFill="1" applyBorder="1" applyAlignment="1">
      <alignment horizontal="center" vertical="center"/>
    </xf>
    <xf numFmtId="2" fontId="17" fillId="0" borderId="0" xfId="0" applyNumberFormat="1" applyFont="1" applyAlignment="1">
      <alignment horizontal="center" vertical="center"/>
    </xf>
    <xf numFmtId="0" fontId="17" fillId="2" borderId="1" xfId="0" applyFont="1" applyFill="1" applyBorder="1" applyAlignment="1">
      <alignment horizontal="center" vertical="center"/>
    </xf>
    <xf numFmtId="0" fontId="11" fillId="7" borderId="1" xfId="0" applyFont="1" applyFill="1" applyBorder="1" applyAlignment="1">
      <alignment horizontal="center" vertical="center"/>
    </xf>
    <xf numFmtId="2" fontId="17" fillId="19" borderId="1" xfId="0" applyNumberFormat="1" applyFont="1" applyFill="1" applyBorder="1" applyAlignment="1">
      <alignment horizontal="center" vertical="center"/>
    </xf>
    <xf numFmtId="165" fontId="17" fillId="6" borderId="1" xfId="0" applyNumberFormat="1" applyFont="1" applyFill="1" applyBorder="1" applyAlignment="1">
      <alignment horizontal="center" vertical="center"/>
    </xf>
    <xf numFmtId="0" fontId="17" fillId="6" borderId="1" xfId="0" applyFont="1" applyFill="1" applyBorder="1" applyAlignment="1">
      <alignment horizontal="center" vertical="center"/>
    </xf>
    <xf numFmtId="1" fontId="17" fillId="6" borderId="1" xfId="0" applyNumberFormat="1" applyFont="1" applyFill="1" applyBorder="1" applyAlignment="1">
      <alignment horizontal="center" vertical="center"/>
    </xf>
    <xf numFmtId="0" fontId="27" fillId="10" borderId="2" xfId="0" applyFont="1" applyFill="1" applyBorder="1" applyAlignment="1">
      <alignment vertical="center"/>
    </xf>
    <xf numFmtId="0" fontId="11" fillId="10" borderId="1" xfId="0" applyFont="1" applyFill="1" applyBorder="1" applyAlignment="1">
      <alignment vertical="center"/>
    </xf>
    <xf numFmtId="0" fontId="13" fillId="2" borderId="1" xfId="0" applyFont="1" applyFill="1" applyBorder="1" applyAlignment="1">
      <alignment horizontal="center" vertical="center"/>
    </xf>
    <xf numFmtId="0" fontId="12" fillId="15" borderId="1" xfId="0" applyFont="1" applyFill="1" applyBorder="1" applyAlignment="1">
      <alignment horizontal="center" vertical="center"/>
    </xf>
    <xf numFmtId="0" fontId="12" fillId="15" borderId="0" xfId="0" applyFont="1" applyFill="1" applyAlignment="1">
      <alignment horizontal="center" vertical="center"/>
    </xf>
    <xf numFmtId="0" fontId="11" fillId="0" borderId="1" xfId="0" applyFont="1" applyBorder="1" applyAlignment="1">
      <alignment horizontal="center" vertical="center" wrapText="1"/>
    </xf>
    <xf numFmtId="2" fontId="0" fillId="0" borderId="0" xfId="0" applyNumberFormat="1"/>
    <xf numFmtId="2" fontId="51" fillId="29" borderId="1" xfId="0" applyNumberFormat="1" applyFont="1" applyFill="1" applyBorder="1" applyAlignment="1">
      <alignment horizontal="center" vertical="center"/>
    </xf>
    <xf numFmtId="2" fontId="12" fillId="0" borderId="0" xfId="0" applyNumberFormat="1" applyFont="1" applyAlignment="1">
      <alignment horizontal="center" vertical="center"/>
    </xf>
    <xf numFmtId="2" fontId="18" fillId="4" borderId="1" xfId="0" applyNumberFormat="1" applyFont="1" applyFill="1" applyBorder="1" applyAlignment="1">
      <alignment horizontal="center" vertical="center" wrapText="1"/>
    </xf>
    <xf numFmtId="173" fontId="0" fillId="0" borderId="0" xfId="0" applyNumberFormat="1" applyAlignment="1">
      <alignment vertical="center"/>
    </xf>
    <xf numFmtId="0" fontId="41" fillId="4" borderId="2" xfId="0" applyFont="1" applyFill="1" applyBorder="1" applyAlignment="1">
      <alignment horizontal="center" vertical="center" wrapText="1"/>
    </xf>
    <xf numFmtId="20" fontId="11" fillId="27" borderId="1" xfId="0" applyNumberFormat="1" applyFont="1" applyFill="1" applyBorder="1" applyAlignment="1">
      <alignment horizontal="center" vertical="center"/>
    </xf>
    <xf numFmtId="0" fontId="23" fillId="0" borderId="1" xfId="0" applyFont="1" applyBorder="1"/>
    <xf numFmtId="0" fontId="61" fillId="28" borderId="1" xfId="0" applyFont="1" applyFill="1" applyBorder="1"/>
    <xf numFmtId="0" fontId="61" fillId="28" borderId="1" xfId="0" applyFont="1" applyFill="1" applyBorder="1" applyAlignment="1">
      <alignment horizontal="center"/>
    </xf>
    <xf numFmtId="0" fontId="23" fillId="28" borderId="1" xfId="0" applyFont="1" applyFill="1" applyBorder="1"/>
    <xf numFmtId="0" fontId="23" fillId="28" borderId="1" xfId="0" applyFont="1" applyFill="1" applyBorder="1" applyAlignment="1">
      <alignment horizontal="center"/>
    </xf>
    <xf numFmtId="2" fontId="23" fillId="28" borderId="1" xfId="0" applyNumberFormat="1" applyFont="1" applyFill="1" applyBorder="1" applyAlignment="1">
      <alignment horizontal="center"/>
    </xf>
    <xf numFmtId="1" fontId="23" fillId="28" borderId="1" xfId="0" applyNumberFormat="1" applyFont="1" applyFill="1" applyBorder="1" applyAlignment="1">
      <alignment horizontal="center"/>
    </xf>
    <xf numFmtId="164" fontId="23" fillId="28" borderId="1" xfId="0" applyNumberFormat="1" applyFont="1" applyFill="1" applyBorder="1" applyAlignment="1">
      <alignment horizontal="center"/>
    </xf>
    <xf numFmtId="0" fontId="0" fillId="42" borderId="1" xfId="0" applyFill="1" applyBorder="1" applyAlignment="1">
      <alignment vertical="center"/>
    </xf>
    <xf numFmtId="0" fontId="62" fillId="28" borderId="40" xfId="0" applyFont="1" applyFill="1" applyBorder="1" applyAlignment="1">
      <alignment horizontal="center" vertical="center"/>
    </xf>
    <xf numFmtId="1" fontId="41" fillId="30" borderId="0" xfId="0" applyNumberFormat="1" applyFont="1" applyFill="1" applyAlignment="1">
      <alignment vertical="center"/>
    </xf>
    <xf numFmtId="169" fontId="63" fillId="0" borderId="1" xfId="0" applyNumberFormat="1" applyFont="1" applyBorder="1" applyAlignment="1">
      <alignment horizontal="center" vertical="center"/>
    </xf>
    <xf numFmtId="0" fontId="64" fillId="0" borderId="1" xfId="0" applyFont="1" applyBorder="1" applyAlignment="1">
      <alignment horizontal="center" vertical="center"/>
    </xf>
    <xf numFmtId="14" fontId="41" fillId="4" borderId="2" xfId="0" applyNumberFormat="1" applyFont="1" applyFill="1" applyBorder="1" applyAlignment="1">
      <alignment horizontal="center" vertical="center" wrapText="1"/>
    </xf>
    <xf numFmtId="165" fontId="18" fillId="4" borderId="2" xfId="0" applyNumberFormat="1" applyFont="1" applyFill="1" applyBorder="1" applyAlignment="1">
      <alignment horizontal="center" vertical="center" wrapText="1"/>
    </xf>
    <xf numFmtId="165" fontId="11" fillId="27" borderId="1" xfId="0" applyNumberFormat="1" applyFont="1" applyFill="1" applyBorder="1" applyAlignment="1">
      <alignment horizontal="center" vertical="center"/>
    </xf>
    <xf numFmtId="1" fontId="41" fillId="35" borderId="1" xfId="0" quotePrefix="1" applyNumberFormat="1" applyFont="1" applyFill="1" applyBorder="1" applyAlignment="1">
      <alignment horizontal="right" vertical="center"/>
    </xf>
    <xf numFmtId="1" fontId="41" fillId="43" borderId="1" xfId="0" applyNumberFormat="1" applyFont="1" applyFill="1" applyBorder="1" applyAlignment="1">
      <alignment vertical="center"/>
    </xf>
    <xf numFmtId="1" fontId="41" fillId="44" borderId="1" xfId="0" applyNumberFormat="1" applyFont="1" applyFill="1" applyBorder="1" applyAlignment="1">
      <alignment vertical="center"/>
    </xf>
    <xf numFmtId="9" fontId="41" fillId="44" borderId="1" xfId="2" applyFont="1" applyFill="1" applyBorder="1" applyAlignment="1">
      <alignment vertical="center"/>
    </xf>
    <xf numFmtId="9" fontId="31" fillId="44" borderId="1" xfId="2" applyFont="1" applyFill="1" applyBorder="1" applyAlignment="1">
      <alignment vertical="center"/>
    </xf>
    <xf numFmtId="1" fontId="41" fillId="38" borderId="1" xfId="0" applyNumberFormat="1" applyFont="1" applyFill="1" applyBorder="1" applyAlignment="1">
      <alignment vertical="center"/>
    </xf>
    <xf numFmtId="1" fontId="31" fillId="52" borderId="1" xfId="0" applyNumberFormat="1" applyFont="1" applyFill="1" applyBorder="1" applyAlignment="1">
      <alignment vertical="center"/>
    </xf>
    <xf numFmtId="165" fontId="56" fillId="38" borderId="1" xfId="0" applyNumberFormat="1" applyFont="1" applyFill="1" applyBorder="1" applyAlignment="1">
      <alignment vertical="center"/>
    </xf>
    <xf numFmtId="1" fontId="41" fillId="0" borderId="0" xfId="0" applyNumberFormat="1" applyFont="1" applyAlignment="1">
      <alignment vertical="center"/>
    </xf>
    <xf numFmtId="1" fontId="11" fillId="27" borderId="1" xfId="0" applyNumberFormat="1" applyFont="1" applyFill="1" applyBorder="1" applyAlignment="1">
      <alignment horizontal="center" vertical="center"/>
    </xf>
    <xf numFmtId="0" fontId="23" fillId="28" borderId="13" xfId="0" applyFont="1" applyFill="1" applyBorder="1" applyAlignment="1">
      <alignment horizontal="center"/>
    </xf>
    <xf numFmtId="0" fontId="23" fillId="28" borderId="43" xfId="0" applyFont="1" applyFill="1" applyBorder="1" applyAlignment="1">
      <alignment horizontal="center"/>
    </xf>
    <xf numFmtId="0" fontId="62" fillId="27" borderId="44" xfId="0" applyFont="1" applyFill="1" applyBorder="1" applyAlignment="1">
      <alignment horizontal="center" vertical="center"/>
    </xf>
    <xf numFmtId="0" fontId="23" fillId="25" borderId="43" xfId="0" applyFont="1" applyFill="1" applyBorder="1" applyAlignment="1">
      <alignment horizontal="center"/>
    </xf>
    <xf numFmtId="0" fontId="23" fillId="25" borderId="45" xfId="0" applyFont="1" applyFill="1" applyBorder="1" applyAlignment="1">
      <alignment horizontal="center"/>
    </xf>
    <xf numFmtId="0" fontId="23" fillId="24" borderId="45" xfId="0" applyFont="1" applyFill="1" applyBorder="1" applyAlignment="1">
      <alignment horizontal="center"/>
    </xf>
    <xf numFmtId="0" fontId="11" fillId="4" borderId="1" xfId="0" applyFont="1" applyFill="1" applyBorder="1" applyAlignment="1">
      <alignment horizontal="center" vertical="center"/>
    </xf>
    <xf numFmtId="9" fontId="41" fillId="44" borderId="1" xfId="2" applyFont="1" applyFill="1" applyBorder="1" applyAlignment="1">
      <alignment horizontal="right" vertical="center"/>
    </xf>
    <xf numFmtId="9" fontId="31" fillId="44" borderId="1" xfId="2" applyFont="1" applyFill="1" applyBorder="1" applyAlignment="1">
      <alignment horizontal="right" vertical="center"/>
    </xf>
    <xf numFmtId="164" fontId="23" fillId="24" borderId="1" xfId="0" applyNumberFormat="1" applyFont="1" applyFill="1" applyBorder="1" applyAlignment="1">
      <alignment horizontal="center"/>
    </xf>
    <xf numFmtId="0" fontId="23" fillId="28" borderId="45" xfId="0" applyFont="1" applyFill="1" applyBorder="1" applyAlignment="1">
      <alignment horizontal="center"/>
    </xf>
    <xf numFmtId="2" fontId="0" fillId="20" borderId="0" xfId="0" applyNumberFormat="1" applyFill="1" applyAlignment="1">
      <alignment vertical="center"/>
    </xf>
    <xf numFmtId="16" fontId="0" fillId="20" borderId="0" xfId="0" applyNumberFormat="1" applyFill="1" applyAlignment="1">
      <alignment vertical="center"/>
    </xf>
    <xf numFmtId="0" fontId="11" fillId="20" borderId="0" xfId="0" applyFont="1" applyFill="1" applyAlignment="1">
      <alignment horizontal="right" vertical="center"/>
    </xf>
    <xf numFmtId="0" fontId="28" fillId="20" borderId="0" xfId="0" applyFont="1" applyFill="1" applyAlignment="1">
      <alignment horizontal="center" vertical="center"/>
    </xf>
    <xf numFmtId="0" fontId="18" fillId="19" borderId="1" xfId="0" applyFont="1" applyFill="1" applyBorder="1" applyAlignment="1">
      <alignment vertical="center"/>
    </xf>
    <xf numFmtId="0" fontId="11" fillId="19" borderId="1" xfId="0" applyFont="1" applyFill="1" applyBorder="1" applyAlignment="1">
      <alignment horizontal="center" vertical="center"/>
    </xf>
    <xf numFmtId="0" fontId="18" fillId="51" borderId="1" xfId="0" applyFont="1" applyFill="1" applyBorder="1" applyAlignment="1">
      <alignment vertical="center"/>
    </xf>
    <xf numFmtId="0" fontId="11" fillId="51" borderId="1" xfId="0" applyFont="1" applyFill="1" applyBorder="1" applyAlignment="1">
      <alignment horizontal="center" vertical="center"/>
    </xf>
    <xf numFmtId="2" fontId="17" fillId="51" borderId="1" xfId="0" applyNumberFormat="1" applyFont="1" applyFill="1" applyBorder="1" applyAlignment="1">
      <alignment horizontal="center" vertical="center"/>
    </xf>
    <xf numFmtId="49" fontId="32" fillId="0" borderId="7" xfId="0" applyNumberFormat="1" applyFont="1" applyFill="1" applyBorder="1" applyAlignment="1">
      <alignment horizontal="center" vertical="center"/>
    </xf>
    <xf numFmtId="0" fontId="0" fillId="0" borderId="0" xfId="0" applyFill="1" applyAlignment="1">
      <alignment vertical="center"/>
    </xf>
    <xf numFmtId="0" fontId="14" fillId="0" borderId="1" xfId="0" applyFont="1" applyFill="1" applyBorder="1" applyAlignment="1">
      <alignment horizontal="center" vertical="center"/>
    </xf>
    <xf numFmtId="2" fontId="17" fillId="0" borderId="1" xfId="0" applyNumberFormat="1" applyFont="1" applyFill="1" applyBorder="1" applyAlignment="1">
      <alignment horizontal="center" vertical="center"/>
    </xf>
    <xf numFmtId="0" fontId="41" fillId="0" borderId="0" xfId="0" applyFont="1" applyFill="1" applyAlignment="1">
      <alignment vertical="center"/>
    </xf>
    <xf numFmtId="1" fontId="17" fillId="0" borderId="1" xfId="0" applyNumberFormat="1" applyFont="1" applyFill="1" applyBorder="1" applyAlignment="1">
      <alignment horizontal="center" vertical="center"/>
    </xf>
    <xf numFmtId="0" fontId="22" fillId="0" borderId="0" xfId="0" applyFont="1" applyFill="1" applyAlignment="1">
      <alignment vertical="center"/>
    </xf>
    <xf numFmtId="0" fontId="0" fillId="0" borderId="0" xfId="0" applyFill="1" applyAlignment="1">
      <alignment horizontal="center" vertical="center"/>
    </xf>
    <xf numFmtId="2" fontId="23" fillId="0" borderId="0" xfId="0" applyNumberFormat="1" applyFont="1" applyFill="1" applyAlignment="1">
      <alignment vertical="center"/>
    </xf>
    <xf numFmtId="0" fontId="23" fillId="0" borderId="0" xfId="0" applyFont="1" applyFill="1" applyAlignment="1">
      <alignment vertical="center"/>
    </xf>
    <xf numFmtId="2" fontId="23" fillId="28" borderId="45" xfId="0" applyNumberFormat="1" applyFont="1" applyFill="1" applyBorder="1" applyAlignment="1">
      <alignment horizontal="center"/>
    </xf>
    <xf numFmtId="0" fontId="23" fillId="44" borderId="43" xfId="0" quotePrefix="1" applyFont="1" applyFill="1" applyBorder="1" applyAlignment="1">
      <alignment horizontal="center"/>
    </xf>
    <xf numFmtId="0" fontId="54" fillId="43" borderId="1" xfId="0" applyFont="1" applyFill="1" applyBorder="1" applyAlignment="1">
      <alignment horizontal="left" vertical="center" wrapText="1"/>
    </xf>
    <xf numFmtId="1" fontId="31" fillId="43" borderId="1" xfId="0" applyNumberFormat="1" applyFont="1" applyFill="1" applyBorder="1" applyAlignment="1">
      <alignment horizontal="right" vertical="center"/>
    </xf>
    <xf numFmtId="0" fontId="11" fillId="9" borderId="4" xfId="0" applyFont="1" applyFill="1" applyBorder="1" applyAlignment="1">
      <alignment horizontal="center" vertical="center"/>
    </xf>
    <xf numFmtId="0" fontId="0" fillId="24" borderId="1" xfId="0" applyFill="1" applyBorder="1" applyAlignment="1">
      <alignment vertical="center"/>
    </xf>
    <xf numFmtId="0" fontId="0" fillId="0" borderId="0" xfId="0" applyFill="1"/>
    <xf numFmtId="170" fontId="18" fillId="4" borderId="1" xfId="0" applyNumberFormat="1" applyFont="1" applyFill="1" applyBorder="1" applyAlignment="1">
      <alignment horizontal="center" vertical="center" wrapText="1"/>
    </xf>
    <xf numFmtId="172" fontId="18" fillId="4" borderId="1" xfId="0" applyNumberFormat="1" applyFont="1" applyFill="1" applyBorder="1" applyAlignment="1">
      <alignment horizontal="center" vertical="center" wrapText="1"/>
    </xf>
    <xf numFmtId="0" fontId="0" fillId="30" borderId="0" xfId="0" applyFill="1"/>
    <xf numFmtId="1" fontId="31" fillId="45" borderId="1" xfId="0" applyNumberFormat="1" applyFont="1" applyFill="1" applyBorder="1" applyAlignment="1">
      <alignment horizontal="center" vertical="center"/>
    </xf>
    <xf numFmtId="1" fontId="41" fillId="33" borderId="1" xfId="0" applyNumberFormat="1" applyFont="1" applyFill="1" applyBorder="1" applyAlignment="1">
      <alignment horizontal="center" vertical="center"/>
    </xf>
    <xf numFmtId="1" fontId="41" fillId="33" borderId="11" xfId="0" applyNumberFormat="1" applyFont="1" applyFill="1" applyBorder="1" applyAlignment="1">
      <alignment horizontal="center" vertical="center"/>
    </xf>
    <xf numFmtId="0" fontId="41" fillId="48" borderId="1" xfId="0" applyFont="1" applyFill="1" applyBorder="1" applyAlignment="1">
      <alignment horizontal="center" vertical="center"/>
    </xf>
    <xf numFmtId="1" fontId="41" fillId="48" borderId="1" xfId="0" applyNumberFormat="1" applyFont="1" applyFill="1" applyBorder="1" applyAlignment="1">
      <alignment horizontal="center" vertical="center"/>
    </xf>
    <xf numFmtId="1" fontId="41" fillId="33" borderId="1" xfId="0" applyNumberFormat="1" applyFont="1" applyFill="1" applyBorder="1" applyAlignment="1">
      <alignment horizontal="center" vertical="center" wrapText="1"/>
    </xf>
    <xf numFmtId="1" fontId="41" fillId="33" borderId="3" xfId="0" applyNumberFormat="1" applyFont="1" applyFill="1" applyBorder="1" applyAlignment="1">
      <alignment horizontal="center" vertical="center"/>
    </xf>
    <xf numFmtId="1" fontId="31" fillId="25" borderId="1" xfId="0" applyNumberFormat="1" applyFont="1" applyFill="1" applyBorder="1" applyAlignment="1">
      <alignment horizontal="center" vertical="center"/>
    </xf>
    <xf numFmtId="1" fontId="41" fillId="35" borderId="1" xfId="0" applyNumberFormat="1" applyFont="1" applyFill="1" applyBorder="1" applyAlignment="1">
      <alignment horizontal="center" vertical="center"/>
    </xf>
    <xf numFmtId="1" fontId="41" fillId="35" borderId="11" xfId="0" applyNumberFormat="1" applyFont="1" applyFill="1" applyBorder="1" applyAlignment="1">
      <alignment horizontal="center" vertical="center"/>
    </xf>
    <xf numFmtId="1" fontId="41" fillId="36" borderId="1" xfId="0" applyNumberFormat="1" applyFont="1" applyFill="1" applyBorder="1" applyAlignment="1">
      <alignment horizontal="center" vertical="center"/>
    </xf>
    <xf numFmtId="1" fontId="31" fillId="37" borderId="1" xfId="0" applyNumberFormat="1" applyFont="1" applyFill="1" applyBorder="1" applyAlignment="1">
      <alignment horizontal="center" vertical="center"/>
    </xf>
    <xf numFmtId="1" fontId="31" fillId="36" borderId="1" xfId="0" applyNumberFormat="1" applyFont="1" applyFill="1" applyBorder="1" applyAlignment="1">
      <alignment horizontal="center" vertical="center"/>
    </xf>
    <xf numFmtId="1" fontId="31" fillId="43" borderId="1" xfId="0" applyNumberFormat="1" applyFont="1" applyFill="1" applyBorder="1" applyAlignment="1">
      <alignment horizontal="center" vertical="center"/>
    </xf>
    <xf numFmtId="1" fontId="41" fillId="43" borderId="1" xfId="0" applyNumberFormat="1" applyFont="1" applyFill="1" applyBorder="1" applyAlignment="1">
      <alignment horizontal="center" vertical="center"/>
    </xf>
    <xf numFmtId="9" fontId="41" fillId="43" borderId="1" xfId="2" applyFont="1" applyFill="1" applyBorder="1" applyAlignment="1">
      <alignment horizontal="center" vertical="center"/>
    </xf>
    <xf numFmtId="9" fontId="31" fillId="43" borderId="1" xfId="2" applyFont="1" applyFill="1" applyBorder="1" applyAlignment="1">
      <alignment horizontal="center" vertical="center"/>
    </xf>
    <xf numFmtId="1" fontId="41" fillId="44" borderId="1" xfId="0" applyNumberFormat="1" applyFont="1" applyFill="1" applyBorder="1" applyAlignment="1">
      <alignment horizontal="center" vertical="center"/>
    </xf>
    <xf numFmtId="9" fontId="41" fillId="44" borderId="1" xfId="2" applyFont="1" applyFill="1" applyBorder="1" applyAlignment="1">
      <alignment horizontal="center" vertical="center"/>
    </xf>
    <xf numFmtId="9" fontId="31" fillId="44" borderId="1" xfId="2" applyFont="1" applyFill="1" applyBorder="1" applyAlignment="1">
      <alignment horizontal="center" vertical="center"/>
    </xf>
    <xf numFmtId="1" fontId="41" fillId="38" borderId="1" xfId="0" applyNumberFormat="1" applyFont="1" applyFill="1" applyBorder="1" applyAlignment="1">
      <alignment horizontal="center" vertical="center"/>
    </xf>
    <xf numFmtId="1" fontId="54" fillId="38" borderId="1" xfId="0" applyNumberFormat="1" applyFont="1" applyFill="1" applyBorder="1" applyAlignment="1">
      <alignment horizontal="center" vertical="center"/>
    </xf>
    <xf numFmtId="1" fontId="31" fillId="52" borderId="1" xfId="0" applyNumberFormat="1" applyFont="1" applyFill="1" applyBorder="1" applyAlignment="1">
      <alignment horizontal="center" vertical="center"/>
    </xf>
    <xf numFmtId="1" fontId="31" fillId="38" borderId="1" xfId="0" applyNumberFormat="1" applyFont="1" applyFill="1" applyBorder="1" applyAlignment="1">
      <alignment horizontal="center" vertical="center"/>
    </xf>
    <xf numFmtId="174" fontId="62" fillId="27" borderId="44" xfId="0" applyNumberFormat="1" applyFont="1" applyFill="1" applyBorder="1" applyAlignment="1">
      <alignment horizontal="center" vertical="center"/>
    </xf>
    <xf numFmtId="0" fontId="41" fillId="0" borderId="1" xfId="0" applyFont="1" applyBorder="1"/>
    <xf numFmtId="0" fontId="66" fillId="25" borderId="1" xfId="1" applyFont="1" applyFill="1" applyBorder="1" applyAlignment="1">
      <alignment horizontal="left" vertical="center" wrapText="1"/>
    </xf>
    <xf numFmtId="0" fontId="41" fillId="0" borderId="3" xfId="0" applyFont="1" applyBorder="1"/>
    <xf numFmtId="0" fontId="66" fillId="25" borderId="3" xfId="1" applyFont="1" applyFill="1" applyBorder="1"/>
    <xf numFmtId="0" fontId="41" fillId="0" borderId="2" xfId="0" applyFont="1" applyBorder="1"/>
    <xf numFmtId="0" fontId="66" fillId="25" borderId="2" xfId="1" applyFont="1" applyFill="1" applyBorder="1" applyAlignment="1">
      <alignment horizontal="left" vertical="center" wrapText="1"/>
    </xf>
    <xf numFmtId="0" fontId="66" fillId="21" borderId="1" xfId="1" applyFont="1" applyFill="1" applyBorder="1" applyAlignment="1">
      <alignment horizontal="left" vertical="center" wrapText="1"/>
    </xf>
    <xf numFmtId="0" fontId="66" fillId="26" borderId="1" xfId="1" applyFont="1" applyFill="1" applyBorder="1" applyAlignment="1">
      <alignment horizontal="left" vertical="center" wrapText="1"/>
    </xf>
    <xf numFmtId="0" fontId="67" fillId="26" borderId="1" xfId="1" applyFont="1" applyFill="1" applyBorder="1" applyAlignment="1">
      <alignment horizontal="left" vertical="center" wrapText="1"/>
    </xf>
    <xf numFmtId="0" fontId="29" fillId="17" borderId="1" xfId="0" applyFont="1" applyFill="1" applyBorder="1" applyAlignment="1">
      <alignment horizontal="center" vertical="center"/>
    </xf>
    <xf numFmtId="0" fontId="39" fillId="5" borderId="4" xfId="0" applyFont="1" applyFill="1" applyBorder="1" applyAlignment="1">
      <alignment horizontal="left" vertical="center"/>
    </xf>
    <xf numFmtId="0" fontId="39" fillId="5" borderId="25" xfId="0" applyFont="1" applyFill="1" applyBorder="1" applyAlignment="1">
      <alignment horizontal="left" vertical="center"/>
    </xf>
    <xf numFmtId="0" fontId="19" fillId="5" borderId="4" xfId="0" applyFont="1" applyFill="1" applyBorder="1" applyAlignment="1">
      <alignment horizontal="center" vertical="center"/>
    </xf>
    <xf numFmtId="0" fontId="19" fillId="5" borderId="5" xfId="0" applyFont="1" applyFill="1" applyBorder="1" applyAlignment="1">
      <alignment horizontal="center" vertical="center"/>
    </xf>
    <xf numFmtId="0" fontId="39" fillId="5" borderId="8" xfId="0" applyFont="1" applyFill="1" applyBorder="1" applyAlignment="1">
      <alignment horizontal="left" vertical="center"/>
    </xf>
    <xf numFmtId="0" fontId="39" fillId="5" borderId="27" xfId="0" applyFont="1" applyFill="1" applyBorder="1" applyAlignment="1">
      <alignment horizontal="left" vertical="center"/>
    </xf>
    <xf numFmtId="0" fontId="37" fillId="5" borderId="4" xfId="0" applyFont="1" applyFill="1" applyBorder="1" applyAlignment="1">
      <alignment horizontal="left" vertical="center"/>
    </xf>
    <xf numFmtId="0" fontId="37" fillId="5" borderId="25" xfId="0" applyFont="1" applyFill="1" applyBorder="1" applyAlignment="1">
      <alignment horizontal="left" vertical="center"/>
    </xf>
    <xf numFmtId="49" fontId="35" fillId="11" borderId="26" xfId="0" applyNumberFormat="1" applyFont="1" applyFill="1" applyBorder="1" applyAlignment="1">
      <alignment horizontal="center" vertical="center"/>
    </xf>
    <xf numFmtId="49" fontId="35" fillId="11" borderId="0" xfId="0" applyNumberFormat="1" applyFont="1" applyFill="1" applyAlignment="1">
      <alignment horizontal="center" vertical="center"/>
    </xf>
    <xf numFmtId="0" fontId="19" fillId="5" borderId="26" xfId="0" applyFont="1" applyFill="1" applyBorder="1" applyAlignment="1">
      <alignment horizontal="center" vertical="center"/>
    </xf>
    <xf numFmtId="0" fontId="19" fillId="5" borderId="0" xfId="0" applyFont="1" applyFill="1" applyAlignment="1">
      <alignment horizontal="center" vertical="center"/>
    </xf>
    <xf numFmtId="0" fontId="12" fillId="12" borderId="26" xfId="0" applyFont="1" applyFill="1" applyBorder="1" applyAlignment="1">
      <alignment horizontal="center" vertical="center"/>
    </xf>
    <xf numFmtId="0" fontId="12" fillId="12" borderId="0" xfId="0" applyFont="1" applyFill="1" applyAlignment="1">
      <alignment horizontal="center" vertical="center"/>
    </xf>
    <xf numFmtId="0" fontId="37" fillId="6" borderId="20" xfId="0" applyFont="1" applyFill="1" applyBorder="1" applyAlignment="1">
      <alignment horizontal="center" vertical="center" wrapText="1"/>
    </xf>
    <xf numFmtId="0" fontId="37" fillId="6" borderId="6" xfId="0" applyFont="1" applyFill="1" applyBorder="1" applyAlignment="1">
      <alignment horizontal="center" vertical="center" wrapText="1"/>
    </xf>
    <xf numFmtId="49" fontId="35" fillId="11" borderId="8" xfId="0" applyNumberFormat="1" applyFont="1" applyFill="1" applyBorder="1" applyAlignment="1">
      <alignment horizontal="center" vertical="center"/>
    </xf>
    <xf numFmtId="49" fontId="35" fillId="11" borderId="7" xfId="0" applyNumberFormat="1" applyFont="1" applyFill="1" applyBorder="1" applyAlignment="1">
      <alignment horizontal="center" vertical="center"/>
    </xf>
    <xf numFmtId="0" fontId="26" fillId="2" borderId="28" xfId="0" applyFont="1" applyFill="1" applyBorder="1" applyAlignment="1">
      <alignment horizontal="center" vertical="center"/>
    </xf>
    <xf numFmtId="0" fontId="26" fillId="2" borderId="0" xfId="0" applyFont="1" applyFill="1" applyAlignment="1">
      <alignment horizontal="center" vertical="center"/>
    </xf>
    <xf numFmtId="0" fontId="19" fillId="5" borderId="20" xfId="0" applyFont="1" applyFill="1" applyBorder="1" applyAlignment="1">
      <alignment horizontal="center" vertical="center"/>
    </xf>
    <xf numFmtId="0" fontId="19" fillId="5" borderId="6" xfId="0" applyFont="1" applyFill="1" applyBorder="1" applyAlignment="1">
      <alignment horizontal="center" vertical="center"/>
    </xf>
    <xf numFmtId="0" fontId="11" fillId="9" borderId="28" xfId="0" applyFont="1" applyFill="1" applyBorder="1" applyAlignment="1">
      <alignment horizontal="center" vertical="center"/>
    </xf>
    <xf numFmtId="0" fontId="11" fillId="9" borderId="0" xfId="0" applyFont="1" applyFill="1" applyAlignment="1">
      <alignment horizontal="center" vertical="center"/>
    </xf>
    <xf numFmtId="0" fontId="19" fillId="10" borderId="4" xfId="0" applyFont="1" applyFill="1" applyBorder="1" applyAlignment="1">
      <alignment horizontal="center" vertical="center"/>
    </xf>
    <xf numFmtId="0" fontId="19" fillId="10" borderId="5" xfId="0" applyFont="1" applyFill="1" applyBorder="1" applyAlignment="1">
      <alignment horizontal="center" vertical="center"/>
    </xf>
    <xf numFmtId="0" fontId="19" fillId="10" borderId="25" xfId="0" applyFont="1" applyFill="1" applyBorder="1" applyAlignment="1">
      <alignment horizontal="center" vertical="center"/>
    </xf>
    <xf numFmtId="0" fontId="19" fillId="10" borderId="26" xfId="0" applyFont="1" applyFill="1" applyBorder="1" applyAlignment="1">
      <alignment horizontal="center" vertical="center"/>
    </xf>
    <xf numFmtId="0" fontId="19" fillId="10" borderId="0" xfId="0" applyFont="1" applyFill="1" applyAlignment="1">
      <alignment horizontal="center" vertical="center"/>
    </xf>
    <xf numFmtId="0" fontId="19" fillId="10" borderId="20" xfId="0" applyFont="1" applyFill="1" applyBorder="1" applyAlignment="1">
      <alignment horizontal="center" vertical="center"/>
    </xf>
    <xf numFmtId="0" fontId="19" fillId="10" borderId="6" xfId="0" applyFont="1" applyFill="1" applyBorder="1" applyAlignment="1">
      <alignment horizontal="center" vertical="center"/>
    </xf>
    <xf numFmtId="0" fontId="27" fillId="10" borderId="20" xfId="0" applyFont="1" applyFill="1" applyBorder="1" applyAlignment="1">
      <alignment horizontal="center" vertical="center"/>
    </xf>
    <xf numFmtId="0" fontId="27" fillId="10" borderId="6" xfId="0" applyFont="1" applyFill="1" applyBorder="1" applyAlignment="1">
      <alignment horizontal="center" vertical="center"/>
    </xf>
    <xf numFmtId="0" fontId="34" fillId="2" borderId="4" xfId="0" applyFont="1" applyFill="1" applyBorder="1" applyAlignment="1">
      <alignment horizontal="center" vertical="center"/>
    </xf>
    <xf numFmtId="0" fontId="34" fillId="2" borderId="25" xfId="0" applyFont="1" applyFill="1" applyBorder="1" applyAlignment="1">
      <alignment horizontal="center" vertical="center"/>
    </xf>
    <xf numFmtId="0" fontId="38" fillId="2" borderId="4" xfId="0" applyFont="1" applyFill="1" applyBorder="1" applyAlignment="1">
      <alignment horizontal="center" vertical="center"/>
    </xf>
    <xf numFmtId="0" fontId="38" fillId="2" borderId="5" xfId="0" applyFont="1" applyFill="1" applyBorder="1" applyAlignment="1">
      <alignment horizontal="center" vertical="center"/>
    </xf>
    <xf numFmtId="0" fontId="36" fillId="6" borderId="4" xfId="0" applyFont="1" applyFill="1" applyBorder="1" applyAlignment="1">
      <alignment horizontal="center" vertical="center"/>
    </xf>
    <xf numFmtId="0" fontId="36" fillId="6" borderId="5" xfId="0" applyFont="1" applyFill="1" applyBorder="1" applyAlignment="1">
      <alignment horizontal="center" vertical="center"/>
    </xf>
    <xf numFmtId="0" fontId="20" fillId="20" borderId="1" xfId="0" applyFont="1" applyFill="1" applyBorder="1" applyAlignment="1">
      <alignment horizontal="center" vertical="center"/>
    </xf>
    <xf numFmtId="0" fontId="20" fillId="20" borderId="3" xfId="0" applyFont="1" applyFill="1" applyBorder="1" applyAlignment="1">
      <alignment horizontal="center" vertical="center"/>
    </xf>
    <xf numFmtId="0" fontId="0" fillId="6" borderId="28" xfId="0" applyFill="1" applyBorder="1" applyAlignment="1">
      <alignment horizontal="center"/>
    </xf>
    <xf numFmtId="0" fontId="0" fillId="6" borderId="0" xfId="0" applyFill="1" applyAlignment="1">
      <alignment horizontal="center"/>
    </xf>
    <xf numFmtId="0" fontId="19" fillId="7" borderId="26" xfId="0" applyFont="1" applyFill="1" applyBorder="1" applyAlignment="1">
      <alignment horizontal="center" vertical="center"/>
    </xf>
    <xf numFmtId="0" fontId="19" fillId="7" borderId="0" xfId="0" applyFont="1" applyFill="1" applyAlignment="1">
      <alignment horizontal="center" vertical="center"/>
    </xf>
    <xf numFmtId="0" fontId="19" fillId="7" borderId="20" xfId="0" applyFont="1" applyFill="1" applyBorder="1" applyAlignment="1">
      <alignment horizontal="center" vertical="center"/>
    </xf>
    <xf numFmtId="0" fontId="19" fillId="7" borderId="6" xfId="0" applyFont="1" applyFill="1" applyBorder="1" applyAlignment="1">
      <alignment horizontal="center" vertical="center"/>
    </xf>
    <xf numFmtId="0" fontId="19" fillId="7" borderId="4" xfId="0" applyFont="1" applyFill="1" applyBorder="1" applyAlignment="1">
      <alignment horizontal="center" vertical="center"/>
    </xf>
    <xf numFmtId="0" fontId="19" fillId="7" borderId="5" xfId="0" applyFont="1" applyFill="1" applyBorder="1" applyAlignment="1">
      <alignment horizontal="center" vertical="center"/>
    </xf>
    <xf numFmtId="0" fontId="21" fillId="40" borderId="21" xfId="0" applyFont="1" applyFill="1" applyBorder="1" applyAlignment="1">
      <alignment horizontal="center" vertical="center" textRotation="90" wrapText="1"/>
    </xf>
    <xf numFmtId="0" fontId="21" fillId="40" borderId="0" xfId="0" applyFont="1" applyFill="1" applyAlignment="1">
      <alignment horizontal="center" vertical="center" textRotation="90" wrapText="1"/>
    </xf>
    <xf numFmtId="0" fontId="21" fillId="40" borderId="35" xfId="0" applyFont="1" applyFill="1" applyBorder="1" applyAlignment="1">
      <alignment horizontal="center" vertical="center" textRotation="90" wrapText="1"/>
    </xf>
    <xf numFmtId="0" fontId="21" fillId="37" borderId="29" xfId="0" applyFont="1" applyFill="1" applyBorder="1" applyAlignment="1">
      <alignment horizontal="center" vertical="center" textRotation="90" wrapText="1"/>
    </xf>
    <xf numFmtId="0" fontId="38" fillId="4" borderId="30" xfId="0" applyFont="1" applyFill="1" applyBorder="1" applyAlignment="1">
      <alignment horizontal="left" vertical="center"/>
    </xf>
    <xf numFmtId="0" fontId="38" fillId="4" borderId="21" xfId="0" applyFont="1" applyFill="1" applyBorder="1" applyAlignment="1">
      <alignment horizontal="left" vertical="center"/>
    </xf>
    <xf numFmtId="0" fontId="31" fillId="32" borderId="1" xfId="0" applyFont="1" applyFill="1" applyBorder="1" applyAlignment="1">
      <alignment horizontal="center" vertical="center"/>
    </xf>
    <xf numFmtId="0" fontId="31" fillId="32" borderId="9" xfId="0" applyFont="1" applyFill="1" applyBorder="1" applyAlignment="1" applyProtection="1">
      <alignment horizontal="center" vertical="center"/>
      <protection locked="0"/>
    </xf>
    <xf numFmtId="0" fontId="21" fillId="34" borderId="31" xfId="0" applyFont="1" applyFill="1" applyBorder="1" applyAlignment="1">
      <alignment horizontal="center" vertical="center" textRotation="90" wrapText="1"/>
    </xf>
    <xf numFmtId="0" fontId="21" fillId="39" borderId="18" xfId="0" applyFont="1" applyFill="1" applyBorder="1" applyAlignment="1">
      <alignment horizontal="center" vertical="center" textRotation="90" wrapText="1"/>
    </xf>
    <xf numFmtId="0" fontId="21" fillId="39" borderId="13" xfId="0" applyFont="1" applyFill="1" applyBorder="1" applyAlignment="1">
      <alignment horizontal="center" vertical="center" textRotation="90" wrapText="1"/>
    </xf>
    <xf numFmtId="0" fontId="21" fillId="39" borderId="15" xfId="0" applyFont="1" applyFill="1" applyBorder="1" applyAlignment="1">
      <alignment horizontal="center" vertical="center" textRotation="90" wrapText="1"/>
    </xf>
    <xf numFmtId="0" fontId="21" fillId="41" borderId="36" xfId="0" applyFont="1" applyFill="1" applyBorder="1" applyAlignment="1">
      <alignment horizontal="center" vertical="center" textRotation="90" wrapText="1"/>
    </xf>
    <xf numFmtId="0" fontId="21" fillId="41" borderId="37" xfId="0" applyFont="1" applyFill="1" applyBorder="1" applyAlignment="1">
      <alignment horizontal="center" vertical="center" textRotation="90" wrapText="1"/>
    </xf>
    <xf numFmtId="0" fontId="21" fillId="41" borderId="27" xfId="0" applyFont="1" applyFill="1" applyBorder="1" applyAlignment="1">
      <alignment horizontal="center" vertical="center" textRotation="90" wrapText="1"/>
    </xf>
    <xf numFmtId="0" fontId="20" fillId="25" borderId="39" xfId="0" applyFont="1" applyFill="1" applyBorder="1" applyAlignment="1">
      <alignment horizontal="center" vertical="center" textRotation="90"/>
    </xf>
    <xf numFmtId="0" fontId="20" fillId="25" borderId="37" xfId="0" applyFont="1" applyFill="1" applyBorder="1" applyAlignment="1">
      <alignment horizontal="center" vertical="center" textRotation="90"/>
    </xf>
    <xf numFmtId="17" fontId="21" fillId="31" borderId="4" xfId="0" applyNumberFormat="1" applyFont="1" applyFill="1" applyBorder="1" applyAlignment="1">
      <alignment horizontal="center" vertical="center"/>
    </xf>
    <xf numFmtId="17" fontId="21" fillId="31" borderId="25" xfId="0" applyNumberFormat="1" applyFont="1" applyFill="1" applyBorder="1" applyAlignment="1">
      <alignment horizontal="center" vertical="center"/>
    </xf>
    <xf numFmtId="0" fontId="15" fillId="12" borderId="4" xfId="0" applyFont="1" applyFill="1" applyBorder="1" applyAlignment="1">
      <alignment horizontal="center" vertical="center" textRotation="90"/>
    </xf>
    <xf numFmtId="0" fontId="15" fillId="12" borderId="5" xfId="0" applyFont="1" applyFill="1" applyBorder="1" applyAlignment="1">
      <alignment horizontal="center" vertical="center" textRotation="90"/>
    </xf>
    <xf numFmtId="0" fontId="13" fillId="2" borderId="1" xfId="0" applyFont="1" applyFill="1" applyBorder="1" applyAlignment="1">
      <alignment horizontal="center" vertical="center"/>
    </xf>
    <xf numFmtId="0" fontId="20" fillId="0" borderId="1" xfId="0" applyFont="1" applyBorder="1" applyAlignment="1">
      <alignment horizontal="center" vertical="center" textRotation="90"/>
    </xf>
    <xf numFmtId="0" fontId="20" fillId="0" borderId="13" xfId="0" applyFont="1" applyBorder="1" applyAlignment="1">
      <alignment horizontal="center" vertical="center" textRotation="90"/>
    </xf>
    <xf numFmtId="0" fontId="20" fillId="35" borderId="39" xfId="0" applyFont="1" applyFill="1" applyBorder="1" applyAlignment="1">
      <alignment horizontal="center" vertical="center" textRotation="90"/>
    </xf>
    <xf numFmtId="0" fontId="20" fillId="35" borderId="37" xfId="0" applyFont="1" applyFill="1" applyBorder="1" applyAlignment="1">
      <alignment horizontal="center" vertical="center" textRotation="90"/>
    </xf>
    <xf numFmtId="0" fontId="20" fillId="43" borderId="39" xfId="0" applyFont="1" applyFill="1" applyBorder="1" applyAlignment="1">
      <alignment horizontal="center" vertical="center" textRotation="90"/>
    </xf>
    <xf numFmtId="0" fontId="20" fillId="43" borderId="37" xfId="0" applyFont="1" applyFill="1" applyBorder="1" applyAlignment="1">
      <alignment horizontal="center" vertical="center" textRotation="90"/>
    </xf>
    <xf numFmtId="0" fontId="15" fillId="0" borderId="5" xfId="0" applyFont="1" applyFill="1" applyBorder="1" applyAlignment="1">
      <alignment horizontal="center" vertical="center" textRotation="90"/>
    </xf>
    <xf numFmtId="14" fontId="11" fillId="4" borderId="4" xfId="0" applyNumberFormat="1" applyFont="1" applyFill="1" applyBorder="1" applyAlignment="1">
      <alignment horizontal="left" vertical="center" wrapText="1"/>
    </xf>
    <xf numFmtId="14" fontId="11" fillId="4" borderId="25" xfId="0" applyNumberFormat="1" applyFont="1" applyFill="1" applyBorder="1" applyAlignment="1">
      <alignment horizontal="left" vertical="center"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25" xfId="0" applyBorder="1" applyAlignment="1">
      <alignment horizontal="center" vertical="center"/>
    </xf>
    <xf numFmtId="14" fontId="11" fillId="4" borderId="4" xfId="0" applyNumberFormat="1" applyFont="1" applyFill="1" applyBorder="1" applyAlignment="1">
      <alignment horizontal="center" vertical="center" wrapText="1"/>
    </xf>
    <xf numFmtId="14" fontId="11" fillId="4" borderId="25" xfId="0" applyNumberFormat="1" applyFont="1" applyFill="1" applyBorder="1" applyAlignment="1">
      <alignment horizontal="center" vertical="center" wrapText="1"/>
    </xf>
    <xf numFmtId="0" fontId="11" fillId="0" borderId="4" xfId="0" applyFont="1" applyBorder="1" applyAlignment="1">
      <alignment horizontal="center" vertical="center"/>
    </xf>
    <xf numFmtId="0" fontId="11" fillId="0" borderId="5" xfId="0" applyFont="1" applyBorder="1" applyAlignment="1">
      <alignment horizontal="center" vertical="center"/>
    </xf>
    <xf numFmtId="0" fontId="11" fillId="0" borderId="25" xfId="0" applyFont="1" applyBorder="1" applyAlignment="1">
      <alignment horizontal="center" vertical="center"/>
    </xf>
    <xf numFmtId="49" fontId="30" fillId="13" borderId="1" xfId="0" applyNumberFormat="1" applyFont="1" applyFill="1" applyBorder="1" applyAlignment="1">
      <alignment horizontal="center" vertical="center"/>
    </xf>
    <xf numFmtId="0" fontId="0" fillId="24" borderId="1" xfId="0" applyFill="1" applyBorder="1" applyAlignment="1">
      <alignment horizontal="center"/>
    </xf>
    <xf numFmtId="0" fontId="20" fillId="22" borderId="4" xfId="0" applyFont="1" applyFill="1" applyBorder="1" applyAlignment="1">
      <alignment horizontal="center" vertical="center"/>
    </xf>
    <xf numFmtId="0" fontId="0" fillId="22" borderId="25" xfId="0" applyFill="1" applyBorder="1" applyAlignment="1"/>
    <xf numFmtId="0" fontId="20" fillId="22" borderId="4" xfId="0" applyFont="1" applyFill="1" applyBorder="1" applyAlignment="1">
      <alignment horizontal="center" vertical="center" wrapText="1"/>
    </xf>
    <xf numFmtId="0" fontId="20" fillId="22" borderId="5" xfId="0" applyFont="1" applyFill="1" applyBorder="1" applyAlignment="1">
      <alignment horizontal="center" vertical="center" wrapText="1"/>
    </xf>
    <xf numFmtId="0" fontId="20" fillId="22" borderId="25" xfId="0" applyFont="1" applyFill="1" applyBorder="1" applyAlignment="1">
      <alignment horizontal="center" vertical="center" wrapText="1"/>
    </xf>
    <xf numFmtId="49" fontId="21" fillId="21" borderId="1" xfId="0" applyNumberFormat="1" applyFont="1" applyFill="1" applyBorder="1" applyAlignment="1">
      <alignment horizontal="center" vertical="center"/>
    </xf>
    <xf numFmtId="49" fontId="21" fillId="21" borderId="4" xfId="0" applyNumberFormat="1" applyFont="1" applyFill="1" applyBorder="1" applyAlignment="1">
      <alignment horizontal="center" vertical="center"/>
    </xf>
    <xf numFmtId="0" fontId="51" fillId="0" borderId="1" xfId="0" applyFont="1" applyBorder="1" applyAlignment="1">
      <alignment horizontal="center"/>
    </xf>
    <xf numFmtId="0" fontId="0" fillId="0" borderId="8" xfId="0" applyBorder="1" applyAlignment="1">
      <alignment horizontal="center" vertical="center"/>
    </xf>
    <xf numFmtId="0" fontId="0" fillId="0" borderId="7" xfId="0" applyBorder="1" applyAlignment="1">
      <alignment horizontal="center" vertical="center"/>
    </xf>
    <xf numFmtId="0" fontId="0" fillId="30" borderId="6" xfId="0" applyFill="1" applyBorder="1" applyAlignment="1">
      <alignment horizontal="center" vertical="center"/>
    </xf>
    <xf numFmtId="0" fontId="0" fillId="30" borderId="0" xfId="0" applyFill="1" applyAlignment="1">
      <alignment horizontal="center" vertical="center"/>
    </xf>
    <xf numFmtId="0" fontId="0" fillId="30" borderId="7" xfId="0" applyFill="1" applyBorder="1" applyAlignment="1">
      <alignment horizontal="center" vertical="center"/>
    </xf>
    <xf numFmtId="0" fontId="29" fillId="17" borderId="0" xfId="0" applyFont="1" applyFill="1" applyAlignment="1">
      <alignment horizontal="center" vertical="center"/>
    </xf>
    <xf numFmtId="0" fontId="25" fillId="3" borderId="0" xfId="0" applyFont="1" applyFill="1" applyAlignment="1">
      <alignment horizontal="center" vertical="center"/>
    </xf>
    <xf numFmtId="0" fontId="23" fillId="11" borderId="15" xfId="0" applyFont="1" applyFill="1" applyBorder="1" applyAlignment="1">
      <alignment horizontal="center" vertical="center" wrapText="1"/>
    </xf>
    <xf numFmtId="0" fontId="23" fillId="11" borderId="29" xfId="0" applyFont="1" applyFill="1" applyBorder="1" applyAlignment="1">
      <alignment horizontal="center" vertical="center" wrapText="1"/>
    </xf>
    <xf numFmtId="0" fontId="23" fillId="11" borderId="10" xfId="0" applyFont="1" applyFill="1" applyBorder="1" applyAlignment="1">
      <alignment horizontal="center" vertical="center" wrapText="1"/>
    </xf>
    <xf numFmtId="0" fontId="23" fillId="11" borderId="33" xfId="0" applyFont="1" applyFill="1" applyBorder="1" applyAlignment="1">
      <alignment horizontal="left" vertical="center" wrapText="1"/>
    </xf>
    <xf numFmtId="0" fontId="23" fillId="11" borderId="34" xfId="0" applyFont="1" applyFill="1" applyBorder="1" applyAlignment="1">
      <alignment horizontal="left" vertical="center" wrapText="1"/>
    </xf>
    <xf numFmtId="0" fontId="23" fillId="11" borderId="22" xfId="0" applyFont="1" applyFill="1" applyBorder="1" applyAlignment="1">
      <alignment horizontal="left" vertical="center" wrapText="1"/>
    </xf>
    <xf numFmtId="0" fontId="23" fillId="11" borderId="32" xfId="0" applyFont="1" applyFill="1" applyBorder="1" applyAlignment="1">
      <alignment horizontal="center" vertical="center" wrapText="1"/>
    </xf>
    <xf numFmtId="0" fontId="23" fillId="11" borderId="23" xfId="0" applyFont="1" applyFill="1" applyBorder="1" applyAlignment="1">
      <alignment horizontal="center" vertical="center" wrapText="1"/>
    </xf>
    <xf numFmtId="0" fontId="23" fillId="11" borderId="12" xfId="0" applyFont="1" applyFill="1" applyBorder="1" applyAlignment="1">
      <alignment horizontal="center" vertical="center" wrapText="1"/>
    </xf>
    <xf numFmtId="0" fontId="43" fillId="15" borderId="0" xfId="0" applyFont="1" applyFill="1" applyAlignment="1">
      <alignment horizontal="center" vertical="center"/>
    </xf>
    <xf numFmtId="0" fontId="44" fillId="15" borderId="0" xfId="0" applyFont="1" applyFill="1" applyAlignment="1">
      <alignment horizontal="right" vertical="center" wrapText="1"/>
    </xf>
    <xf numFmtId="0" fontId="11" fillId="15" borderId="0" xfId="0" applyFont="1" applyFill="1" applyAlignment="1">
      <alignment horizontal="right" vertical="center" wrapText="1"/>
    </xf>
    <xf numFmtId="0" fontId="23" fillId="15" borderId="0" xfId="0" applyFont="1" applyFill="1" applyAlignment="1">
      <alignment horizontal="center" vertical="center"/>
    </xf>
    <xf numFmtId="0" fontId="0" fillId="15" borderId="0" xfId="0" applyFill="1" applyAlignment="1"/>
    <xf numFmtId="0" fontId="11" fillId="15" borderId="0" xfId="0" applyFont="1" applyFill="1" applyAlignment="1">
      <alignment horizontal="center" vertical="center"/>
    </xf>
    <xf numFmtId="16"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xf>
    <xf numFmtId="0" fontId="20" fillId="15" borderId="4" xfId="0" applyFont="1" applyFill="1" applyBorder="1" applyAlignment="1">
      <alignment horizontal="center" vertical="center" textRotation="90" wrapText="1"/>
    </xf>
    <xf numFmtId="0" fontId="12" fillId="15" borderId="0" xfId="0" applyFont="1" applyFill="1" applyAlignment="1">
      <alignment horizontal="center" vertical="center"/>
    </xf>
    <xf numFmtId="0" fontId="18" fillId="4" borderId="4" xfId="0" applyFont="1" applyFill="1" applyBorder="1" applyAlignment="1">
      <alignment horizontal="left" vertical="center" wrapText="1"/>
    </xf>
    <xf numFmtId="0" fontId="18" fillId="4" borderId="5" xfId="0" applyFont="1" applyFill="1" applyBorder="1" applyAlignment="1">
      <alignment horizontal="left" vertical="center" wrapText="1"/>
    </xf>
    <xf numFmtId="0" fontId="18" fillId="4" borderId="25" xfId="0" applyFont="1" applyFill="1" applyBorder="1" applyAlignment="1">
      <alignment horizontal="left" vertical="center" wrapText="1"/>
    </xf>
    <xf numFmtId="0" fontId="55" fillId="42" borderId="4" xfId="0" applyFont="1" applyFill="1" applyBorder="1" applyAlignment="1">
      <alignment horizontal="center" vertical="center"/>
    </xf>
    <xf numFmtId="0" fontId="55" fillId="42" borderId="5" xfId="0" applyFont="1" applyFill="1" applyBorder="1" applyAlignment="1">
      <alignment horizontal="center" vertical="center"/>
    </xf>
    <xf numFmtId="0" fontId="55" fillId="42" borderId="25" xfId="0" applyFont="1" applyFill="1" applyBorder="1" applyAlignment="1">
      <alignment horizontal="center" vertical="center"/>
    </xf>
    <xf numFmtId="0" fontId="0" fillId="0" borderId="3" xfId="0" applyBorder="1" applyAlignment="1">
      <alignment horizontal="center" vertical="center" wrapText="1"/>
    </xf>
    <xf numFmtId="0" fontId="0" fillId="0" borderId="41" xfId="0" applyBorder="1" applyAlignment="1">
      <alignment horizontal="center" vertical="center" wrapText="1"/>
    </xf>
    <xf numFmtId="0" fontId="0" fillId="0" borderId="2" xfId="0" applyBorder="1" applyAlignment="1">
      <alignment horizontal="center" vertical="center" wrapText="1"/>
    </xf>
    <xf numFmtId="0" fontId="11" fillId="0" borderId="3" xfId="0" applyFont="1" applyBorder="1" applyAlignment="1">
      <alignment horizontal="center" vertical="center" wrapText="1"/>
    </xf>
    <xf numFmtId="0" fontId="11" fillId="0" borderId="41" xfId="0" applyFont="1" applyBorder="1" applyAlignment="1">
      <alignment horizontal="center" vertical="center" wrapText="1"/>
    </xf>
    <xf numFmtId="0" fontId="11" fillId="0" borderId="2" xfId="0" applyFont="1" applyBorder="1" applyAlignment="1">
      <alignment horizontal="center" vertical="center" wrapText="1"/>
    </xf>
    <xf numFmtId="0" fontId="61" fillId="53" borderId="32" xfId="0" applyFont="1" applyFill="1" applyBorder="1" applyAlignment="1">
      <alignment horizontal="center"/>
    </xf>
    <xf numFmtId="0" fontId="61" fillId="53" borderId="12" xfId="0" applyFont="1" applyFill="1" applyBorder="1" applyAlignment="1">
      <alignment horizontal="center"/>
    </xf>
    <xf numFmtId="0" fontId="61" fillId="54" borderId="18" xfId="0" applyFont="1" applyFill="1" applyBorder="1" applyAlignment="1">
      <alignment horizontal="center"/>
    </xf>
    <xf numFmtId="0" fontId="61" fillId="54" borderId="42" xfId="0" applyFont="1" applyFill="1" applyBorder="1" applyAlignment="1">
      <alignment horizontal="center"/>
    </xf>
    <xf numFmtId="0" fontId="61" fillId="55" borderId="18" xfId="0" applyFont="1" applyFill="1" applyBorder="1" applyAlignment="1">
      <alignment horizontal="center"/>
    </xf>
    <xf numFmtId="0" fontId="61" fillId="55" borderId="42" xfId="0" applyFont="1" applyFill="1" applyBorder="1" applyAlignment="1">
      <alignment horizontal="center"/>
    </xf>
    <xf numFmtId="0" fontId="61" fillId="53" borderId="18" xfId="0" applyFont="1" applyFill="1" applyBorder="1" applyAlignment="1">
      <alignment horizontal="center"/>
    </xf>
    <xf numFmtId="0" fontId="61" fillId="53" borderId="42" xfId="0" applyFont="1" applyFill="1" applyBorder="1" applyAlignment="1">
      <alignment horizontal="center"/>
    </xf>
  </cellXfs>
  <cellStyles count="22">
    <cellStyle name="Comma 2" xfId="6" xr:uid="{00000000-0005-0000-0000-000000000000}"/>
    <cellStyle name="Nor}al" xfId="15" xr:uid="{00000000-0005-0000-0000-000001000000}"/>
    <cellStyle name="Normal" xfId="0" builtinId="0"/>
    <cellStyle name="Normal 10" xfId="16" xr:uid="{00000000-0005-0000-0000-000003000000}"/>
    <cellStyle name="Normal 11" xfId="18" xr:uid="{00000000-0005-0000-0000-000004000000}"/>
    <cellStyle name="Normal 12" xfId="19" xr:uid="{00000000-0005-0000-0000-000005000000}"/>
    <cellStyle name="Normal 13" xfId="20" xr:uid="{00000000-0005-0000-0000-000006000000}"/>
    <cellStyle name="Normal 14" xfId="21" xr:uid="{3D599E88-9113-4DCC-A72D-3E22975E3335}"/>
    <cellStyle name="Normal 2" xfId="1" xr:uid="{00000000-0005-0000-0000-000007000000}"/>
    <cellStyle name="Normal 2 2" xfId="10" xr:uid="{00000000-0005-0000-0000-000008000000}"/>
    <cellStyle name="Normal 2 2 2" xfId="12" xr:uid="{00000000-0005-0000-0000-000009000000}"/>
    <cellStyle name="Normal 2 3" xfId="13" xr:uid="{00000000-0005-0000-0000-00000A000000}"/>
    <cellStyle name="Normal 22" xfId="17" xr:uid="{00000000-0005-0000-0000-00000B000000}"/>
    <cellStyle name="Normal 3" xfId="3" xr:uid="{00000000-0005-0000-0000-00000C000000}"/>
    <cellStyle name="Normal 3 2" xfId="7" xr:uid="{00000000-0005-0000-0000-00000D000000}"/>
    <cellStyle name="Normal 4" xfId="5" xr:uid="{00000000-0005-0000-0000-00000E000000}"/>
    <cellStyle name="Normal 5" xfId="8" xr:uid="{00000000-0005-0000-0000-00000F000000}"/>
    <cellStyle name="Normal 6" xfId="4" xr:uid="{00000000-0005-0000-0000-000010000000}"/>
    <cellStyle name="Normal 7" xfId="9" xr:uid="{00000000-0005-0000-0000-000011000000}"/>
    <cellStyle name="Normal 8" xfId="11" xr:uid="{00000000-0005-0000-0000-000012000000}"/>
    <cellStyle name="Normal 9" xfId="14" xr:uid="{00000000-0005-0000-0000-000013000000}"/>
    <cellStyle name="Percent 2" xfId="2" xr:uid="{00000000-0005-0000-0000-000014000000}"/>
  </cellStyles>
  <dxfs count="20">
    <dxf>
      <font>
        <b/>
        <i val="0"/>
        <condense val="0"/>
        <extend val="0"/>
        <color auto="1"/>
      </font>
      <fill>
        <patternFill>
          <bgColor indexed="10"/>
        </patternFill>
      </fill>
    </dxf>
    <dxf>
      <font>
        <b/>
        <i val="0"/>
        <condense val="0"/>
        <extend val="0"/>
        <color indexed="8"/>
      </font>
      <fill>
        <patternFill>
          <bgColor indexed="11"/>
        </patternFill>
      </fill>
    </dxf>
    <dxf>
      <font>
        <b/>
        <i val="0"/>
        <condense val="0"/>
        <extend val="0"/>
      </font>
      <fill>
        <patternFill>
          <bgColor indexed="10"/>
        </patternFill>
      </fill>
    </dxf>
    <dxf>
      <font>
        <b/>
        <i val="0"/>
        <condense val="0"/>
        <extend val="0"/>
      </font>
      <fill>
        <patternFill>
          <bgColor indexed="34"/>
        </patternFill>
      </fill>
    </dxf>
    <dxf>
      <font>
        <b/>
        <i val="0"/>
        <condense val="0"/>
        <extend val="0"/>
      </font>
      <fill>
        <patternFill>
          <bgColor indexed="11"/>
        </patternFill>
      </fill>
    </dxf>
    <dxf>
      <font>
        <b/>
        <i val="0"/>
        <condense val="0"/>
        <extend val="0"/>
        <color auto="1"/>
      </font>
      <fill>
        <patternFill>
          <bgColor indexed="10"/>
        </patternFill>
      </fill>
    </dxf>
    <dxf>
      <font>
        <b/>
        <i val="0"/>
        <condense val="0"/>
        <extend val="0"/>
        <color indexed="8"/>
      </font>
      <fill>
        <patternFill>
          <bgColor indexed="11"/>
        </patternFill>
      </fill>
    </dxf>
    <dxf>
      <font>
        <b/>
        <i val="0"/>
        <condense val="0"/>
        <extend val="0"/>
        <color auto="1"/>
      </font>
      <fill>
        <patternFill>
          <bgColor indexed="10"/>
        </patternFill>
      </fill>
    </dxf>
    <dxf>
      <font>
        <b/>
        <i val="0"/>
        <condense val="0"/>
        <extend val="0"/>
        <color indexed="8"/>
      </font>
      <fill>
        <patternFill>
          <bgColor indexed="11"/>
        </patternFill>
      </fill>
    </dxf>
    <dxf>
      <font>
        <b/>
        <i val="0"/>
        <condense val="0"/>
        <extend val="0"/>
        <color auto="1"/>
      </font>
      <fill>
        <patternFill>
          <bgColor indexed="10"/>
        </patternFill>
      </fill>
    </dxf>
    <dxf>
      <font>
        <b/>
        <i val="0"/>
        <condense val="0"/>
        <extend val="0"/>
        <color indexed="8"/>
      </font>
      <fill>
        <patternFill>
          <bgColor indexed="11"/>
        </patternFill>
      </fill>
    </dxf>
    <dxf>
      <font>
        <b/>
        <i val="0"/>
        <condense val="0"/>
        <extend val="0"/>
        <color auto="1"/>
      </font>
      <fill>
        <patternFill>
          <bgColor indexed="10"/>
        </patternFill>
      </fill>
    </dxf>
    <dxf>
      <font>
        <b/>
        <i val="0"/>
        <condense val="0"/>
        <extend val="0"/>
        <color indexed="8"/>
      </font>
      <fill>
        <patternFill>
          <bgColor indexed="11"/>
        </patternFill>
      </fill>
    </dxf>
    <dxf>
      <font>
        <b/>
        <i val="0"/>
        <condense val="0"/>
        <extend val="0"/>
      </font>
      <fill>
        <patternFill>
          <bgColor indexed="10"/>
        </patternFill>
      </fill>
    </dxf>
    <dxf>
      <font>
        <b/>
        <i val="0"/>
        <condense val="0"/>
        <extend val="0"/>
      </font>
      <fill>
        <patternFill>
          <bgColor indexed="34"/>
        </patternFill>
      </fill>
    </dxf>
    <dxf>
      <font>
        <b/>
        <i val="0"/>
        <condense val="0"/>
        <extend val="0"/>
      </font>
      <fill>
        <patternFill>
          <bgColor indexed="11"/>
        </patternFill>
      </fill>
    </dxf>
    <dxf>
      <font>
        <b/>
        <i val="0"/>
        <condense val="0"/>
        <extend val="0"/>
        <color auto="1"/>
      </font>
      <fill>
        <patternFill>
          <bgColor indexed="10"/>
        </patternFill>
      </fill>
    </dxf>
    <dxf>
      <font>
        <b/>
        <i val="0"/>
        <condense val="0"/>
        <extend val="0"/>
        <color indexed="8"/>
      </font>
      <fill>
        <patternFill>
          <bgColor indexed="11"/>
        </patternFill>
      </fill>
    </dxf>
    <dxf>
      <font>
        <b/>
        <i val="0"/>
        <condense val="0"/>
        <extend val="0"/>
      </font>
      <fill>
        <patternFill>
          <bgColor indexed="34"/>
        </patternFill>
      </fill>
    </dxf>
    <dxf>
      <font>
        <b/>
        <i val="0"/>
        <condense val="0"/>
        <extend val="0"/>
      </font>
      <fill>
        <patternFill>
          <bgColor indexed="11"/>
        </patternFill>
      </fill>
    </dxf>
  </dxfs>
  <tableStyles count="1" defaultTableStyle="TableStyleMedium9" defaultPivotStyle="PivotStyleLight16">
    <tableStyle name="Invisible" pivot="0" table="0" count="0" xr9:uid="{00000000-0011-0000-FFFF-FFFF00000000}"/>
  </tableStyles>
  <colors>
    <mruColors>
      <color rgb="FFFFFFAF"/>
      <color rgb="FFFFFF4F"/>
      <color rgb="FFFF99CC"/>
      <color rgb="FFFFFF99"/>
      <color rgb="FFCCFFFF"/>
      <color rgb="FF0000FF"/>
      <color rgb="FFB8CCE4"/>
      <color rgb="FFCCFFCC"/>
      <color rgb="FF00CCFF"/>
      <color rgb="FFCCC0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546063194009876E-2"/>
          <c:y val="0.15606966759221075"/>
          <c:w val="0.92879318938687705"/>
          <c:h val="0.71387383980120001"/>
        </c:manualLayout>
      </c:layout>
      <c:lineChart>
        <c:grouping val="standard"/>
        <c:varyColors val="0"/>
        <c:ser>
          <c:idx val="0"/>
          <c:order val="0"/>
          <c:tx>
            <c:v>Station Generation in MU's</c:v>
          </c:tx>
          <c:spPr>
            <a:ln w="12700">
              <a:solidFill>
                <a:srgbClr val="000080"/>
              </a:solidFill>
              <a:prstDash val="solid"/>
            </a:ln>
          </c:spPr>
          <c:marker>
            <c:symbol val="circle"/>
            <c:size val="6"/>
            <c:spPr>
              <a:solidFill>
                <a:srgbClr val="000080"/>
              </a:solidFill>
              <a:ln>
                <a:solidFill>
                  <a:srgbClr val="000080"/>
                </a:solidFill>
                <a:prstDash val="solid"/>
              </a:ln>
            </c:spPr>
          </c:marker>
          <c:cat>
            <c:numRef>
              <c:f>STATION!$C$2:$AF$2</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formatCode="0">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f>STATION!$C$6:$AF$6</c:f>
              <c:numCache>
                <c:formatCode>0.000</c:formatCode>
                <c:ptCount val="30"/>
                <c:pt idx="0">
                  <c:v>2.5949999999999998</c:v>
                </c:pt>
                <c:pt idx="1">
                  <c:v>2.573</c:v>
                </c:pt>
                <c:pt idx="2">
                  <c:v>2.657</c:v>
                </c:pt>
                <c:pt idx="3">
                  <c:v>2.7469999999999999</c:v>
                </c:pt>
                <c:pt idx="4">
                  <c:v>2.7370000000000001</c:v>
                </c:pt>
                <c:pt idx="5">
                  <c:v>2.6819999999999999</c:v>
                </c:pt>
                <c:pt idx="6">
                  <c:v>2.7509999999999999</c:v>
                </c:pt>
                <c:pt idx="7">
                  <c:v>2.7090000000000001</c:v>
                </c:pt>
                <c:pt idx="8">
                  <c:v>2.766</c:v>
                </c:pt>
                <c:pt idx="9">
                  <c:v>2.79</c:v>
                </c:pt>
                <c:pt idx="10">
                  <c:v>2.7119999999999997</c:v>
                </c:pt>
                <c:pt idx="11">
                  <c:v>2.7640000000000002</c:v>
                </c:pt>
                <c:pt idx="12">
                  <c:v>2.6879999999999997</c:v>
                </c:pt>
                <c:pt idx="13">
                  <c:v>2.6280000000000001</c:v>
                </c:pt>
                <c:pt idx="14">
                  <c:v>2.6139999999999999</c:v>
                </c:pt>
                <c:pt idx="15">
                  <c:v>2.6379999999999999</c:v>
                </c:pt>
                <c:pt idx="16">
                  <c:v>2.67</c:v>
                </c:pt>
                <c:pt idx="17">
                  <c:v>2.7020000000000004</c:v>
                </c:pt>
                <c:pt idx="18">
                  <c:v>2.61</c:v>
                </c:pt>
                <c:pt idx="19">
                  <c:v>2.5659999999999998</c:v>
                </c:pt>
                <c:pt idx="20">
                  <c:v>2.5470000000000002</c:v>
                </c:pt>
                <c:pt idx="21">
                  <c:v>2.71</c:v>
                </c:pt>
                <c:pt idx="22">
                  <c:v>2.7880000000000003</c:v>
                </c:pt>
                <c:pt idx="23">
                  <c:v>2.8319999999999999</c:v>
                </c:pt>
                <c:pt idx="24">
                  <c:v>2.8380000000000001</c:v>
                </c:pt>
                <c:pt idx="25">
                  <c:v>2.5330000000000004</c:v>
                </c:pt>
                <c:pt idx="26">
                  <c:v>2.4670000000000001</c:v>
                </c:pt>
                <c:pt idx="27">
                  <c:v>2.5</c:v>
                </c:pt>
                <c:pt idx="28">
                  <c:v>2.657</c:v>
                </c:pt>
                <c:pt idx="29">
                  <c:v>2.8650000000000002</c:v>
                </c:pt>
              </c:numCache>
            </c:numRef>
          </c:val>
          <c:smooth val="0"/>
          <c:extLst>
            <c:ext xmlns:c16="http://schemas.microsoft.com/office/drawing/2014/chart" uri="{C3380CC4-5D6E-409C-BE32-E72D297353CC}">
              <c16:uniqueId val="{00000000-FF54-4F9D-AD61-12BFA22D43DE}"/>
            </c:ext>
          </c:extLst>
        </c:ser>
        <c:ser>
          <c:idx val="1"/>
          <c:order val="1"/>
          <c:tx>
            <c:strRef>
              <c:f>STATION!$A$43</c:f>
              <c:strCache>
                <c:ptCount val="1"/>
                <c:pt idx="0">
                  <c:v>Total Sales</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STATION!$C$2:$AF$2</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formatCode="0">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f>STATION!$C$43:$AF$43</c:f>
              <c:numCache>
                <c:formatCode>0.000</c:formatCode>
                <c:ptCount val="30"/>
                <c:pt idx="0">
                  <c:v>2.3784200000000002</c:v>
                </c:pt>
                <c:pt idx="1">
                  <c:v>2.3952100000000001</c:v>
                </c:pt>
                <c:pt idx="2">
                  <c:v>2.4068200000000002</c:v>
                </c:pt>
                <c:pt idx="3">
                  <c:v>2.5015399999999999</c:v>
                </c:pt>
                <c:pt idx="4">
                  <c:v>2.5185399999999998</c:v>
                </c:pt>
                <c:pt idx="5">
                  <c:v>2.4899300000000002</c:v>
                </c:pt>
                <c:pt idx="6">
                  <c:v>2.48861</c:v>
                </c:pt>
                <c:pt idx="7">
                  <c:v>2.4523700000000002</c:v>
                </c:pt>
                <c:pt idx="8">
                  <c:v>2.5040200000000001</c:v>
                </c:pt>
                <c:pt idx="9">
                  <c:v>2.5394700000000001</c:v>
                </c:pt>
                <c:pt idx="10">
                  <c:v>2.5165099999999998</c:v>
                </c:pt>
                <c:pt idx="11">
                  <c:v>2.4936099999999999</c:v>
                </c:pt>
                <c:pt idx="12">
                  <c:v>2.4675500000000001</c:v>
                </c:pt>
                <c:pt idx="13">
                  <c:v>2.3702200000000002</c:v>
                </c:pt>
                <c:pt idx="14">
                  <c:v>2.3856199999999999</c:v>
                </c:pt>
                <c:pt idx="15">
                  <c:v>2.39737</c:v>
                </c:pt>
                <c:pt idx="16">
                  <c:v>2.4313400000000001</c:v>
                </c:pt>
                <c:pt idx="17">
                  <c:v>2.4270399999999999</c:v>
                </c:pt>
                <c:pt idx="18">
                  <c:v>2.3576700000000002</c:v>
                </c:pt>
                <c:pt idx="19">
                  <c:v>2.3359000000000001</c:v>
                </c:pt>
                <c:pt idx="20">
                  <c:v>2.30463</c:v>
                </c:pt>
                <c:pt idx="21">
                  <c:v>2.44651</c:v>
                </c:pt>
                <c:pt idx="22">
                  <c:v>2.51695</c:v>
                </c:pt>
                <c:pt idx="23">
                  <c:v>2.56785</c:v>
                </c:pt>
                <c:pt idx="24">
                  <c:v>2.5918999999999999</c:v>
                </c:pt>
                <c:pt idx="25">
                  <c:v>2.3065500000000001</c:v>
                </c:pt>
                <c:pt idx="26">
                  <c:v>2.2482600000000001</c:v>
                </c:pt>
                <c:pt idx="27">
                  <c:v>2.2524899999999999</c:v>
                </c:pt>
                <c:pt idx="28">
                  <c:v>2.33392</c:v>
                </c:pt>
                <c:pt idx="29">
                  <c:v>2.5643199999999999</c:v>
                </c:pt>
              </c:numCache>
            </c:numRef>
          </c:val>
          <c:smooth val="0"/>
          <c:extLst>
            <c:ext xmlns:c16="http://schemas.microsoft.com/office/drawing/2014/chart" uri="{C3380CC4-5D6E-409C-BE32-E72D297353CC}">
              <c16:uniqueId val="{00000001-FF54-4F9D-AD61-12BFA22D43DE}"/>
            </c:ext>
          </c:extLst>
        </c:ser>
        <c:dLbls>
          <c:showLegendKey val="0"/>
          <c:showVal val="0"/>
          <c:showCatName val="0"/>
          <c:showSerName val="0"/>
          <c:showPercent val="0"/>
          <c:showBubbleSize val="0"/>
        </c:dLbls>
        <c:marker val="1"/>
        <c:smooth val="0"/>
        <c:axId val="477374544"/>
        <c:axId val="477369840"/>
      </c:lineChart>
      <c:catAx>
        <c:axId val="4773745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77369840"/>
        <c:crosses val="autoZero"/>
        <c:auto val="1"/>
        <c:lblAlgn val="ctr"/>
        <c:lblOffset val="100"/>
        <c:tickLblSkip val="1"/>
        <c:tickMarkSkip val="1"/>
        <c:noMultiLvlLbl val="0"/>
      </c:catAx>
      <c:valAx>
        <c:axId val="477369840"/>
        <c:scaling>
          <c:orientation val="minMax"/>
          <c:max val="3"/>
          <c:min val="0"/>
        </c:scaling>
        <c:delete val="0"/>
        <c:axPos val="l"/>
        <c:majorGridlines>
          <c:spPr>
            <a:ln w="3175">
              <a:solidFill>
                <a:srgbClr val="000000"/>
              </a:solidFill>
              <a:prstDash val="sysDash"/>
            </a:ln>
          </c:spPr>
        </c:majorGridlines>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77374544"/>
        <c:crosses val="autoZero"/>
        <c:crossBetween val="between"/>
      </c:valAx>
      <c:spPr>
        <a:gradFill rotWithShape="0">
          <a:gsLst>
            <a:gs pos="0">
              <a:srgbClr val="FFEFD1"/>
            </a:gs>
            <a:gs pos="64999">
              <a:srgbClr val="F0EBD5"/>
            </a:gs>
            <a:gs pos="100000">
              <a:srgbClr val="D1C39F"/>
            </a:gs>
          </a:gsLst>
          <a:lin ang="5400000" scaled="0"/>
        </a:gradFill>
        <a:ln w="25400">
          <a:noFill/>
        </a:ln>
      </c:spPr>
    </c:plotArea>
    <c:legend>
      <c:legendPos val="t"/>
      <c:legendEntry>
        <c:idx val="0"/>
        <c:txPr>
          <a:bodyPr/>
          <a:lstStyle/>
          <a:p>
            <a:pPr>
              <a:defRPr sz="1100" b="0" i="0" u="none" strike="noStrike" baseline="0">
                <a:solidFill>
                  <a:srgbClr val="000000"/>
                </a:solidFill>
                <a:latin typeface="Arial"/>
                <a:ea typeface="Arial"/>
                <a:cs typeface="Arial"/>
              </a:defRPr>
            </a:pPr>
            <a:endParaRPr lang="en-US"/>
          </a:p>
        </c:txPr>
      </c:legendEntry>
      <c:legendEntry>
        <c:idx val="1"/>
        <c:txPr>
          <a:bodyPr/>
          <a:lstStyle/>
          <a:p>
            <a:pPr>
              <a:defRPr sz="1100" b="0" i="0" u="none" strike="noStrike" baseline="0">
                <a:solidFill>
                  <a:srgbClr val="000000"/>
                </a:solidFill>
                <a:latin typeface="Arial"/>
                <a:ea typeface="Arial"/>
                <a:cs typeface="Arial"/>
              </a:defRPr>
            </a:pPr>
            <a:endParaRPr lang="en-US"/>
          </a:p>
        </c:txPr>
      </c:legendEntry>
      <c:layout>
        <c:manualLayout>
          <c:xMode val="edge"/>
          <c:yMode val="edge"/>
          <c:x val="0.35737718840614885"/>
          <c:y val="2.3121387283236993E-2"/>
          <c:w val="0.37881618803813188"/>
          <c:h val="8.509671840152927E-2"/>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horizontalDpi="300" verticalDpi="300"/>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2050209205020925E-2"/>
          <c:y val="0.15517241379310345"/>
          <c:w val="0.88842398884189777"/>
          <c:h val="0.71551724137931039"/>
        </c:manualLayout>
      </c:layout>
      <c:lineChart>
        <c:grouping val="standard"/>
        <c:varyColors val="0"/>
        <c:ser>
          <c:idx val="0"/>
          <c:order val="0"/>
          <c:tx>
            <c:v>PLF-For the Date</c:v>
          </c:tx>
          <c:spPr>
            <a:ln w="12700">
              <a:solidFill>
                <a:srgbClr val="000080"/>
              </a:solidFill>
              <a:prstDash val="solid"/>
            </a:ln>
          </c:spPr>
          <c:marker>
            <c:symbol val="diamond"/>
            <c:size val="5"/>
            <c:spPr>
              <a:solidFill>
                <a:srgbClr val="000080"/>
              </a:solidFill>
              <a:ln>
                <a:solidFill>
                  <a:srgbClr val="000080"/>
                </a:solidFill>
                <a:prstDash val="solid"/>
              </a:ln>
            </c:spPr>
          </c:marker>
          <c:val>
            <c:numRef>
              <c:f>UNITS!$C$41:$AF$41</c:f>
              <c:numCache>
                <c:formatCode>0.00</c:formatCode>
                <c:ptCount val="30"/>
                <c:pt idx="0">
                  <c:v>94.645424274398266</c:v>
                </c:pt>
                <c:pt idx="1">
                  <c:v>94.353483982010999</c:v>
                </c:pt>
                <c:pt idx="2">
                  <c:v>96.317859607147341</c:v>
                </c:pt>
                <c:pt idx="3">
                  <c:v>101.87601334843637</c:v>
                </c:pt>
                <c:pt idx="4">
                  <c:v>102.3972697299028</c:v>
                </c:pt>
                <c:pt idx="5">
                  <c:v>100.51971979569855</c:v>
                </c:pt>
                <c:pt idx="6">
                  <c:v>104.17185741981272</c:v>
                </c:pt>
                <c:pt idx="7">
                  <c:v>102.21953493499034</c:v>
                </c:pt>
                <c:pt idx="8">
                  <c:v>105.07355437053106</c:v>
                </c:pt>
                <c:pt idx="9">
                  <c:v>105.66650594526941</c:v>
                </c:pt>
                <c:pt idx="10">
                  <c:v>101.95405837463274</c:v>
                </c:pt>
                <c:pt idx="11">
                  <c:v>107.3631973337755</c:v>
                </c:pt>
                <c:pt idx="12">
                  <c:v>101.06939794146827</c:v>
                </c:pt>
                <c:pt idx="13">
                  <c:v>98.657311032289627</c:v>
                </c:pt>
                <c:pt idx="14">
                  <c:v>97.710511622399537</c:v>
                </c:pt>
                <c:pt idx="15">
                  <c:v>98.679501967580066</c:v>
                </c:pt>
                <c:pt idx="16">
                  <c:v>99.748625081743057</c:v>
                </c:pt>
                <c:pt idx="17">
                  <c:v>102.4645343726869</c:v>
                </c:pt>
                <c:pt idx="18">
                  <c:v>97.987437805981273</c:v>
                </c:pt>
                <c:pt idx="19">
                  <c:v>94.581181800467661</c:v>
                </c:pt>
                <c:pt idx="20">
                  <c:v>94.453904005490429</c:v>
                </c:pt>
                <c:pt idx="21">
                  <c:v>100.78892871785861</c:v>
                </c:pt>
                <c:pt idx="22">
                  <c:v>104.72687026029924</c:v>
                </c:pt>
                <c:pt idx="23">
                  <c:v>106.63283682867569</c:v>
                </c:pt>
                <c:pt idx="24">
                  <c:v>107.92914485385415</c:v>
                </c:pt>
                <c:pt idx="25">
                  <c:v>91.817985527544337</c:v>
                </c:pt>
                <c:pt idx="26">
                  <c:v>90.554403724400174</c:v>
                </c:pt>
                <c:pt idx="27">
                  <c:v>93.705076190476177</c:v>
                </c:pt>
                <c:pt idx="28">
                  <c:v>99.698411876982632</c:v>
                </c:pt>
                <c:pt idx="29">
                  <c:v>108.62634006482172</c:v>
                </c:pt>
              </c:numCache>
            </c:numRef>
          </c:val>
          <c:smooth val="0"/>
          <c:extLst>
            <c:ext xmlns:c16="http://schemas.microsoft.com/office/drawing/2014/chart" uri="{C3380CC4-5D6E-409C-BE32-E72D297353CC}">
              <c16:uniqueId val="{00000000-D580-4944-9C3F-694498934FA0}"/>
            </c:ext>
          </c:extLst>
        </c:ser>
        <c:ser>
          <c:idx val="1"/>
          <c:order val="1"/>
          <c:tx>
            <c:v>PLF-For the Month</c:v>
          </c:tx>
          <c:spPr>
            <a:ln w="12700">
              <a:solidFill>
                <a:srgbClr val="FF00FF"/>
              </a:solidFill>
              <a:prstDash val="solid"/>
            </a:ln>
          </c:spPr>
          <c:marker>
            <c:symbol val="square"/>
            <c:size val="5"/>
            <c:spPr>
              <a:solidFill>
                <a:srgbClr val="FF00FF"/>
              </a:solidFill>
              <a:ln>
                <a:solidFill>
                  <a:srgbClr val="FF00FF"/>
                </a:solidFill>
                <a:prstDash val="solid"/>
              </a:ln>
            </c:spPr>
          </c:marker>
          <c:val>
            <c:numRef>
              <c:f>UNITS!$C$42:$AF$42</c:f>
              <c:numCache>
                <c:formatCode>0.00</c:formatCode>
                <c:ptCount val="30"/>
                <c:pt idx="0">
                  <c:v>94.645424274398266</c:v>
                </c:pt>
                <c:pt idx="1">
                  <c:v>94.499454128204619</c:v>
                </c:pt>
                <c:pt idx="2">
                  <c:v>95.105589287852197</c:v>
                </c:pt>
                <c:pt idx="3">
                  <c:v>96.798195302998238</c:v>
                </c:pt>
                <c:pt idx="4">
                  <c:v>97.918010188379142</c:v>
                </c:pt>
                <c:pt idx="5">
                  <c:v>98.351628456265701</c:v>
                </c:pt>
                <c:pt idx="6">
                  <c:v>99.18308973677243</c:v>
                </c:pt>
                <c:pt idx="7">
                  <c:v>99.562645386549661</c:v>
                </c:pt>
                <c:pt idx="8">
                  <c:v>100.17496860699205</c:v>
                </c:pt>
                <c:pt idx="9">
                  <c:v>100.72412234081978</c:v>
                </c:pt>
                <c:pt idx="10">
                  <c:v>100.83593470753004</c:v>
                </c:pt>
                <c:pt idx="11">
                  <c:v>101.37987325971716</c:v>
                </c:pt>
                <c:pt idx="12">
                  <c:v>101.35599054292879</c:v>
                </c:pt>
                <c:pt idx="13">
                  <c:v>101.16322772074027</c:v>
                </c:pt>
                <c:pt idx="14">
                  <c:v>100.93304664751756</c:v>
                </c:pt>
                <c:pt idx="15">
                  <c:v>100.79220010502145</c:v>
                </c:pt>
                <c:pt idx="16">
                  <c:v>100.73081333894625</c:v>
                </c:pt>
                <c:pt idx="17">
                  <c:v>100.82713117415405</c:v>
                </c:pt>
                <c:pt idx="18">
                  <c:v>100.67767362846074</c:v>
                </c:pt>
                <c:pt idx="19">
                  <c:v>100.3728490370611</c:v>
                </c:pt>
                <c:pt idx="20">
                  <c:v>100.09099451174822</c:v>
                </c:pt>
                <c:pt idx="21">
                  <c:v>100.12271879384414</c:v>
                </c:pt>
                <c:pt idx="22">
                  <c:v>100.32289929238566</c:v>
                </c:pt>
                <c:pt idx="23">
                  <c:v>100.58581335639775</c:v>
                </c:pt>
                <c:pt idx="24">
                  <c:v>100.879546616296</c:v>
                </c:pt>
                <c:pt idx="25">
                  <c:v>100.53102503595942</c:v>
                </c:pt>
                <c:pt idx="26">
                  <c:v>100.16152054293869</c:v>
                </c:pt>
                <c:pt idx="27">
                  <c:v>99.930933244636449</c:v>
                </c:pt>
                <c:pt idx="28">
                  <c:v>99.922915266441507</c:v>
                </c:pt>
                <c:pt idx="29">
                  <c:v>100.21302942638752</c:v>
                </c:pt>
              </c:numCache>
            </c:numRef>
          </c:val>
          <c:smooth val="0"/>
          <c:extLst>
            <c:ext xmlns:c16="http://schemas.microsoft.com/office/drawing/2014/chart" uri="{C3380CC4-5D6E-409C-BE32-E72D297353CC}">
              <c16:uniqueId val="{00000001-D580-4944-9C3F-694498934FA0}"/>
            </c:ext>
          </c:extLst>
        </c:ser>
        <c:dLbls>
          <c:showLegendKey val="0"/>
          <c:showVal val="0"/>
          <c:showCatName val="0"/>
          <c:showSerName val="0"/>
          <c:showPercent val="0"/>
          <c:showBubbleSize val="0"/>
        </c:dLbls>
        <c:marker val="1"/>
        <c:smooth val="0"/>
        <c:axId val="488342792"/>
        <c:axId val="488343968"/>
      </c:lineChart>
      <c:catAx>
        <c:axId val="48834279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88343968"/>
        <c:crosses val="autoZero"/>
        <c:auto val="1"/>
        <c:lblAlgn val="ctr"/>
        <c:lblOffset val="100"/>
        <c:tickLblSkip val="1"/>
        <c:tickMarkSkip val="1"/>
        <c:noMultiLvlLbl val="0"/>
      </c:catAx>
      <c:valAx>
        <c:axId val="488343968"/>
        <c:scaling>
          <c:orientation val="minMax"/>
          <c:max val="115"/>
          <c:min val="0"/>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88342792"/>
        <c:crosses val="autoZero"/>
        <c:crossBetween val="between"/>
        <c:majorUnit val="20"/>
      </c:valAx>
      <c:spPr>
        <a:solidFill>
          <a:srgbClr val="C0C0C0"/>
        </a:solidFill>
        <a:ln w="12700">
          <a:solidFill>
            <a:srgbClr val="808080"/>
          </a:solidFill>
          <a:prstDash val="solid"/>
        </a:ln>
      </c:spPr>
    </c:plotArea>
    <c:legend>
      <c:legendPos val="r"/>
      <c:legendEntry>
        <c:idx val="0"/>
        <c:txPr>
          <a:bodyPr/>
          <a:lstStyle/>
          <a:p>
            <a:pPr>
              <a:defRPr sz="1000" b="0" i="0" u="none" strike="noStrike" baseline="0">
                <a:solidFill>
                  <a:srgbClr val="000000"/>
                </a:solidFill>
                <a:latin typeface="Arial"/>
                <a:ea typeface="Arial"/>
                <a:cs typeface="Arial"/>
              </a:defRPr>
            </a:pPr>
            <a:endParaRPr lang="en-US"/>
          </a:p>
        </c:txPr>
      </c:legendEntry>
      <c:legendEntry>
        <c:idx val="1"/>
        <c:txPr>
          <a:bodyPr/>
          <a:lstStyle/>
          <a:p>
            <a:pPr>
              <a:defRPr sz="1000" b="0" i="0" u="none" strike="noStrike" baseline="0">
                <a:solidFill>
                  <a:srgbClr val="000000"/>
                </a:solidFill>
                <a:latin typeface="Arial"/>
                <a:ea typeface="Arial"/>
                <a:cs typeface="Arial"/>
              </a:defRPr>
            </a:pPr>
            <a:endParaRPr lang="en-US"/>
          </a:p>
        </c:txPr>
      </c:legendEntry>
      <c:layout>
        <c:manualLayout>
          <c:xMode val="edge"/>
          <c:yMode val="edge"/>
          <c:x val="0.33612282839652502"/>
          <c:y val="2.2988587100769751E-2"/>
          <c:w val="0.40027902762154727"/>
          <c:h val="6.8965466395352379E-2"/>
        </c:manualLayout>
      </c:layout>
      <c:overlay val="0"/>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horizontalDpi="300" verticalDpi="300"/>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204089454420021"/>
          <c:y val="0.15362362325527415"/>
          <c:w val="0.87598183316464118"/>
          <c:h val="0.71884261447762265"/>
        </c:manualLayout>
      </c:layout>
      <c:lineChart>
        <c:grouping val="standard"/>
        <c:varyColors val="0"/>
        <c:ser>
          <c:idx val="0"/>
          <c:order val="0"/>
          <c:tx>
            <c:v>Availability for the date %</c:v>
          </c:tx>
          <c:spPr>
            <a:ln w="12700">
              <a:solidFill>
                <a:srgbClr val="000080"/>
              </a:solidFill>
              <a:prstDash val="solid"/>
            </a:ln>
          </c:spPr>
          <c:marker>
            <c:symbol val="diamond"/>
            <c:size val="5"/>
            <c:spPr>
              <a:solidFill>
                <a:srgbClr val="000080"/>
              </a:solidFill>
              <a:ln>
                <a:solidFill>
                  <a:srgbClr val="000080"/>
                </a:solidFill>
                <a:prstDash val="solid"/>
              </a:ln>
            </c:spPr>
          </c:marker>
          <c:val>
            <c:numRef>
              <c:f>UNITS!$C$52:$AF$52</c:f>
              <c:numCache>
                <c:formatCode>0.00</c:formatCode>
                <c:ptCount val="3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numCache>
            </c:numRef>
          </c:val>
          <c:smooth val="0"/>
          <c:extLst>
            <c:ext xmlns:c16="http://schemas.microsoft.com/office/drawing/2014/chart" uri="{C3380CC4-5D6E-409C-BE32-E72D297353CC}">
              <c16:uniqueId val="{00000000-868E-4219-864F-F5AF1DD88E13}"/>
            </c:ext>
          </c:extLst>
        </c:ser>
        <c:dLbls>
          <c:showLegendKey val="0"/>
          <c:showVal val="0"/>
          <c:showCatName val="0"/>
          <c:showSerName val="0"/>
          <c:showPercent val="0"/>
          <c:showBubbleSize val="0"/>
        </c:dLbls>
        <c:marker val="1"/>
        <c:smooth val="0"/>
        <c:axId val="488346320"/>
        <c:axId val="418496632"/>
      </c:lineChart>
      <c:catAx>
        <c:axId val="4883463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418496632"/>
        <c:crosses val="autoZero"/>
        <c:auto val="1"/>
        <c:lblAlgn val="ctr"/>
        <c:lblOffset val="100"/>
        <c:tickLblSkip val="1"/>
        <c:tickMarkSkip val="1"/>
        <c:noMultiLvlLbl val="0"/>
      </c:catAx>
      <c:valAx>
        <c:axId val="418496632"/>
        <c:scaling>
          <c:orientation val="minMax"/>
          <c:max val="120"/>
          <c:min val="0"/>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488346320"/>
        <c:crosses val="autoZero"/>
        <c:crossBetween val="between"/>
      </c:valAx>
      <c:spPr>
        <a:solidFill>
          <a:srgbClr val="C0C0C0"/>
        </a:solidFill>
        <a:ln w="12700">
          <a:solidFill>
            <a:srgbClr val="808080"/>
          </a:solidFill>
          <a:prstDash val="solid"/>
        </a:ln>
      </c:spPr>
    </c:plotArea>
    <c:legend>
      <c:legendPos val="t"/>
      <c:legendEntry>
        <c:idx val="0"/>
        <c:txPr>
          <a:bodyPr/>
          <a:lstStyle/>
          <a:p>
            <a:pPr>
              <a:defRPr sz="1000" b="0" i="0" u="none" strike="noStrike" baseline="0">
                <a:solidFill>
                  <a:srgbClr val="000000"/>
                </a:solidFill>
                <a:latin typeface="Arial"/>
                <a:ea typeface="Arial"/>
                <a:cs typeface="Arial"/>
              </a:defRPr>
            </a:pPr>
            <a:endParaRPr lang="en-US"/>
          </a:p>
        </c:txPr>
      </c:legendEntry>
      <c:layout>
        <c:manualLayout>
          <c:xMode val="edge"/>
          <c:yMode val="edge"/>
          <c:x val="0.3145812267971998"/>
          <c:y val="3.5022458927327971E-2"/>
          <c:w val="0.27472543953983708"/>
          <c:h val="6.6666972750855119E-2"/>
        </c:manualLayout>
      </c:layout>
      <c:overlay val="0"/>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46367851624829"/>
          <c:y val="0.15229927795910544"/>
          <c:w val="0.87789799072642971"/>
          <c:h val="0.72126639184398456"/>
        </c:manualLayout>
      </c:layout>
      <c:lineChart>
        <c:grouping val="standard"/>
        <c:varyColors val="0"/>
        <c:ser>
          <c:idx val="0"/>
          <c:order val="0"/>
          <c:tx>
            <c:v> Availability for the day in %</c:v>
          </c:tx>
          <c:spPr>
            <a:ln w="12700">
              <a:solidFill>
                <a:srgbClr val="000080"/>
              </a:solidFill>
              <a:prstDash val="solid"/>
            </a:ln>
          </c:spPr>
          <c:marker>
            <c:symbol val="diamond"/>
            <c:size val="5"/>
            <c:spPr>
              <a:solidFill>
                <a:srgbClr val="000080"/>
              </a:solidFill>
              <a:ln>
                <a:solidFill>
                  <a:srgbClr val="000080"/>
                </a:solidFill>
                <a:prstDash val="solid"/>
              </a:ln>
            </c:spPr>
          </c:marker>
          <c:val>
            <c:numRef>
              <c:f>UNITS!$C$48:$AG$48</c:f>
              <c:numCache>
                <c:formatCode>0.00</c:formatCode>
                <c:ptCount val="31"/>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87.847222222222214</c:v>
                </c:pt>
                <c:pt idx="19">
                  <c:v>83.333333333333343</c:v>
                </c:pt>
                <c:pt idx="20">
                  <c:v>85.159722222222229</c:v>
                </c:pt>
                <c:pt idx="21">
                  <c:v>100</c:v>
                </c:pt>
                <c:pt idx="22">
                  <c:v>100</c:v>
                </c:pt>
                <c:pt idx="23">
                  <c:v>100</c:v>
                </c:pt>
                <c:pt idx="24">
                  <c:v>100</c:v>
                </c:pt>
                <c:pt idx="25">
                  <c:v>100</c:v>
                </c:pt>
                <c:pt idx="26">
                  <c:v>100</c:v>
                </c:pt>
                <c:pt idx="27">
                  <c:v>100</c:v>
                </c:pt>
                <c:pt idx="28">
                  <c:v>100</c:v>
                </c:pt>
                <c:pt idx="29">
                  <c:v>100</c:v>
                </c:pt>
              </c:numCache>
            </c:numRef>
          </c:val>
          <c:smooth val="0"/>
          <c:extLst>
            <c:ext xmlns:c16="http://schemas.microsoft.com/office/drawing/2014/chart" uri="{C3380CC4-5D6E-409C-BE32-E72D297353CC}">
              <c16:uniqueId val="{00000000-B736-4F60-B579-AEEDEF154416}"/>
            </c:ext>
          </c:extLst>
        </c:ser>
        <c:dLbls>
          <c:showLegendKey val="0"/>
          <c:showVal val="0"/>
          <c:showCatName val="0"/>
          <c:showSerName val="0"/>
          <c:showPercent val="0"/>
          <c:showBubbleSize val="0"/>
        </c:dLbls>
        <c:marker val="1"/>
        <c:smooth val="0"/>
        <c:axId val="555808568"/>
        <c:axId val="555805432"/>
      </c:lineChart>
      <c:catAx>
        <c:axId val="5558085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555805432"/>
        <c:crosses val="autoZero"/>
        <c:auto val="1"/>
        <c:lblAlgn val="ctr"/>
        <c:lblOffset val="100"/>
        <c:tickLblSkip val="1"/>
        <c:tickMarkSkip val="1"/>
        <c:noMultiLvlLbl val="0"/>
      </c:catAx>
      <c:valAx>
        <c:axId val="555805432"/>
        <c:scaling>
          <c:orientation val="minMax"/>
          <c:max val="120"/>
          <c:min val="0"/>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555808568"/>
        <c:crosses val="autoZero"/>
        <c:crossBetween val="between"/>
      </c:valAx>
      <c:spPr>
        <a:solidFill>
          <a:srgbClr val="C0C0C0"/>
        </a:solidFill>
        <a:ln w="12700">
          <a:solidFill>
            <a:srgbClr val="808080"/>
          </a:solidFill>
          <a:prstDash val="solid"/>
        </a:ln>
      </c:spPr>
    </c:plotArea>
    <c:legend>
      <c:legendPos val="t"/>
      <c:legendEntry>
        <c:idx val="0"/>
        <c:txPr>
          <a:bodyPr/>
          <a:lstStyle/>
          <a:p>
            <a:pPr>
              <a:defRPr sz="1000" b="0" i="0" u="none" strike="noStrike" baseline="0">
                <a:solidFill>
                  <a:srgbClr val="000000"/>
                </a:solidFill>
                <a:latin typeface="Arial"/>
                <a:ea typeface="Arial"/>
                <a:cs typeface="Arial"/>
              </a:defRPr>
            </a:pPr>
            <a:endParaRPr lang="en-US"/>
          </a:p>
        </c:txPr>
      </c:legendEntry>
      <c:layout>
        <c:manualLayout>
          <c:xMode val="edge"/>
          <c:yMode val="edge"/>
          <c:x val="0.35239581184863888"/>
          <c:y val="2.2988561614983312E-2"/>
          <c:w val="0.36939737694579688"/>
          <c:h val="6.3218625449596583E-2"/>
        </c:manualLayout>
      </c:layout>
      <c:overlay val="0"/>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506307729175227E-2"/>
          <c:y val="0.15186267665243094"/>
          <c:w val="0.88889022848281463"/>
          <c:h val="0.72206404747956165"/>
        </c:manualLayout>
      </c:layout>
      <c:lineChart>
        <c:grouping val="standard"/>
        <c:varyColors val="0"/>
        <c:ser>
          <c:idx val="0"/>
          <c:order val="0"/>
          <c:tx>
            <c:v>Generation in MU's</c:v>
          </c:tx>
          <c:spPr>
            <a:ln w="12700">
              <a:solidFill>
                <a:srgbClr val="000080"/>
              </a:solidFill>
              <a:prstDash val="solid"/>
            </a:ln>
          </c:spPr>
          <c:marker>
            <c:symbol val="diamond"/>
            <c:size val="5"/>
            <c:spPr>
              <a:solidFill>
                <a:srgbClr val="000080"/>
              </a:solidFill>
              <a:ln>
                <a:solidFill>
                  <a:srgbClr val="000080"/>
                </a:solidFill>
                <a:prstDash val="solid"/>
              </a:ln>
            </c:spPr>
          </c:marker>
          <c:val>
            <c:numRef>
              <c:f>UNITS!$C$61:$AF$61</c:f>
              <c:numCache>
                <c:formatCode>0.000</c:formatCode>
                <c:ptCount val="30"/>
                <c:pt idx="0">
                  <c:v>0.65500000000000003</c:v>
                </c:pt>
                <c:pt idx="1">
                  <c:v>0.65600000000000003</c:v>
                </c:pt>
                <c:pt idx="2">
                  <c:v>0.67400000000000004</c:v>
                </c:pt>
                <c:pt idx="3">
                  <c:v>0.68700000000000006</c:v>
                </c:pt>
                <c:pt idx="4">
                  <c:v>0.67800000000000005</c:v>
                </c:pt>
                <c:pt idx="5">
                  <c:v>0.67</c:v>
                </c:pt>
                <c:pt idx="6">
                  <c:v>0.65400000000000003</c:v>
                </c:pt>
                <c:pt idx="7">
                  <c:v>0.65</c:v>
                </c:pt>
                <c:pt idx="8">
                  <c:v>0.65900000000000003</c:v>
                </c:pt>
                <c:pt idx="9">
                  <c:v>0.67200000000000004</c:v>
                </c:pt>
                <c:pt idx="10">
                  <c:v>0.67400000000000004</c:v>
                </c:pt>
                <c:pt idx="11">
                  <c:v>0.66700000000000004</c:v>
                </c:pt>
                <c:pt idx="12">
                  <c:v>0.67</c:v>
                </c:pt>
                <c:pt idx="13">
                  <c:v>0.65700000000000003</c:v>
                </c:pt>
                <c:pt idx="14">
                  <c:v>0.65600000000000003</c:v>
                </c:pt>
                <c:pt idx="15">
                  <c:v>0.65700000000000003</c:v>
                </c:pt>
                <c:pt idx="16">
                  <c:v>0.65700000000000003</c:v>
                </c:pt>
                <c:pt idx="17">
                  <c:v>0.65600000000000003</c:v>
                </c:pt>
                <c:pt idx="18">
                  <c:v>0.65700000000000003</c:v>
                </c:pt>
                <c:pt idx="19">
                  <c:v>0.65500000000000003</c:v>
                </c:pt>
                <c:pt idx="20">
                  <c:v>0.65600000000000003</c:v>
                </c:pt>
                <c:pt idx="21">
                  <c:v>0.67800000000000005</c:v>
                </c:pt>
                <c:pt idx="22">
                  <c:v>0.68700000000000006</c:v>
                </c:pt>
                <c:pt idx="23">
                  <c:v>0.68700000000000006</c:v>
                </c:pt>
                <c:pt idx="24">
                  <c:v>0.69099999999999995</c:v>
                </c:pt>
                <c:pt idx="25">
                  <c:v>0.68</c:v>
                </c:pt>
                <c:pt idx="26">
                  <c:v>0.67800000000000005</c:v>
                </c:pt>
                <c:pt idx="27">
                  <c:v>0.67800000000000005</c:v>
                </c:pt>
                <c:pt idx="28">
                  <c:v>0.68400000000000005</c:v>
                </c:pt>
                <c:pt idx="29">
                  <c:v>0.70099999999999996</c:v>
                </c:pt>
              </c:numCache>
            </c:numRef>
          </c:val>
          <c:smooth val="0"/>
          <c:extLst>
            <c:ext xmlns:c16="http://schemas.microsoft.com/office/drawing/2014/chart" uri="{C3380CC4-5D6E-409C-BE32-E72D297353CC}">
              <c16:uniqueId val="{00000000-4C0E-4650-AA04-99914421D78D}"/>
            </c:ext>
          </c:extLst>
        </c:ser>
        <c:dLbls>
          <c:showLegendKey val="0"/>
          <c:showVal val="0"/>
          <c:showCatName val="0"/>
          <c:showSerName val="0"/>
          <c:showPercent val="0"/>
          <c:showBubbleSize val="0"/>
        </c:dLbls>
        <c:marker val="1"/>
        <c:smooth val="0"/>
        <c:axId val="555809744"/>
        <c:axId val="555808176"/>
      </c:lineChart>
      <c:catAx>
        <c:axId val="555809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555808176"/>
        <c:crosses val="autoZero"/>
        <c:auto val="1"/>
        <c:lblAlgn val="ctr"/>
        <c:lblOffset val="100"/>
        <c:tickLblSkip val="1"/>
        <c:tickMarkSkip val="1"/>
        <c:noMultiLvlLbl val="0"/>
      </c:catAx>
      <c:valAx>
        <c:axId val="555808176"/>
        <c:scaling>
          <c:orientation val="minMax"/>
          <c:max val="1.5"/>
          <c:min val="0"/>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555809744"/>
        <c:crosses val="autoZero"/>
        <c:crossBetween val="between"/>
        <c:majorUnit val="0.5"/>
      </c:valAx>
      <c:spPr>
        <a:solidFill>
          <a:srgbClr val="C0C0C0"/>
        </a:solidFill>
        <a:ln w="12700">
          <a:solidFill>
            <a:srgbClr val="808080"/>
          </a:solidFill>
          <a:prstDash val="solid"/>
        </a:ln>
      </c:spPr>
    </c:plotArea>
    <c:legend>
      <c:legendPos val="r"/>
      <c:legendEntry>
        <c:idx val="0"/>
        <c:txPr>
          <a:bodyPr/>
          <a:lstStyle/>
          <a:p>
            <a:pPr>
              <a:defRPr sz="1000" b="0" i="0" u="none" strike="noStrike" baseline="0">
                <a:solidFill>
                  <a:srgbClr val="000000"/>
                </a:solidFill>
                <a:latin typeface="Arial"/>
                <a:ea typeface="Arial"/>
                <a:cs typeface="Arial"/>
              </a:defRPr>
            </a:pPr>
            <a:endParaRPr lang="en-US"/>
          </a:p>
        </c:txPr>
      </c:legendEntry>
      <c:layout>
        <c:manualLayout>
          <c:xMode val="edge"/>
          <c:yMode val="edge"/>
          <c:x val="0.42129694436343601"/>
          <c:y val="2.2922834645669292E-2"/>
          <c:w val="0.36886118401869838"/>
          <c:h val="8.8216872890888767E-2"/>
        </c:manualLayout>
      </c:layout>
      <c:overlay val="0"/>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922068083318043E-2"/>
          <c:y val="0.15472801017418344"/>
          <c:w val="0.88857999147207378"/>
          <c:h val="0.71633338043598349"/>
        </c:manualLayout>
      </c:layout>
      <c:lineChart>
        <c:grouping val="standard"/>
        <c:varyColors val="0"/>
        <c:ser>
          <c:idx val="0"/>
          <c:order val="0"/>
          <c:tx>
            <c:v>PLF-For the Date</c:v>
          </c:tx>
          <c:spPr>
            <a:ln w="12700">
              <a:solidFill>
                <a:srgbClr val="000080"/>
              </a:solidFill>
              <a:prstDash val="solid"/>
            </a:ln>
          </c:spPr>
          <c:marker>
            <c:symbol val="diamond"/>
            <c:size val="5"/>
            <c:spPr>
              <a:solidFill>
                <a:srgbClr val="000080"/>
              </a:solidFill>
              <a:ln>
                <a:solidFill>
                  <a:srgbClr val="000080"/>
                </a:solidFill>
                <a:prstDash val="solid"/>
              </a:ln>
            </c:spPr>
          </c:marker>
          <c:val>
            <c:numRef>
              <c:f>UNITS!$C$68:$AF$68</c:f>
              <c:numCache>
                <c:formatCode>0.00</c:formatCode>
                <c:ptCount val="30"/>
                <c:pt idx="0">
                  <c:v>97.883294052206637</c:v>
                </c:pt>
                <c:pt idx="1">
                  <c:v>97.936527677530393</c:v>
                </c:pt>
                <c:pt idx="2">
                  <c:v>100.49262751581628</c:v>
                </c:pt>
                <c:pt idx="3">
                  <c:v>102.42266512737922</c:v>
                </c:pt>
                <c:pt idx="4">
                  <c:v>101.40021744431468</c:v>
                </c:pt>
                <c:pt idx="5">
                  <c:v>99.824425291182862</c:v>
                </c:pt>
                <c:pt idx="6">
                  <c:v>97.605150075297303</c:v>
                </c:pt>
                <c:pt idx="7">
                  <c:v>97.043862280054128</c:v>
                </c:pt>
                <c:pt idx="8">
                  <c:v>98.45043459267292</c:v>
                </c:pt>
                <c:pt idx="9">
                  <c:v>100.19928315412186</c:v>
                </c:pt>
                <c:pt idx="10">
                  <c:v>100.56151513829631</c:v>
                </c:pt>
                <c:pt idx="11">
                  <c:v>99.644600122859373</c:v>
                </c:pt>
                <c:pt idx="12">
                  <c:v>100.17233227926587</c:v>
                </c:pt>
                <c:pt idx="13">
                  <c:v>97.912165178571442</c:v>
                </c:pt>
                <c:pt idx="14">
                  <c:v>97.909514701060246</c:v>
                </c:pt>
                <c:pt idx="15">
                  <c:v>97.934188508610447</c:v>
                </c:pt>
                <c:pt idx="16">
                  <c:v>97.910627508025684</c:v>
                </c:pt>
                <c:pt idx="17">
                  <c:v>97.888448371576615</c:v>
                </c:pt>
                <c:pt idx="18">
                  <c:v>98.03717762212645</c:v>
                </c:pt>
                <c:pt idx="19">
                  <c:v>97.816853809431038</c:v>
                </c:pt>
                <c:pt idx="20">
                  <c:v>97.834359517265881</c:v>
                </c:pt>
                <c:pt idx="21">
                  <c:v>101.28689773326306</c:v>
                </c:pt>
                <c:pt idx="22">
                  <c:v>102.48911662225866</c:v>
                </c:pt>
                <c:pt idx="23">
                  <c:v>102.40926221057808</c:v>
                </c:pt>
                <c:pt idx="24">
                  <c:v>103.29506799724822</c:v>
                </c:pt>
                <c:pt idx="25">
                  <c:v>101.57738095238095</c:v>
                </c:pt>
                <c:pt idx="26">
                  <c:v>101.64881742573397</c:v>
                </c:pt>
                <c:pt idx="27">
                  <c:v>101.16567142857143</c:v>
                </c:pt>
                <c:pt idx="28">
                  <c:v>102.08639779020379</c:v>
                </c:pt>
                <c:pt idx="29">
                  <c:v>104.78953814510095</c:v>
                </c:pt>
              </c:numCache>
            </c:numRef>
          </c:val>
          <c:smooth val="0"/>
          <c:extLst>
            <c:ext xmlns:c16="http://schemas.microsoft.com/office/drawing/2014/chart" uri="{C3380CC4-5D6E-409C-BE32-E72D297353CC}">
              <c16:uniqueId val="{00000000-3C29-45F0-B65A-02F06DDC4E1E}"/>
            </c:ext>
          </c:extLst>
        </c:ser>
        <c:ser>
          <c:idx val="1"/>
          <c:order val="1"/>
          <c:tx>
            <c:v>PLF-For the Month</c:v>
          </c:tx>
          <c:spPr>
            <a:ln w="12700">
              <a:solidFill>
                <a:srgbClr val="FF00FF"/>
              </a:solidFill>
              <a:prstDash val="solid"/>
            </a:ln>
          </c:spPr>
          <c:marker>
            <c:symbol val="square"/>
            <c:size val="5"/>
            <c:spPr>
              <a:solidFill>
                <a:srgbClr val="FF00FF"/>
              </a:solidFill>
              <a:ln>
                <a:solidFill>
                  <a:srgbClr val="FF00FF"/>
                </a:solidFill>
                <a:prstDash val="solid"/>
              </a:ln>
            </c:spPr>
          </c:marker>
          <c:val>
            <c:numRef>
              <c:f>UNITS!$C$69:$AF$69</c:f>
              <c:numCache>
                <c:formatCode>0.00</c:formatCode>
                <c:ptCount val="30"/>
                <c:pt idx="0">
                  <c:v>97.883294052206622</c:v>
                </c:pt>
                <c:pt idx="1">
                  <c:v>97.909910864868507</c:v>
                </c:pt>
                <c:pt idx="2">
                  <c:v>98.770816415184427</c:v>
                </c:pt>
                <c:pt idx="3">
                  <c:v>99.683778593233114</c:v>
                </c:pt>
                <c:pt idx="4">
                  <c:v>100.02706636344944</c:v>
                </c:pt>
                <c:pt idx="5">
                  <c:v>99.993292851405016</c:v>
                </c:pt>
                <c:pt idx="6">
                  <c:v>99.652129597675327</c:v>
                </c:pt>
                <c:pt idx="7">
                  <c:v>99.326096182972677</c:v>
                </c:pt>
                <c:pt idx="8">
                  <c:v>99.228800450717159</c:v>
                </c:pt>
                <c:pt idx="9">
                  <c:v>99.325848721057611</c:v>
                </c:pt>
                <c:pt idx="10">
                  <c:v>99.438182031715684</c:v>
                </c:pt>
                <c:pt idx="11">
                  <c:v>99.455383539310986</c:v>
                </c:pt>
                <c:pt idx="12">
                  <c:v>99.510533442384443</c:v>
                </c:pt>
                <c:pt idx="13">
                  <c:v>99.396364280683514</c:v>
                </c:pt>
                <c:pt idx="14">
                  <c:v>99.297240975375317</c:v>
                </c:pt>
                <c:pt idx="15">
                  <c:v>99.212050196202512</c:v>
                </c:pt>
                <c:pt idx="16">
                  <c:v>99.135495920427388</c:v>
                </c:pt>
                <c:pt idx="17">
                  <c:v>99.066215501046784</c:v>
                </c:pt>
                <c:pt idx="18">
                  <c:v>99.012055612682559</c:v>
                </c:pt>
                <c:pt idx="19">
                  <c:v>98.952295522519989</c:v>
                </c:pt>
                <c:pt idx="20">
                  <c:v>98.899060474650753</c:v>
                </c:pt>
                <c:pt idx="21">
                  <c:v>99.007598531860395</c:v>
                </c:pt>
                <c:pt idx="22">
                  <c:v>99.158968883616851</c:v>
                </c:pt>
                <c:pt idx="23">
                  <c:v>99.294397772240217</c:v>
                </c:pt>
                <c:pt idx="24">
                  <c:v>99.454424581240545</c:v>
                </c:pt>
                <c:pt idx="25">
                  <c:v>99.536076749361342</c:v>
                </c:pt>
                <c:pt idx="26">
                  <c:v>99.614326404041819</c:v>
                </c:pt>
                <c:pt idx="27">
                  <c:v>99.669731583489295</c:v>
                </c:pt>
                <c:pt idx="28">
                  <c:v>99.753064900962187</c:v>
                </c:pt>
                <c:pt idx="29">
                  <c:v>99.920947342433493</c:v>
                </c:pt>
              </c:numCache>
            </c:numRef>
          </c:val>
          <c:smooth val="0"/>
          <c:extLst>
            <c:ext xmlns:c16="http://schemas.microsoft.com/office/drawing/2014/chart" uri="{C3380CC4-5D6E-409C-BE32-E72D297353CC}">
              <c16:uniqueId val="{00000001-3C29-45F0-B65A-02F06DDC4E1E}"/>
            </c:ext>
          </c:extLst>
        </c:ser>
        <c:dLbls>
          <c:showLegendKey val="0"/>
          <c:showVal val="0"/>
          <c:showCatName val="0"/>
          <c:showSerName val="0"/>
          <c:showPercent val="0"/>
          <c:showBubbleSize val="0"/>
        </c:dLbls>
        <c:marker val="1"/>
        <c:smooth val="0"/>
        <c:axId val="555808960"/>
        <c:axId val="555805824"/>
      </c:lineChart>
      <c:catAx>
        <c:axId val="5558089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555805824"/>
        <c:crosses val="autoZero"/>
        <c:auto val="1"/>
        <c:lblAlgn val="ctr"/>
        <c:lblOffset val="100"/>
        <c:tickLblSkip val="1"/>
        <c:tickMarkSkip val="1"/>
        <c:noMultiLvlLbl val="0"/>
      </c:catAx>
      <c:valAx>
        <c:axId val="555805824"/>
        <c:scaling>
          <c:orientation val="minMax"/>
          <c:max val="115"/>
          <c:min val="0"/>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555808960"/>
        <c:crosses val="autoZero"/>
        <c:crossBetween val="between"/>
      </c:valAx>
      <c:spPr>
        <a:solidFill>
          <a:srgbClr val="C0C0C0"/>
        </a:solidFill>
        <a:ln w="12700">
          <a:solidFill>
            <a:srgbClr val="808080"/>
          </a:solidFill>
          <a:prstDash val="solid"/>
        </a:ln>
      </c:spPr>
    </c:plotArea>
    <c:legend>
      <c:legendPos val="r"/>
      <c:legendEntry>
        <c:idx val="0"/>
        <c:txPr>
          <a:bodyPr/>
          <a:lstStyle/>
          <a:p>
            <a:pPr>
              <a:defRPr sz="1000" b="0" i="0" u="none" strike="noStrike" baseline="0">
                <a:solidFill>
                  <a:srgbClr val="000000"/>
                </a:solidFill>
                <a:latin typeface="Arial"/>
                <a:ea typeface="Arial"/>
                <a:cs typeface="Arial"/>
              </a:defRPr>
            </a:pPr>
            <a:endParaRPr lang="en-US"/>
          </a:p>
        </c:txPr>
      </c:legendEntry>
      <c:legendEntry>
        <c:idx val="1"/>
        <c:txPr>
          <a:bodyPr/>
          <a:lstStyle/>
          <a:p>
            <a:pPr>
              <a:defRPr sz="1000" b="0" i="0" u="none" strike="noStrike" baseline="0">
                <a:solidFill>
                  <a:srgbClr val="000000"/>
                </a:solidFill>
                <a:latin typeface="Arial"/>
                <a:ea typeface="Arial"/>
                <a:cs typeface="Arial"/>
              </a:defRPr>
            </a:pPr>
            <a:endParaRPr lang="en-US"/>
          </a:p>
        </c:txPr>
      </c:legendEntry>
      <c:layout>
        <c:manualLayout>
          <c:xMode val="edge"/>
          <c:yMode val="edge"/>
          <c:x val="0.27799235048962584"/>
          <c:y val="2.2922738106012603E-2"/>
          <c:w val="0.45738438993735558"/>
          <c:h val="9.9926388511804382E-2"/>
        </c:manualLayout>
      </c:layout>
      <c:overlay val="0"/>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204089454420021"/>
          <c:y val="0.15362362325527415"/>
          <c:w val="0.87598183316464118"/>
          <c:h val="0.71884261447762265"/>
        </c:manualLayout>
      </c:layout>
      <c:lineChart>
        <c:grouping val="standard"/>
        <c:varyColors val="0"/>
        <c:ser>
          <c:idx val="0"/>
          <c:order val="0"/>
          <c:tx>
            <c:v>Availability for the date %</c:v>
          </c:tx>
          <c:spPr>
            <a:ln w="12700">
              <a:solidFill>
                <a:srgbClr val="000080"/>
              </a:solidFill>
              <a:prstDash val="solid"/>
            </a:ln>
          </c:spPr>
          <c:marker>
            <c:symbol val="diamond"/>
            <c:size val="5"/>
            <c:spPr>
              <a:solidFill>
                <a:srgbClr val="000080"/>
              </a:solidFill>
              <a:ln>
                <a:solidFill>
                  <a:srgbClr val="000080"/>
                </a:solidFill>
                <a:prstDash val="solid"/>
              </a:ln>
            </c:spPr>
          </c:marker>
          <c:val>
            <c:numRef>
              <c:f>UNITS!$C$79:$AF$79</c:f>
              <c:numCache>
                <c:formatCode>0.00</c:formatCode>
                <c:ptCount val="3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numCache>
            </c:numRef>
          </c:val>
          <c:smooth val="0"/>
          <c:extLst>
            <c:ext xmlns:c16="http://schemas.microsoft.com/office/drawing/2014/chart" uri="{C3380CC4-5D6E-409C-BE32-E72D297353CC}">
              <c16:uniqueId val="{00000000-EF04-4C93-AD96-402DA46B3E1E}"/>
            </c:ext>
          </c:extLst>
        </c:ser>
        <c:dLbls>
          <c:showLegendKey val="0"/>
          <c:showVal val="0"/>
          <c:showCatName val="0"/>
          <c:showSerName val="0"/>
          <c:showPercent val="0"/>
          <c:showBubbleSize val="0"/>
        </c:dLbls>
        <c:marker val="1"/>
        <c:smooth val="0"/>
        <c:axId val="555802296"/>
        <c:axId val="555806608"/>
      </c:lineChart>
      <c:catAx>
        <c:axId val="5558022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555806608"/>
        <c:crosses val="autoZero"/>
        <c:auto val="1"/>
        <c:lblAlgn val="ctr"/>
        <c:lblOffset val="100"/>
        <c:tickLblSkip val="1"/>
        <c:tickMarkSkip val="1"/>
        <c:noMultiLvlLbl val="0"/>
      </c:catAx>
      <c:valAx>
        <c:axId val="555806608"/>
        <c:scaling>
          <c:orientation val="minMax"/>
          <c:max val="120"/>
          <c:min val="0"/>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555802296"/>
        <c:crosses val="autoZero"/>
        <c:crossBetween val="between"/>
      </c:valAx>
      <c:spPr>
        <a:solidFill>
          <a:srgbClr val="C0C0C0"/>
        </a:solidFill>
        <a:ln w="12700">
          <a:solidFill>
            <a:srgbClr val="808080"/>
          </a:solidFill>
          <a:prstDash val="solid"/>
        </a:ln>
      </c:spPr>
    </c:plotArea>
    <c:legend>
      <c:legendPos val="r"/>
      <c:legendEntry>
        <c:idx val="0"/>
        <c:txPr>
          <a:bodyPr/>
          <a:lstStyle/>
          <a:p>
            <a:pPr>
              <a:defRPr sz="1050" b="0" i="0" u="none" strike="noStrike" baseline="0">
                <a:solidFill>
                  <a:srgbClr val="000000"/>
                </a:solidFill>
                <a:latin typeface="Arial"/>
                <a:ea typeface="Arial"/>
                <a:cs typeface="Arial"/>
              </a:defRPr>
            </a:pPr>
            <a:endParaRPr lang="en-US"/>
          </a:p>
        </c:txPr>
      </c:legendEntry>
      <c:layout>
        <c:manualLayout>
          <c:xMode val="edge"/>
          <c:yMode val="edge"/>
          <c:x val="0.39502760430813266"/>
          <c:y val="3.0987561337441467E-2"/>
          <c:w val="0.27429467084639575"/>
          <c:h val="6.9364068621857095E-2"/>
        </c:manualLayout>
      </c:layout>
      <c:overlay val="0"/>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40" b="0" i="0" u="none" strike="noStrike" baseline="0">
                <a:solidFill>
                  <a:srgbClr val="000000"/>
                </a:solidFill>
                <a:latin typeface="Arial"/>
                <a:ea typeface="Arial"/>
                <a:cs typeface="Arial"/>
              </a:defRPr>
            </a:pPr>
            <a:r>
              <a:rPr lang="en-US"/>
              <a:t>Past Monthly Trends</a:t>
            </a:r>
          </a:p>
        </c:rich>
      </c:tx>
      <c:layout>
        <c:manualLayout>
          <c:xMode val="edge"/>
          <c:yMode val="edge"/>
          <c:x val="0.34070895632428388"/>
          <c:y val="4.273482208166602E-2"/>
        </c:manualLayout>
      </c:layout>
      <c:overlay val="0"/>
      <c:spPr>
        <a:noFill/>
        <a:ln w="25400">
          <a:noFill/>
        </a:ln>
      </c:spPr>
    </c:title>
    <c:autoTitleDeleted val="0"/>
    <c:plotArea>
      <c:layout>
        <c:manualLayout>
          <c:layoutTarget val="inner"/>
          <c:xMode val="edge"/>
          <c:yMode val="edge"/>
          <c:x val="0.12500036330555717"/>
          <c:y val="0.20000076593430582"/>
          <c:w val="0.78869276847554082"/>
          <c:h val="0.59608071415714659"/>
        </c:manualLayout>
      </c:layout>
      <c:barChart>
        <c:barDir val="col"/>
        <c:grouping val="clustered"/>
        <c:varyColors val="0"/>
        <c:ser>
          <c:idx val="0"/>
          <c:order val="0"/>
          <c:spPr>
            <a:solidFill>
              <a:srgbClr val="CC6600"/>
            </a:solidFill>
            <a:ln w="12700">
              <a:noFill/>
              <a:prstDash val="solid"/>
            </a:ln>
          </c:spPr>
          <c:invertIfNegative val="0"/>
          <c:dLbls>
            <c:spPr>
              <a:noFill/>
              <a:ln w="25400">
                <a:noFill/>
              </a:ln>
            </c:spPr>
            <c:txPr>
              <a:bodyPr/>
              <a:lstStyle/>
              <a:p>
                <a:pPr>
                  <a:defRPr sz="800" b="0"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 tracker'!$C$31:$E$31</c:f>
              <c:strCache>
                <c:ptCount val="3"/>
                <c:pt idx="0">
                  <c:v>Jan'24</c:v>
                </c:pt>
                <c:pt idx="1">
                  <c:v>Feb'24</c:v>
                </c:pt>
                <c:pt idx="2">
                  <c:v>March'24</c:v>
                </c:pt>
              </c:strCache>
            </c:strRef>
          </c:cat>
          <c:val>
            <c:numRef>
              <c:f>'KPI tracker'!$C$32:$E$32</c:f>
              <c:numCache>
                <c:formatCode>0</c:formatCode>
                <c:ptCount val="3"/>
                <c:pt idx="0">
                  <c:v>94</c:v>
                </c:pt>
                <c:pt idx="1">
                  <c:v>94</c:v>
                </c:pt>
                <c:pt idx="2">
                  <c:v>94</c:v>
                </c:pt>
              </c:numCache>
            </c:numRef>
          </c:val>
          <c:extLst>
            <c:ext xmlns:c16="http://schemas.microsoft.com/office/drawing/2014/chart" uri="{C3380CC4-5D6E-409C-BE32-E72D297353CC}">
              <c16:uniqueId val="{00000000-97AE-4D8A-9BD7-6F49F969BBB9}"/>
            </c:ext>
          </c:extLst>
        </c:ser>
        <c:ser>
          <c:idx val="1"/>
          <c:order val="1"/>
          <c:spPr>
            <a:solidFill>
              <a:srgbClr val="00B0F0"/>
            </a:solidFill>
            <a:ln w="12700">
              <a:noFill/>
              <a:prstDash val="solid"/>
            </a:ln>
          </c:spPr>
          <c:invertIfNegative val="0"/>
          <c:dLbls>
            <c:dLbl>
              <c:idx val="0"/>
              <c:layout>
                <c:manualLayout>
                  <c:x val="-4.5557688218374722E-3"/>
                  <c:y val="-2.330708661417329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7AE-4D8A-9BD7-6F49F969BBB9}"/>
                </c:ext>
              </c:extLst>
            </c:dLbl>
            <c:dLbl>
              <c:idx val="1"/>
              <c:layout>
                <c:manualLayout>
                  <c:x val="-2.6734451768866611E-3"/>
                  <c:y val="-8.489115331171850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7AE-4D8A-9BD7-6F49F969BBB9}"/>
                </c:ext>
              </c:extLst>
            </c:dLbl>
            <c:dLbl>
              <c:idx val="2"/>
              <c:layout>
                <c:manualLayout>
                  <c:x val="2.9343544000626811E-4"/>
                  <c:y val="-8.8024291081305567E-4"/>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7AE-4D8A-9BD7-6F49F969BBB9}"/>
                </c:ext>
              </c:extLst>
            </c:dLbl>
            <c:spPr>
              <a:noFill/>
              <a:ln w="25400">
                <a:noFill/>
              </a:ln>
            </c:spPr>
            <c:txPr>
              <a:bodyPr/>
              <a:lstStyle/>
              <a:p>
                <a:pPr>
                  <a:defRPr sz="800" b="1" i="0" u="none" strike="noStrike" baseline="0">
                    <a:solidFill>
                      <a:srgbClr val="0066CC"/>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 tracker'!$C$31:$E$31</c:f>
              <c:strCache>
                <c:ptCount val="3"/>
                <c:pt idx="0">
                  <c:v>Jan'24</c:v>
                </c:pt>
                <c:pt idx="1">
                  <c:v>Feb'24</c:v>
                </c:pt>
                <c:pt idx="2">
                  <c:v>March'24</c:v>
                </c:pt>
              </c:strCache>
            </c:strRef>
          </c:cat>
          <c:val>
            <c:numRef>
              <c:f>'KPI tracker'!$C$33:$E$33</c:f>
              <c:numCache>
                <c:formatCode>0</c:formatCode>
                <c:ptCount val="3"/>
                <c:pt idx="0">
                  <c:v>89.66</c:v>
                </c:pt>
                <c:pt idx="1">
                  <c:v>85.427467357910913</c:v>
                </c:pt>
                <c:pt idx="2">
                  <c:v>88.17</c:v>
                </c:pt>
              </c:numCache>
            </c:numRef>
          </c:val>
          <c:extLst>
            <c:ext xmlns:c16="http://schemas.microsoft.com/office/drawing/2014/chart" uri="{C3380CC4-5D6E-409C-BE32-E72D297353CC}">
              <c16:uniqueId val="{00000004-97AE-4D8A-9BD7-6F49F969BBB9}"/>
            </c:ext>
          </c:extLst>
        </c:ser>
        <c:dLbls>
          <c:showLegendKey val="0"/>
          <c:showVal val="1"/>
          <c:showCatName val="0"/>
          <c:showSerName val="0"/>
          <c:showPercent val="0"/>
          <c:showBubbleSize val="0"/>
        </c:dLbls>
        <c:gapWidth val="150"/>
        <c:axId val="555807392"/>
        <c:axId val="555807784"/>
      </c:barChart>
      <c:catAx>
        <c:axId val="555807392"/>
        <c:scaling>
          <c:orientation val="minMax"/>
        </c:scaling>
        <c:delete val="0"/>
        <c:axPos val="b"/>
        <c:numFmt formatCode="[$-409]mmm\-yy;@"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555807784"/>
        <c:crosses val="autoZero"/>
        <c:auto val="1"/>
        <c:lblAlgn val="ctr"/>
        <c:lblOffset val="100"/>
        <c:noMultiLvlLbl val="0"/>
      </c:catAx>
      <c:valAx>
        <c:axId val="555807784"/>
        <c:scaling>
          <c:orientation val="minMax"/>
        </c:scaling>
        <c:delete val="0"/>
        <c:axPos val="l"/>
        <c:numFmt formatCode="0" sourceLinked="1"/>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555807392"/>
        <c:crosses val="autoZero"/>
        <c:crossBetween val="between"/>
      </c:valAx>
      <c:spPr>
        <a:solidFill>
          <a:sysClr val="window" lastClr="FFFFFF"/>
        </a:solidFill>
        <a:ln w="12700">
          <a:solidFill>
            <a:srgbClr val="808080"/>
          </a:solidFill>
          <a:prstDash val="solid"/>
        </a:ln>
      </c:spPr>
    </c:plotArea>
    <c:plotVisOnly val="1"/>
    <c:dispBlanksAs val="gap"/>
    <c:showDLblsOverMax val="0"/>
  </c:chart>
  <c:spPr>
    <a:solidFill>
      <a:schemeClr val="accent5">
        <a:lumMod val="20000"/>
        <a:lumOff val="80000"/>
      </a:schemeClr>
    </a:solidFill>
    <a:ln w="3175">
      <a:solidFill>
        <a:srgbClr val="000000"/>
      </a:solidFill>
      <a:prstDash val="solid"/>
    </a:ln>
  </c:spPr>
  <c:txPr>
    <a:bodyPr/>
    <a:lstStyle/>
    <a:p>
      <a:pPr>
        <a:defRPr sz="7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5728592468264956E-2"/>
          <c:y val="2.5945277388281049E-2"/>
          <c:w val="0.93187320004661167"/>
          <c:h val="0.89779739016721849"/>
        </c:manualLayout>
      </c:layout>
      <c:lineChart>
        <c:grouping val="standard"/>
        <c:varyColors val="0"/>
        <c:ser>
          <c:idx val="1"/>
          <c:order val="0"/>
          <c:tx>
            <c:strRef>
              <c:f>'KPI tracker'!$F$37</c:f>
              <c:strCache>
                <c:ptCount val="1"/>
                <c:pt idx="0">
                  <c:v>Target</c:v>
                </c:pt>
              </c:strCache>
            </c:strRef>
          </c:tx>
          <c:val>
            <c:numRef>
              <c:f>'KPI tracker'!$G$37:$AK$37</c:f>
              <c:numCache>
                <c:formatCode>0.00</c:formatCode>
                <c:ptCount val="31"/>
                <c:pt idx="0">
                  <c:v>97.927000000000007</c:v>
                </c:pt>
                <c:pt idx="1">
                  <c:v>97.927000000000007</c:v>
                </c:pt>
                <c:pt idx="2">
                  <c:v>97.927000000000007</c:v>
                </c:pt>
                <c:pt idx="3">
                  <c:v>97.927000000000007</c:v>
                </c:pt>
                <c:pt idx="4">
                  <c:v>97.927000000000007</c:v>
                </c:pt>
                <c:pt idx="5">
                  <c:v>97.927000000000007</c:v>
                </c:pt>
                <c:pt idx="6">
                  <c:v>97.927000000000007</c:v>
                </c:pt>
                <c:pt idx="7">
                  <c:v>97.927000000000007</c:v>
                </c:pt>
                <c:pt idx="8">
                  <c:v>97.927000000000007</c:v>
                </c:pt>
                <c:pt idx="9">
                  <c:v>97.927000000000007</c:v>
                </c:pt>
                <c:pt idx="10">
                  <c:v>97.927000000000007</c:v>
                </c:pt>
                <c:pt idx="11">
                  <c:v>97.927000000000007</c:v>
                </c:pt>
                <c:pt idx="12">
                  <c:v>97.927000000000007</c:v>
                </c:pt>
                <c:pt idx="13">
                  <c:v>97.927000000000007</c:v>
                </c:pt>
                <c:pt idx="14">
                  <c:v>97.927000000000007</c:v>
                </c:pt>
                <c:pt idx="15">
                  <c:v>97.927000000000007</c:v>
                </c:pt>
                <c:pt idx="16">
                  <c:v>97.927000000000007</c:v>
                </c:pt>
                <c:pt idx="17">
                  <c:v>97.927000000000007</c:v>
                </c:pt>
                <c:pt idx="18">
                  <c:v>97.927000000000007</c:v>
                </c:pt>
                <c:pt idx="19">
                  <c:v>97.927000000000007</c:v>
                </c:pt>
                <c:pt idx="20">
                  <c:v>97.927000000000007</c:v>
                </c:pt>
                <c:pt idx="21">
                  <c:v>97.927000000000007</c:v>
                </c:pt>
                <c:pt idx="22">
                  <c:v>97.927000000000007</c:v>
                </c:pt>
                <c:pt idx="23">
                  <c:v>97.927000000000007</c:v>
                </c:pt>
                <c:pt idx="24">
                  <c:v>97.927000000000007</c:v>
                </c:pt>
                <c:pt idx="25">
                  <c:v>97.927000000000007</c:v>
                </c:pt>
                <c:pt idx="26">
                  <c:v>97.927000000000007</c:v>
                </c:pt>
                <c:pt idx="27">
                  <c:v>97.927000000000007</c:v>
                </c:pt>
                <c:pt idx="28">
                  <c:v>97.927000000000007</c:v>
                </c:pt>
                <c:pt idx="29">
                  <c:v>97.927000000000007</c:v>
                </c:pt>
                <c:pt idx="30">
                  <c:v>97.927000000000007</c:v>
                </c:pt>
              </c:numCache>
            </c:numRef>
          </c:val>
          <c:smooth val="0"/>
          <c:extLst>
            <c:ext xmlns:c16="http://schemas.microsoft.com/office/drawing/2014/chart" uri="{C3380CC4-5D6E-409C-BE32-E72D297353CC}">
              <c16:uniqueId val="{00000000-6AFF-44A6-96B0-77BFA4E4622A}"/>
            </c:ext>
          </c:extLst>
        </c:ser>
        <c:ser>
          <c:idx val="2"/>
          <c:order val="1"/>
          <c:tx>
            <c:strRef>
              <c:f>'KPI tracker'!$F$38</c:f>
              <c:strCache>
                <c:ptCount val="1"/>
                <c:pt idx="0">
                  <c:v>Actual</c:v>
                </c:pt>
              </c:strCache>
            </c:strRef>
          </c:tx>
          <c:val>
            <c:numRef>
              <c:f>'KPI tracker'!$G$38:$AK$38</c:f>
              <c:numCache>
                <c:formatCode>0.00</c:formatCode>
                <c:ptCount val="31"/>
                <c:pt idx="0">
                  <c:v>96.949293154761918</c:v>
                </c:pt>
                <c:pt idx="1">
                  <c:v>96.033035714285731</c:v>
                </c:pt>
                <c:pt idx="2">
                  <c:v>99.038913690476207</c:v>
                </c:pt>
                <c:pt idx="3">
                  <c:v>102.38539341517858</c:v>
                </c:pt>
                <c:pt idx="4">
                  <c:v>102.33495396205355</c:v>
                </c:pt>
                <c:pt idx="5">
                  <c:v>99.898921130952374</c:v>
                </c:pt>
                <c:pt idx="6">
                  <c:v>102.64211309523812</c:v>
                </c:pt>
                <c:pt idx="7">
                  <c:v>101.11223958333332</c:v>
                </c:pt>
                <c:pt idx="8">
                  <c:v>103.30572916666667</c:v>
                </c:pt>
                <c:pt idx="9">
                  <c:v>104.0014880952381</c:v>
                </c:pt>
                <c:pt idx="10">
                  <c:v>101.1583193824405</c:v>
                </c:pt>
                <c:pt idx="11">
                  <c:v>103.23001302083331</c:v>
                </c:pt>
                <c:pt idx="12">
                  <c:v>100.47135416666667</c:v>
                </c:pt>
                <c:pt idx="13">
                  <c:v>97.912165178571428</c:v>
                </c:pt>
                <c:pt idx="14">
                  <c:v>97.536383928571425</c:v>
                </c:pt>
                <c:pt idx="15">
                  <c:v>98.306845238095249</c:v>
                </c:pt>
                <c:pt idx="16">
                  <c:v>99.475409226190479</c:v>
                </c:pt>
                <c:pt idx="17">
                  <c:v>100.79824218750001</c:v>
                </c:pt>
                <c:pt idx="18">
                  <c:v>97.365690104166688</c:v>
                </c:pt>
                <c:pt idx="19">
                  <c:v>95.80078125</c:v>
                </c:pt>
                <c:pt idx="20">
                  <c:v>94.963457961309501</c:v>
                </c:pt>
                <c:pt idx="21">
                  <c:v>101.21220238095242</c:v>
                </c:pt>
                <c:pt idx="22">
                  <c:v>103.98095238095237</c:v>
                </c:pt>
                <c:pt idx="23">
                  <c:v>105.53967633928573</c:v>
                </c:pt>
                <c:pt idx="24">
                  <c:v>106.06056547619046</c:v>
                </c:pt>
                <c:pt idx="25">
                  <c:v>94.593936011904759</c:v>
                </c:pt>
                <c:pt idx="26">
                  <c:v>92.465941220238093</c:v>
                </c:pt>
                <c:pt idx="27">
                  <c:v>93.257440476190467</c:v>
                </c:pt>
                <c:pt idx="28">
                  <c:v>99.138727678571442</c:v>
                </c:pt>
                <c:pt idx="29">
                  <c:v>107.06919642857142</c:v>
                </c:pt>
                <c:pt idx="30">
                  <c:v>0</c:v>
                </c:pt>
              </c:numCache>
            </c:numRef>
          </c:val>
          <c:smooth val="0"/>
          <c:extLst>
            <c:ext xmlns:c16="http://schemas.microsoft.com/office/drawing/2014/chart" uri="{C3380CC4-5D6E-409C-BE32-E72D297353CC}">
              <c16:uniqueId val="{00000001-6AFF-44A6-96B0-77BFA4E4622A}"/>
            </c:ext>
          </c:extLst>
        </c:ser>
        <c:ser>
          <c:idx val="3"/>
          <c:order val="2"/>
          <c:tx>
            <c:strRef>
              <c:f>'KPI tracker'!$F$39</c:f>
              <c:strCache>
                <c:ptCount val="1"/>
                <c:pt idx="0">
                  <c:v>Upper Band</c:v>
                </c:pt>
              </c:strCache>
            </c:strRef>
          </c:tx>
          <c:val>
            <c:numRef>
              <c:f>'KPI tracker'!$G$39:$AK$39</c:f>
              <c:numCache>
                <c:formatCode>General</c:formatCode>
                <c:ptCount val="31"/>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numCache>
            </c:numRef>
          </c:val>
          <c:smooth val="0"/>
          <c:extLst>
            <c:ext xmlns:c16="http://schemas.microsoft.com/office/drawing/2014/chart" uri="{C3380CC4-5D6E-409C-BE32-E72D297353CC}">
              <c16:uniqueId val="{00000002-6AFF-44A6-96B0-77BFA4E4622A}"/>
            </c:ext>
          </c:extLst>
        </c:ser>
        <c:ser>
          <c:idx val="4"/>
          <c:order val="3"/>
          <c:tx>
            <c:strRef>
              <c:f>'KPI tracker'!$F$40</c:f>
              <c:strCache>
                <c:ptCount val="1"/>
                <c:pt idx="0">
                  <c:v>Lower Band</c:v>
                </c:pt>
              </c:strCache>
            </c:strRef>
          </c:tx>
          <c:val>
            <c:numRef>
              <c:f>'KPI tracker'!$G$40:$AK$40</c:f>
              <c:numCache>
                <c:formatCode>General</c:formatCode>
                <c:ptCount val="31"/>
                <c:pt idx="0">
                  <c:v>85</c:v>
                </c:pt>
                <c:pt idx="1">
                  <c:v>85</c:v>
                </c:pt>
                <c:pt idx="2">
                  <c:v>85</c:v>
                </c:pt>
                <c:pt idx="3">
                  <c:v>85</c:v>
                </c:pt>
                <c:pt idx="4">
                  <c:v>85</c:v>
                </c:pt>
                <c:pt idx="5">
                  <c:v>85</c:v>
                </c:pt>
                <c:pt idx="6">
                  <c:v>85</c:v>
                </c:pt>
                <c:pt idx="7">
                  <c:v>85</c:v>
                </c:pt>
                <c:pt idx="8">
                  <c:v>85</c:v>
                </c:pt>
                <c:pt idx="9">
                  <c:v>85</c:v>
                </c:pt>
                <c:pt idx="10">
                  <c:v>85</c:v>
                </c:pt>
                <c:pt idx="11">
                  <c:v>85</c:v>
                </c:pt>
                <c:pt idx="12">
                  <c:v>85</c:v>
                </c:pt>
                <c:pt idx="13">
                  <c:v>85</c:v>
                </c:pt>
                <c:pt idx="14">
                  <c:v>85</c:v>
                </c:pt>
                <c:pt idx="15">
                  <c:v>85</c:v>
                </c:pt>
                <c:pt idx="16">
                  <c:v>85</c:v>
                </c:pt>
                <c:pt idx="17">
                  <c:v>85</c:v>
                </c:pt>
                <c:pt idx="18">
                  <c:v>85</c:v>
                </c:pt>
                <c:pt idx="19">
                  <c:v>85</c:v>
                </c:pt>
                <c:pt idx="20">
                  <c:v>85</c:v>
                </c:pt>
                <c:pt idx="21">
                  <c:v>85</c:v>
                </c:pt>
                <c:pt idx="22">
                  <c:v>85</c:v>
                </c:pt>
                <c:pt idx="23">
                  <c:v>85</c:v>
                </c:pt>
                <c:pt idx="24">
                  <c:v>85</c:v>
                </c:pt>
                <c:pt idx="25">
                  <c:v>85</c:v>
                </c:pt>
                <c:pt idx="26">
                  <c:v>85</c:v>
                </c:pt>
                <c:pt idx="27">
                  <c:v>85</c:v>
                </c:pt>
                <c:pt idx="28">
                  <c:v>85</c:v>
                </c:pt>
                <c:pt idx="29">
                  <c:v>85</c:v>
                </c:pt>
                <c:pt idx="30">
                  <c:v>85</c:v>
                </c:pt>
              </c:numCache>
            </c:numRef>
          </c:val>
          <c:smooth val="0"/>
          <c:extLst>
            <c:ext xmlns:c16="http://schemas.microsoft.com/office/drawing/2014/chart" uri="{C3380CC4-5D6E-409C-BE32-E72D297353CC}">
              <c16:uniqueId val="{00000003-6AFF-44A6-96B0-77BFA4E4622A}"/>
            </c:ext>
          </c:extLst>
        </c:ser>
        <c:dLbls>
          <c:showLegendKey val="0"/>
          <c:showVal val="0"/>
          <c:showCatName val="0"/>
          <c:showSerName val="0"/>
          <c:showPercent val="0"/>
          <c:showBubbleSize val="0"/>
        </c:dLbls>
        <c:marker val="1"/>
        <c:smooth val="0"/>
        <c:axId val="555804648"/>
        <c:axId val="555802688"/>
      </c:lineChart>
      <c:catAx>
        <c:axId val="555804648"/>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55802688"/>
        <c:crosses val="autoZero"/>
        <c:auto val="1"/>
        <c:lblAlgn val="ctr"/>
        <c:lblOffset val="100"/>
        <c:noMultiLvlLbl val="0"/>
      </c:catAx>
      <c:valAx>
        <c:axId val="555802688"/>
        <c:scaling>
          <c:orientation val="minMax"/>
          <c:min val="2"/>
        </c:scaling>
        <c:delete val="0"/>
        <c:axPos val="l"/>
        <c:majorGridlines/>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55804648"/>
        <c:crosses val="autoZero"/>
        <c:crossBetween val="between"/>
      </c:valAx>
    </c:plotArea>
    <c:legend>
      <c:legendPos val="r"/>
      <c:overlay val="0"/>
      <c:txPr>
        <a:bodyPr/>
        <a:lstStyle/>
        <a:p>
          <a:pPr>
            <a:defRPr sz="24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5683772507964032E-2"/>
          <c:y val="4.4913472952835647E-2"/>
          <c:w val="0.93187320004661167"/>
          <c:h val="0.89779739016721849"/>
        </c:manualLayout>
      </c:layout>
      <c:lineChart>
        <c:grouping val="standard"/>
        <c:varyColors val="0"/>
        <c:ser>
          <c:idx val="1"/>
          <c:order val="0"/>
          <c:tx>
            <c:strRef>
              <c:f>'KPI tracker'!$F$72</c:f>
              <c:strCache>
                <c:ptCount val="1"/>
                <c:pt idx="0">
                  <c:v>Target</c:v>
                </c:pt>
              </c:strCache>
            </c:strRef>
          </c:tx>
          <c:val>
            <c:numRef>
              <c:f>'KPI tracker'!$G$72:$AK$72</c:f>
              <c:numCache>
                <c:formatCode>0.00</c:formatCode>
                <c:ptCount val="31"/>
                <c:pt idx="0">
                  <c:v>99.167000000000002</c:v>
                </c:pt>
                <c:pt idx="1">
                  <c:v>99.167000000000002</c:v>
                </c:pt>
                <c:pt idx="2">
                  <c:v>99.167000000000002</c:v>
                </c:pt>
                <c:pt idx="3">
                  <c:v>99.167000000000002</c:v>
                </c:pt>
                <c:pt idx="4">
                  <c:v>99.167000000000002</c:v>
                </c:pt>
                <c:pt idx="5">
                  <c:v>99.167000000000002</c:v>
                </c:pt>
                <c:pt idx="6">
                  <c:v>99.167000000000002</c:v>
                </c:pt>
                <c:pt idx="7">
                  <c:v>99.167000000000002</c:v>
                </c:pt>
                <c:pt idx="8">
                  <c:v>99.167000000000002</c:v>
                </c:pt>
                <c:pt idx="9">
                  <c:v>99.167000000000002</c:v>
                </c:pt>
                <c:pt idx="10">
                  <c:v>99.167000000000002</c:v>
                </c:pt>
                <c:pt idx="11">
                  <c:v>99.167000000000002</c:v>
                </c:pt>
                <c:pt idx="12">
                  <c:v>99.167000000000002</c:v>
                </c:pt>
                <c:pt idx="13">
                  <c:v>99.167000000000002</c:v>
                </c:pt>
                <c:pt idx="14">
                  <c:v>99.167000000000002</c:v>
                </c:pt>
                <c:pt idx="15">
                  <c:v>99.167000000000002</c:v>
                </c:pt>
                <c:pt idx="16">
                  <c:v>99.167000000000002</c:v>
                </c:pt>
                <c:pt idx="17">
                  <c:v>99.167000000000002</c:v>
                </c:pt>
                <c:pt idx="18">
                  <c:v>99.167000000000002</c:v>
                </c:pt>
                <c:pt idx="19">
                  <c:v>99.167000000000002</c:v>
                </c:pt>
                <c:pt idx="20">
                  <c:v>99.167000000000002</c:v>
                </c:pt>
                <c:pt idx="21">
                  <c:v>99.167000000000002</c:v>
                </c:pt>
                <c:pt idx="22">
                  <c:v>99.167000000000002</c:v>
                </c:pt>
                <c:pt idx="23">
                  <c:v>99.167000000000002</c:v>
                </c:pt>
                <c:pt idx="24">
                  <c:v>99.167000000000002</c:v>
                </c:pt>
                <c:pt idx="25">
                  <c:v>99.167000000000002</c:v>
                </c:pt>
                <c:pt idx="26">
                  <c:v>99.167000000000002</c:v>
                </c:pt>
                <c:pt idx="27">
                  <c:v>99.167000000000002</c:v>
                </c:pt>
                <c:pt idx="28">
                  <c:v>99.167000000000002</c:v>
                </c:pt>
                <c:pt idx="29">
                  <c:v>99.167000000000002</c:v>
                </c:pt>
                <c:pt idx="30">
                  <c:v>99.167000000000002</c:v>
                </c:pt>
              </c:numCache>
            </c:numRef>
          </c:val>
          <c:smooth val="0"/>
          <c:extLst>
            <c:ext xmlns:c16="http://schemas.microsoft.com/office/drawing/2014/chart" uri="{C3380CC4-5D6E-409C-BE32-E72D297353CC}">
              <c16:uniqueId val="{00000000-11FD-436A-980C-CD9E40E2131C}"/>
            </c:ext>
          </c:extLst>
        </c:ser>
        <c:ser>
          <c:idx val="2"/>
          <c:order val="1"/>
          <c:tx>
            <c:strRef>
              <c:f>'KPI tracker'!$F$73</c:f>
              <c:strCache>
                <c:ptCount val="1"/>
                <c:pt idx="0">
                  <c:v>Actual</c:v>
                </c:pt>
              </c:strCache>
            </c:strRef>
          </c:tx>
          <c:val>
            <c:numRef>
              <c:f>'KPI tracker'!$G$73:$AK$73</c:f>
              <c:numCache>
                <c:formatCode>0.00</c:formatCode>
                <c:ptCount val="31"/>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0</c:v>
                </c:pt>
              </c:numCache>
            </c:numRef>
          </c:val>
          <c:smooth val="0"/>
          <c:extLst>
            <c:ext xmlns:c16="http://schemas.microsoft.com/office/drawing/2014/chart" uri="{C3380CC4-5D6E-409C-BE32-E72D297353CC}">
              <c16:uniqueId val="{00000001-11FD-436A-980C-CD9E40E2131C}"/>
            </c:ext>
          </c:extLst>
        </c:ser>
        <c:ser>
          <c:idx val="3"/>
          <c:order val="2"/>
          <c:tx>
            <c:strRef>
              <c:f>'KPI tracker'!$F$74</c:f>
              <c:strCache>
                <c:ptCount val="1"/>
                <c:pt idx="0">
                  <c:v>Upper Band</c:v>
                </c:pt>
              </c:strCache>
            </c:strRef>
          </c:tx>
          <c:val>
            <c:numRef>
              <c:f>'KPI tracker'!$G$74:$AK$74</c:f>
              <c:numCache>
                <c:formatCode>General</c:formatCode>
                <c:ptCount val="31"/>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numCache>
            </c:numRef>
          </c:val>
          <c:smooth val="0"/>
          <c:extLst>
            <c:ext xmlns:c16="http://schemas.microsoft.com/office/drawing/2014/chart" uri="{C3380CC4-5D6E-409C-BE32-E72D297353CC}">
              <c16:uniqueId val="{00000002-11FD-436A-980C-CD9E40E2131C}"/>
            </c:ext>
          </c:extLst>
        </c:ser>
        <c:ser>
          <c:idx val="4"/>
          <c:order val="3"/>
          <c:tx>
            <c:strRef>
              <c:f>'KPI tracker'!$F$75</c:f>
              <c:strCache>
                <c:ptCount val="1"/>
                <c:pt idx="0">
                  <c:v>Lower Band</c:v>
                </c:pt>
              </c:strCache>
            </c:strRef>
          </c:tx>
          <c:val>
            <c:numRef>
              <c:f>'KPI tracker'!$G$75:$AK$75</c:f>
              <c:numCache>
                <c:formatCode>General</c:formatCode>
                <c:ptCount val="31"/>
                <c:pt idx="0">
                  <c:v>85</c:v>
                </c:pt>
                <c:pt idx="1">
                  <c:v>85</c:v>
                </c:pt>
                <c:pt idx="2">
                  <c:v>85</c:v>
                </c:pt>
                <c:pt idx="3">
                  <c:v>85</c:v>
                </c:pt>
                <c:pt idx="4">
                  <c:v>85</c:v>
                </c:pt>
                <c:pt idx="5">
                  <c:v>85</c:v>
                </c:pt>
                <c:pt idx="6">
                  <c:v>85</c:v>
                </c:pt>
                <c:pt idx="7">
                  <c:v>85</c:v>
                </c:pt>
                <c:pt idx="8">
                  <c:v>85</c:v>
                </c:pt>
                <c:pt idx="9">
                  <c:v>85</c:v>
                </c:pt>
                <c:pt idx="10">
                  <c:v>85</c:v>
                </c:pt>
                <c:pt idx="11">
                  <c:v>85</c:v>
                </c:pt>
                <c:pt idx="12">
                  <c:v>85</c:v>
                </c:pt>
                <c:pt idx="13">
                  <c:v>85</c:v>
                </c:pt>
                <c:pt idx="14">
                  <c:v>85</c:v>
                </c:pt>
                <c:pt idx="15">
                  <c:v>85</c:v>
                </c:pt>
                <c:pt idx="16">
                  <c:v>85</c:v>
                </c:pt>
                <c:pt idx="17">
                  <c:v>85</c:v>
                </c:pt>
                <c:pt idx="18">
                  <c:v>85</c:v>
                </c:pt>
                <c:pt idx="19">
                  <c:v>85</c:v>
                </c:pt>
                <c:pt idx="20">
                  <c:v>85</c:v>
                </c:pt>
                <c:pt idx="21">
                  <c:v>85</c:v>
                </c:pt>
                <c:pt idx="22">
                  <c:v>85</c:v>
                </c:pt>
                <c:pt idx="23">
                  <c:v>85</c:v>
                </c:pt>
                <c:pt idx="24">
                  <c:v>85</c:v>
                </c:pt>
                <c:pt idx="25">
                  <c:v>85</c:v>
                </c:pt>
                <c:pt idx="26">
                  <c:v>85</c:v>
                </c:pt>
                <c:pt idx="27">
                  <c:v>85</c:v>
                </c:pt>
                <c:pt idx="28">
                  <c:v>85</c:v>
                </c:pt>
                <c:pt idx="29">
                  <c:v>85</c:v>
                </c:pt>
                <c:pt idx="30">
                  <c:v>85</c:v>
                </c:pt>
              </c:numCache>
            </c:numRef>
          </c:val>
          <c:smooth val="0"/>
          <c:extLst>
            <c:ext xmlns:c16="http://schemas.microsoft.com/office/drawing/2014/chart" uri="{C3380CC4-5D6E-409C-BE32-E72D297353CC}">
              <c16:uniqueId val="{00000003-11FD-436A-980C-CD9E40E2131C}"/>
            </c:ext>
          </c:extLst>
        </c:ser>
        <c:dLbls>
          <c:showLegendKey val="0"/>
          <c:showVal val="0"/>
          <c:showCatName val="0"/>
          <c:showSerName val="0"/>
          <c:showPercent val="0"/>
          <c:showBubbleSize val="0"/>
        </c:dLbls>
        <c:marker val="1"/>
        <c:smooth val="0"/>
        <c:axId val="555805040"/>
        <c:axId val="555609608"/>
      </c:lineChart>
      <c:catAx>
        <c:axId val="555805040"/>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55609608"/>
        <c:crosses val="autoZero"/>
        <c:auto val="1"/>
        <c:lblAlgn val="ctr"/>
        <c:lblOffset val="100"/>
        <c:noMultiLvlLbl val="0"/>
      </c:catAx>
      <c:valAx>
        <c:axId val="555609608"/>
        <c:scaling>
          <c:orientation val="minMax"/>
          <c:min val="2"/>
        </c:scaling>
        <c:delete val="0"/>
        <c:axPos val="l"/>
        <c:majorGridlines/>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55805040"/>
        <c:crosses val="autoZero"/>
        <c:crossBetween val="between"/>
      </c:valAx>
    </c:plotArea>
    <c:legend>
      <c:legendPos val="r"/>
      <c:overlay val="0"/>
      <c:txPr>
        <a:bodyPr/>
        <a:lstStyle/>
        <a:p>
          <a:pPr>
            <a:defRPr sz="11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40" b="0" i="0" u="none" strike="noStrike" baseline="0">
                <a:solidFill>
                  <a:srgbClr val="000000"/>
                </a:solidFill>
                <a:latin typeface="Arial"/>
                <a:ea typeface="Arial"/>
                <a:cs typeface="Arial"/>
              </a:defRPr>
            </a:pPr>
            <a:r>
              <a:rPr lang="en-US"/>
              <a:t>Past Monthly Trends</a:t>
            </a:r>
          </a:p>
        </c:rich>
      </c:tx>
      <c:layout>
        <c:manualLayout>
          <c:xMode val="edge"/>
          <c:yMode val="edge"/>
          <c:x val="0.34070904929987988"/>
          <c:y val="4.2734922758612133E-2"/>
        </c:manualLayout>
      </c:layout>
      <c:overlay val="0"/>
      <c:spPr>
        <a:noFill/>
        <a:ln w="25400">
          <a:noFill/>
        </a:ln>
      </c:spPr>
    </c:title>
    <c:autoTitleDeleted val="0"/>
    <c:plotArea>
      <c:layout>
        <c:manualLayout>
          <c:layoutTarget val="inner"/>
          <c:xMode val="edge"/>
          <c:yMode val="edge"/>
          <c:x val="0.12500036330555717"/>
          <c:y val="0.20000076593430582"/>
          <c:w val="0.78869276847554082"/>
          <c:h val="0.59608071415714659"/>
        </c:manualLayout>
      </c:layout>
      <c:barChart>
        <c:barDir val="col"/>
        <c:grouping val="clustered"/>
        <c:varyColors val="0"/>
        <c:ser>
          <c:idx val="0"/>
          <c:order val="0"/>
          <c:spPr>
            <a:solidFill>
              <a:srgbClr val="CC6600"/>
            </a:solidFill>
            <a:ln w="12700">
              <a:noFill/>
              <a:prstDash val="solid"/>
            </a:ln>
          </c:spPr>
          <c:invertIfNegative val="0"/>
          <c:dLbls>
            <c:spPr>
              <a:noFill/>
              <a:ln w="25400">
                <a:noFill/>
              </a:ln>
            </c:spPr>
            <c:txPr>
              <a:bodyPr/>
              <a:lstStyle/>
              <a:p>
                <a:pPr>
                  <a:defRPr sz="800" b="0"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 tracker'!$C$66:$E$66</c:f>
              <c:strCache>
                <c:ptCount val="3"/>
                <c:pt idx="0">
                  <c:v>Jan'24</c:v>
                </c:pt>
                <c:pt idx="1">
                  <c:v>#REF!</c:v>
                </c:pt>
                <c:pt idx="2">
                  <c:v>Feb'24</c:v>
                </c:pt>
              </c:strCache>
            </c:strRef>
          </c:cat>
          <c:val>
            <c:numRef>
              <c:f>'KPI tracker'!$C$67:$E$67</c:f>
              <c:numCache>
                <c:formatCode>0</c:formatCode>
                <c:ptCount val="3"/>
                <c:pt idx="0">
                  <c:v>99.46</c:v>
                </c:pt>
                <c:pt idx="1">
                  <c:v>99.46</c:v>
                </c:pt>
                <c:pt idx="2">
                  <c:v>99.4</c:v>
                </c:pt>
              </c:numCache>
            </c:numRef>
          </c:val>
          <c:extLst>
            <c:ext xmlns:c16="http://schemas.microsoft.com/office/drawing/2014/chart" uri="{C3380CC4-5D6E-409C-BE32-E72D297353CC}">
              <c16:uniqueId val="{00000000-83AD-44D2-8677-6B780AF34EC6}"/>
            </c:ext>
          </c:extLst>
        </c:ser>
        <c:ser>
          <c:idx val="1"/>
          <c:order val="1"/>
          <c:spPr>
            <a:solidFill>
              <a:srgbClr val="00B0F0"/>
            </a:solidFill>
            <a:ln w="12700">
              <a:noFill/>
              <a:prstDash val="solid"/>
            </a:ln>
          </c:spPr>
          <c:invertIfNegative val="0"/>
          <c:dLbls>
            <c:dLbl>
              <c:idx val="0"/>
              <c:layout>
                <c:manualLayout>
                  <c:x val="-4.5557688218374722E-3"/>
                  <c:y val="-2.330708661417329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3AD-44D2-8677-6B780AF34EC6}"/>
                </c:ext>
              </c:extLst>
            </c:dLbl>
            <c:dLbl>
              <c:idx val="1"/>
              <c:layout>
                <c:manualLayout>
                  <c:x val="-2.6734451768866611E-3"/>
                  <c:y val="-8.489115331171850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3AD-44D2-8677-6B780AF34EC6}"/>
                </c:ext>
              </c:extLst>
            </c:dLbl>
            <c:dLbl>
              <c:idx val="2"/>
              <c:layout>
                <c:manualLayout>
                  <c:x val="2.9343544000626811E-4"/>
                  <c:y val="-8.8024291081305567E-4"/>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3AD-44D2-8677-6B780AF34EC6}"/>
                </c:ext>
              </c:extLst>
            </c:dLbl>
            <c:spPr>
              <a:noFill/>
              <a:ln w="25400">
                <a:noFill/>
              </a:ln>
            </c:spPr>
            <c:txPr>
              <a:bodyPr/>
              <a:lstStyle/>
              <a:p>
                <a:pPr>
                  <a:defRPr sz="800" b="1" i="0" u="none" strike="noStrike" baseline="0">
                    <a:solidFill>
                      <a:srgbClr val="0066CC"/>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 tracker'!$C$66:$E$66</c:f>
              <c:strCache>
                <c:ptCount val="3"/>
                <c:pt idx="0">
                  <c:v>Jan'24</c:v>
                </c:pt>
                <c:pt idx="1">
                  <c:v>#REF!</c:v>
                </c:pt>
                <c:pt idx="2">
                  <c:v>Feb'24</c:v>
                </c:pt>
              </c:strCache>
            </c:strRef>
          </c:cat>
          <c:val>
            <c:numRef>
              <c:f>'KPI tracker'!$C$68:$E$68</c:f>
              <c:numCache>
                <c:formatCode>0</c:formatCode>
                <c:ptCount val="3"/>
                <c:pt idx="0">
                  <c:v>100</c:v>
                </c:pt>
                <c:pt idx="1">
                  <c:v>100</c:v>
                </c:pt>
                <c:pt idx="2">
                  <c:v>100</c:v>
                </c:pt>
              </c:numCache>
            </c:numRef>
          </c:val>
          <c:extLst>
            <c:ext xmlns:c16="http://schemas.microsoft.com/office/drawing/2014/chart" uri="{C3380CC4-5D6E-409C-BE32-E72D297353CC}">
              <c16:uniqueId val="{00000004-83AD-44D2-8677-6B780AF34EC6}"/>
            </c:ext>
          </c:extLst>
        </c:ser>
        <c:dLbls>
          <c:showLegendKey val="0"/>
          <c:showVal val="1"/>
          <c:showCatName val="0"/>
          <c:showSerName val="0"/>
          <c:showPercent val="0"/>
          <c:showBubbleSize val="0"/>
        </c:dLbls>
        <c:gapWidth val="150"/>
        <c:axId val="555607648"/>
        <c:axId val="555610392"/>
      </c:barChart>
      <c:catAx>
        <c:axId val="555607648"/>
        <c:scaling>
          <c:orientation val="minMax"/>
        </c:scaling>
        <c:delete val="0"/>
        <c:axPos val="b"/>
        <c:numFmt formatCode="[$-409]mmm\-yy;@"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555610392"/>
        <c:crosses val="autoZero"/>
        <c:auto val="1"/>
        <c:lblAlgn val="ctr"/>
        <c:lblOffset val="100"/>
        <c:noMultiLvlLbl val="0"/>
      </c:catAx>
      <c:valAx>
        <c:axId val="555610392"/>
        <c:scaling>
          <c:orientation val="minMax"/>
        </c:scaling>
        <c:delete val="0"/>
        <c:axPos val="l"/>
        <c:numFmt formatCode="0" sourceLinked="1"/>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555607648"/>
        <c:crosses val="autoZero"/>
        <c:crossBetween val="between"/>
      </c:valAx>
      <c:spPr>
        <a:solidFill>
          <a:sysClr val="window" lastClr="FFFFFF"/>
        </a:solidFill>
        <a:ln w="12700">
          <a:solidFill>
            <a:srgbClr val="808080"/>
          </a:solidFill>
          <a:prstDash val="solid"/>
        </a:ln>
      </c:spPr>
    </c:plotArea>
    <c:plotVisOnly val="1"/>
    <c:dispBlanksAs val="gap"/>
    <c:showDLblsOverMax val="0"/>
  </c:chart>
  <c:spPr>
    <a:solidFill>
      <a:schemeClr val="accent5">
        <a:lumMod val="20000"/>
        <a:lumOff val="80000"/>
      </a:schemeClr>
    </a:solidFill>
    <a:ln w="3175">
      <a:solidFill>
        <a:srgbClr val="000000"/>
      </a:solidFill>
      <a:prstDash val="solid"/>
    </a:ln>
  </c:spPr>
  <c:txPr>
    <a:bodyPr/>
    <a:lstStyle/>
    <a:p>
      <a:pPr>
        <a:defRPr sz="7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747281050052934E-2"/>
          <c:y val="0.15340930371289244"/>
          <c:w val="0.93186863188351265"/>
          <c:h val="0.71875099702460465"/>
        </c:manualLayout>
      </c:layout>
      <c:lineChart>
        <c:grouping val="standard"/>
        <c:varyColors val="0"/>
        <c:ser>
          <c:idx val="0"/>
          <c:order val="0"/>
          <c:tx>
            <c:v>Station PLF %</c:v>
          </c:tx>
          <c:spPr>
            <a:ln w="12700">
              <a:solidFill>
                <a:srgbClr val="000080"/>
              </a:solidFill>
              <a:prstDash val="solid"/>
            </a:ln>
          </c:spPr>
          <c:marker>
            <c:symbol val="circle"/>
            <c:size val="6"/>
            <c:spPr>
              <a:solidFill>
                <a:srgbClr val="000080"/>
              </a:solidFill>
              <a:ln>
                <a:solidFill>
                  <a:srgbClr val="000080"/>
                </a:solidFill>
                <a:prstDash val="solid"/>
              </a:ln>
            </c:spPr>
          </c:marker>
          <c:val>
            <c:numRef>
              <c:f>STATION!$C$15:$AF$15</c:f>
              <c:numCache>
                <c:formatCode>0.00</c:formatCode>
                <c:ptCount val="30"/>
                <c:pt idx="0">
                  <c:v>96.949293154761918</c:v>
                </c:pt>
                <c:pt idx="1">
                  <c:v>96.033035714285731</c:v>
                </c:pt>
                <c:pt idx="2">
                  <c:v>99.038913690476207</c:v>
                </c:pt>
                <c:pt idx="3">
                  <c:v>102.38539341517858</c:v>
                </c:pt>
                <c:pt idx="4">
                  <c:v>102.33495396205355</c:v>
                </c:pt>
                <c:pt idx="5">
                  <c:v>99.898921130952374</c:v>
                </c:pt>
                <c:pt idx="6">
                  <c:v>102.64211309523812</c:v>
                </c:pt>
                <c:pt idx="7">
                  <c:v>101.11223958333332</c:v>
                </c:pt>
                <c:pt idx="8">
                  <c:v>103.30572916666667</c:v>
                </c:pt>
                <c:pt idx="9">
                  <c:v>104.0014880952381</c:v>
                </c:pt>
                <c:pt idx="10">
                  <c:v>101.1583193824405</c:v>
                </c:pt>
                <c:pt idx="11">
                  <c:v>103.23001302083331</c:v>
                </c:pt>
                <c:pt idx="12">
                  <c:v>100.47135416666667</c:v>
                </c:pt>
                <c:pt idx="13">
                  <c:v>97.912165178571428</c:v>
                </c:pt>
                <c:pt idx="14">
                  <c:v>97.536383928571425</c:v>
                </c:pt>
                <c:pt idx="15">
                  <c:v>98.306845238095249</c:v>
                </c:pt>
                <c:pt idx="16">
                  <c:v>99.475409226190479</c:v>
                </c:pt>
                <c:pt idx="17">
                  <c:v>100.79824218750001</c:v>
                </c:pt>
                <c:pt idx="18">
                  <c:v>97.365690104166688</c:v>
                </c:pt>
                <c:pt idx="19">
                  <c:v>95.80078125</c:v>
                </c:pt>
                <c:pt idx="20">
                  <c:v>94.963457961309501</c:v>
                </c:pt>
                <c:pt idx="21">
                  <c:v>101.21220238095242</c:v>
                </c:pt>
                <c:pt idx="22">
                  <c:v>103.98095238095237</c:v>
                </c:pt>
                <c:pt idx="23">
                  <c:v>105.53967633928573</c:v>
                </c:pt>
                <c:pt idx="24">
                  <c:v>106.06056547619046</c:v>
                </c:pt>
                <c:pt idx="25">
                  <c:v>94.593936011904759</c:v>
                </c:pt>
                <c:pt idx="26">
                  <c:v>92.465941220238093</c:v>
                </c:pt>
                <c:pt idx="27">
                  <c:v>93.257440476190467</c:v>
                </c:pt>
                <c:pt idx="28">
                  <c:v>99.138727678571442</c:v>
                </c:pt>
                <c:pt idx="29">
                  <c:v>107.06919642857142</c:v>
                </c:pt>
              </c:numCache>
            </c:numRef>
          </c:val>
          <c:smooth val="0"/>
          <c:extLst>
            <c:ext xmlns:c16="http://schemas.microsoft.com/office/drawing/2014/chart" uri="{C3380CC4-5D6E-409C-BE32-E72D297353CC}">
              <c16:uniqueId val="{00000000-90DF-4007-898E-9EB289F8A38E}"/>
            </c:ext>
          </c:extLst>
        </c:ser>
        <c:ser>
          <c:idx val="1"/>
          <c:order val="1"/>
          <c:tx>
            <c:v>Station Availability %</c:v>
          </c:tx>
          <c:spPr>
            <a:ln w="12700">
              <a:solidFill>
                <a:srgbClr val="FF00FF"/>
              </a:solidFill>
              <a:prstDash val="solid"/>
            </a:ln>
          </c:spPr>
          <c:marker>
            <c:symbol val="square"/>
            <c:size val="5"/>
            <c:spPr>
              <a:solidFill>
                <a:srgbClr val="FF00FF"/>
              </a:solidFill>
              <a:ln>
                <a:solidFill>
                  <a:srgbClr val="FF00FF"/>
                </a:solidFill>
                <a:prstDash val="solid"/>
              </a:ln>
            </c:spPr>
          </c:marker>
          <c:val>
            <c:numRef>
              <c:f>STATION!$C$31:$AF$31</c:f>
              <c:numCache>
                <c:formatCode>0.00</c:formatCode>
                <c:ptCount val="3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numCache>
            </c:numRef>
          </c:val>
          <c:smooth val="0"/>
          <c:extLst>
            <c:ext xmlns:c16="http://schemas.microsoft.com/office/drawing/2014/chart" uri="{C3380CC4-5D6E-409C-BE32-E72D297353CC}">
              <c16:uniqueId val="{00000001-90DF-4007-898E-9EB289F8A38E}"/>
            </c:ext>
          </c:extLst>
        </c:ser>
        <c:ser>
          <c:idx val="2"/>
          <c:order val="2"/>
          <c:tx>
            <c:v>Station Boiler availability%</c:v>
          </c:tx>
          <c:spPr>
            <a:ln w="19050">
              <a:solidFill>
                <a:srgbClr val="00B050"/>
              </a:solidFill>
              <a:prstDash val="solid"/>
            </a:ln>
          </c:spPr>
          <c:marker>
            <c:symbol val="triangle"/>
            <c:size val="5"/>
            <c:spPr>
              <a:solidFill>
                <a:srgbClr val="00B050"/>
              </a:solidFill>
              <a:ln>
                <a:solidFill>
                  <a:srgbClr val="00B050"/>
                </a:solidFill>
                <a:prstDash val="solid"/>
              </a:ln>
            </c:spPr>
          </c:marker>
          <c:val>
            <c:numRef>
              <c:f>STATION!$C$35:$AF$35</c:f>
              <c:numCache>
                <c:formatCode>0.00</c:formatCode>
                <c:ptCount val="30"/>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95.442708333333343</c:v>
                </c:pt>
                <c:pt idx="19">
                  <c:v>93.75</c:v>
                </c:pt>
                <c:pt idx="20">
                  <c:v>94.434895833333329</c:v>
                </c:pt>
                <c:pt idx="21">
                  <c:v>100</c:v>
                </c:pt>
                <c:pt idx="22">
                  <c:v>100</c:v>
                </c:pt>
                <c:pt idx="23">
                  <c:v>100</c:v>
                </c:pt>
                <c:pt idx="24">
                  <c:v>100</c:v>
                </c:pt>
                <c:pt idx="25">
                  <c:v>89.0625</c:v>
                </c:pt>
                <c:pt idx="26">
                  <c:v>87.5</c:v>
                </c:pt>
                <c:pt idx="27">
                  <c:v>87.5</c:v>
                </c:pt>
                <c:pt idx="28">
                  <c:v>95.791666666666657</c:v>
                </c:pt>
                <c:pt idx="29">
                  <c:v>100</c:v>
                </c:pt>
              </c:numCache>
            </c:numRef>
          </c:val>
          <c:smooth val="0"/>
          <c:extLst>
            <c:ext xmlns:c16="http://schemas.microsoft.com/office/drawing/2014/chart" uri="{C3380CC4-5D6E-409C-BE32-E72D297353CC}">
              <c16:uniqueId val="{00000002-90DF-4007-898E-9EB289F8A38E}"/>
            </c:ext>
          </c:extLst>
        </c:ser>
        <c:dLbls>
          <c:showLegendKey val="0"/>
          <c:showVal val="0"/>
          <c:showCatName val="0"/>
          <c:showSerName val="0"/>
          <c:showPercent val="0"/>
          <c:showBubbleSize val="0"/>
        </c:dLbls>
        <c:marker val="1"/>
        <c:smooth val="0"/>
        <c:axId val="477368272"/>
        <c:axId val="477368664"/>
      </c:lineChart>
      <c:catAx>
        <c:axId val="4773682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77368664"/>
        <c:crosses val="autoZero"/>
        <c:auto val="1"/>
        <c:lblAlgn val="ctr"/>
        <c:lblOffset val="100"/>
        <c:tickLblSkip val="1"/>
        <c:tickMarkSkip val="1"/>
        <c:noMultiLvlLbl val="0"/>
      </c:catAx>
      <c:valAx>
        <c:axId val="477368664"/>
        <c:scaling>
          <c:orientation val="minMax"/>
          <c:max val="110"/>
          <c:min val="50"/>
        </c:scaling>
        <c:delete val="0"/>
        <c:axPos val="l"/>
        <c:majorGridlines>
          <c:spPr>
            <a:ln w="3175">
              <a:solidFill>
                <a:srgbClr val="000000"/>
              </a:solidFill>
              <a:prstDash val="sysDash"/>
            </a:ln>
          </c:spPr>
        </c:majorGridlines>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77368272"/>
        <c:crosses val="autoZero"/>
        <c:crossBetween val="between"/>
        <c:majorUnit val="10"/>
      </c:valAx>
      <c:spPr>
        <a:gradFill rotWithShape="0">
          <a:gsLst>
            <a:gs pos="0">
              <a:srgbClr val="FFEFD1"/>
            </a:gs>
            <a:gs pos="64999">
              <a:srgbClr val="F0EBD5"/>
            </a:gs>
            <a:gs pos="100000">
              <a:srgbClr val="D1C39F"/>
            </a:gs>
          </a:gsLst>
          <a:lin ang="5400000" scaled="0"/>
        </a:gradFill>
        <a:ln w="12700">
          <a:solidFill>
            <a:srgbClr val="808080"/>
          </a:solidFill>
          <a:prstDash val="solid"/>
        </a:ln>
      </c:spPr>
    </c:plotArea>
    <c:legend>
      <c:legendPos val="t"/>
      <c:legendEntry>
        <c:idx val="0"/>
        <c:txPr>
          <a:bodyPr/>
          <a:lstStyle/>
          <a:p>
            <a:pPr>
              <a:defRPr sz="1000" b="0" i="0" u="none" strike="noStrike" baseline="0">
                <a:solidFill>
                  <a:srgbClr val="000000"/>
                </a:solidFill>
                <a:latin typeface="Arial"/>
                <a:ea typeface="Arial"/>
                <a:cs typeface="Arial"/>
              </a:defRPr>
            </a:pPr>
            <a:endParaRPr lang="en-US"/>
          </a:p>
        </c:txPr>
      </c:legendEntry>
      <c:legendEntry>
        <c:idx val="1"/>
        <c:txPr>
          <a:bodyPr/>
          <a:lstStyle/>
          <a:p>
            <a:pPr>
              <a:defRPr sz="1000" b="0" i="0" u="none" strike="noStrike" baseline="0">
                <a:solidFill>
                  <a:srgbClr val="000000"/>
                </a:solidFill>
                <a:latin typeface="Arial"/>
                <a:ea typeface="Arial"/>
                <a:cs typeface="Arial"/>
              </a:defRPr>
            </a:pPr>
            <a:endParaRPr lang="en-US"/>
          </a:p>
        </c:txPr>
      </c:legendEntry>
      <c:legendEntry>
        <c:idx val="2"/>
        <c:txPr>
          <a:bodyPr/>
          <a:lstStyle/>
          <a:p>
            <a:pPr>
              <a:defRPr sz="1000" b="0" i="0" u="none" strike="noStrike" baseline="0">
                <a:solidFill>
                  <a:srgbClr val="000000"/>
                </a:solidFill>
                <a:latin typeface="Arial"/>
                <a:ea typeface="Arial"/>
                <a:cs typeface="Arial"/>
              </a:defRPr>
            </a:pPr>
            <a:endParaRPr lang="en-US"/>
          </a:p>
        </c:txPr>
      </c:legendEntry>
      <c:layout>
        <c:manualLayout>
          <c:xMode val="edge"/>
          <c:yMode val="edge"/>
          <c:x val="0.33296745489752338"/>
          <c:y val="2.2727130780040652E-2"/>
          <c:w val="0.53956056440812117"/>
          <c:h val="7.9545552556639088E-2"/>
        </c:manualLayout>
      </c:layout>
      <c:overlay val="0"/>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5069168151021292E-2"/>
          <c:y val="1.7250939038980551E-2"/>
          <c:w val="0.93187320004661167"/>
          <c:h val="0.89779739016721849"/>
        </c:manualLayout>
      </c:layout>
      <c:lineChart>
        <c:grouping val="standard"/>
        <c:varyColors val="0"/>
        <c:ser>
          <c:idx val="1"/>
          <c:order val="0"/>
          <c:tx>
            <c:strRef>
              <c:f>'KPI tracker'!$F$107</c:f>
              <c:strCache>
                <c:ptCount val="1"/>
                <c:pt idx="0">
                  <c:v>Target</c:v>
                </c:pt>
              </c:strCache>
            </c:strRef>
          </c:tx>
          <c:val>
            <c:numRef>
              <c:f>'KPI tracker'!$G$107:$AK$107</c:f>
              <c:numCache>
                <c:formatCode>0.00</c:formatCode>
                <c:ptCount val="31"/>
                <c:pt idx="0">
                  <c:v>7.05</c:v>
                </c:pt>
                <c:pt idx="1">
                  <c:v>7.05</c:v>
                </c:pt>
                <c:pt idx="2">
                  <c:v>7.05</c:v>
                </c:pt>
                <c:pt idx="3">
                  <c:v>7.05</c:v>
                </c:pt>
                <c:pt idx="4">
                  <c:v>7.05</c:v>
                </c:pt>
                <c:pt idx="5">
                  <c:v>7.05</c:v>
                </c:pt>
                <c:pt idx="6">
                  <c:v>7.05</c:v>
                </c:pt>
                <c:pt idx="7">
                  <c:v>7.05</c:v>
                </c:pt>
                <c:pt idx="8">
                  <c:v>7.05</c:v>
                </c:pt>
                <c:pt idx="9">
                  <c:v>7.05</c:v>
                </c:pt>
                <c:pt idx="10">
                  <c:v>7.05</c:v>
                </c:pt>
                <c:pt idx="11">
                  <c:v>7.05</c:v>
                </c:pt>
                <c:pt idx="12">
                  <c:v>7.05</c:v>
                </c:pt>
                <c:pt idx="13">
                  <c:v>7.05</c:v>
                </c:pt>
                <c:pt idx="14">
                  <c:v>7.05</c:v>
                </c:pt>
                <c:pt idx="15">
                  <c:v>7.05</c:v>
                </c:pt>
                <c:pt idx="16">
                  <c:v>7.05</c:v>
                </c:pt>
                <c:pt idx="17">
                  <c:v>7.05</c:v>
                </c:pt>
                <c:pt idx="18">
                  <c:v>7.05</c:v>
                </c:pt>
                <c:pt idx="19">
                  <c:v>7.05</c:v>
                </c:pt>
                <c:pt idx="20">
                  <c:v>7.05</c:v>
                </c:pt>
                <c:pt idx="21">
                  <c:v>7.05</c:v>
                </c:pt>
                <c:pt idx="22">
                  <c:v>7.05</c:v>
                </c:pt>
                <c:pt idx="23">
                  <c:v>7.05</c:v>
                </c:pt>
                <c:pt idx="24">
                  <c:v>7.05</c:v>
                </c:pt>
                <c:pt idx="25">
                  <c:v>7.05</c:v>
                </c:pt>
                <c:pt idx="26">
                  <c:v>7.05</c:v>
                </c:pt>
                <c:pt idx="27">
                  <c:v>7.05</c:v>
                </c:pt>
                <c:pt idx="28">
                  <c:v>7.05</c:v>
                </c:pt>
                <c:pt idx="29">
                  <c:v>7.05</c:v>
                </c:pt>
                <c:pt idx="30">
                  <c:v>7.05</c:v>
                </c:pt>
              </c:numCache>
            </c:numRef>
          </c:val>
          <c:smooth val="0"/>
          <c:extLst>
            <c:ext xmlns:c16="http://schemas.microsoft.com/office/drawing/2014/chart" uri="{C3380CC4-5D6E-409C-BE32-E72D297353CC}">
              <c16:uniqueId val="{00000000-20E6-421A-AD7D-771E21EED56C}"/>
            </c:ext>
          </c:extLst>
        </c:ser>
        <c:ser>
          <c:idx val="2"/>
          <c:order val="1"/>
          <c:tx>
            <c:strRef>
              <c:f>'KPI tracker'!$F$108</c:f>
              <c:strCache>
                <c:ptCount val="1"/>
                <c:pt idx="0">
                  <c:v>Actual</c:v>
                </c:pt>
              </c:strCache>
            </c:strRef>
          </c:tx>
          <c:val>
            <c:numRef>
              <c:f>'KPI tracker'!$G$108:$AK$108</c:f>
              <c:numCache>
                <c:formatCode>0.00</c:formatCode>
                <c:ptCount val="31"/>
                <c:pt idx="0">
                  <c:v>7.1185423467486713</c:v>
                </c:pt>
                <c:pt idx="1">
                  <c:v>7.274282473479178</c:v>
                </c:pt>
                <c:pt idx="2">
                  <c:v>7.0927958662232173</c:v>
                </c:pt>
                <c:pt idx="3">
                  <c:v>6.9252582838998391</c:v>
                </c:pt>
                <c:pt idx="4">
                  <c:v>6.9535442852151723</c:v>
                </c:pt>
                <c:pt idx="5">
                  <c:v>7.1662837771661314</c:v>
                </c:pt>
                <c:pt idx="6">
                  <c:v>6.8889678219077766</c:v>
                </c:pt>
                <c:pt idx="7">
                  <c:v>6.8791790123025276</c:v>
                </c:pt>
                <c:pt idx="8">
                  <c:v>6.855590022968407</c:v>
                </c:pt>
                <c:pt idx="9">
                  <c:v>6.975346621070555</c:v>
                </c:pt>
                <c:pt idx="10">
                  <c:v>7.0910631756369265</c:v>
                </c:pt>
                <c:pt idx="11">
                  <c:v>6.9521828015861571</c:v>
                </c:pt>
                <c:pt idx="12">
                  <c:v>7.1777003484320545</c:v>
                </c:pt>
                <c:pt idx="13">
                  <c:v>7.1112311774211499</c:v>
                </c:pt>
                <c:pt idx="14">
                  <c:v>7.1753596223631453</c:v>
                </c:pt>
                <c:pt idx="15">
                  <c:v>7.1356993863359071</c:v>
                </c:pt>
                <c:pt idx="16">
                  <c:v>7.1228943202417145</c:v>
                </c:pt>
                <c:pt idx="17">
                  <c:v>7.0579738908915957</c:v>
                </c:pt>
                <c:pt idx="18">
                  <c:v>7.1263365600449848</c:v>
                </c:pt>
                <c:pt idx="19">
                  <c:v>7.0665695840007769</c:v>
                </c:pt>
                <c:pt idx="20">
                  <c:v>6.9325597222694242</c:v>
                </c:pt>
                <c:pt idx="21">
                  <c:v>6.9929103457198885</c:v>
                </c:pt>
                <c:pt idx="22">
                  <c:v>6.8665277523355943</c:v>
                </c:pt>
                <c:pt idx="23">
                  <c:v>6.8120151298606411</c:v>
                </c:pt>
                <c:pt idx="24">
                  <c:v>6.7617755465977867</c:v>
                </c:pt>
                <c:pt idx="25">
                  <c:v>7.0123117885227613</c:v>
                </c:pt>
                <c:pt idx="26">
                  <c:v>7.0571552548406551</c:v>
                </c:pt>
                <c:pt idx="27">
                  <c:v>6.8962325870845236</c:v>
                </c:pt>
                <c:pt idx="28">
                  <c:v>6.9092470154969376</c:v>
                </c:pt>
                <c:pt idx="29">
                  <c:v>6.6663886977852842</c:v>
                </c:pt>
                <c:pt idx="30">
                  <c:v>0</c:v>
                </c:pt>
              </c:numCache>
            </c:numRef>
          </c:val>
          <c:smooth val="0"/>
          <c:extLst>
            <c:ext xmlns:c16="http://schemas.microsoft.com/office/drawing/2014/chart" uri="{C3380CC4-5D6E-409C-BE32-E72D297353CC}">
              <c16:uniqueId val="{00000001-20E6-421A-AD7D-771E21EED56C}"/>
            </c:ext>
          </c:extLst>
        </c:ser>
        <c:ser>
          <c:idx val="3"/>
          <c:order val="2"/>
          <c:tx>
            <c:strRef>
              <c:f>'KPI tracker'!$F$109</c:f>
              <c:strCache>
                <c:ptCount val="1"/>
                <c:pt idx="0">
                  <c:v>Upper Band</c:v>
                </c:pt>
              </c:strCache>
            </c:strRef>
          </c:tx>
          <c:val>
            <c:numRef>
              <c:f>'KPI tracker'!$G$109:$AK$109</c:f>
              <c:numCache>
                <c:formatCode>General</c:formatCode>
                <c:ptCount val="31"/>
                <c:pt idx="0">
                  <c:v>8.5</c:v>
                </c:pt>
                <c:pt idx="1">
                  <c:v>8.5</c:v>
                </c:pt>
                <c:pt idx="2">
                  <c:v>8.5</c:v>
                </c:pt>
                <c:pt idx="3">
                  <c:v>8.5</c:v>
                </c:pt>
                <c:pt idx="4">
                  <c:v>8.5</c:v>
                </c:pt>
                <c:pt idx="5">
                  <c:v>8.5</c:v>
                </c:pt>
                <c:pt idx="6">
                  <c:v>8.5</c:v>
                </c:pt>
                <c:pt idx="7">
                  <c:v>8.5</c:v>
                </c:pt>
                <c:pt idx="8">
                  <c:v>8.5</c:v>
                </c:pt>
                <c:pt idx="9">
                  <c:v>8.5</c:v>
                </c:pt>
                <c:pt idx="10">
                  <c:v>8.5</c:v>
                </c:pt>
                <c:pt idx="11">
                  <c:v>8.5</c:v>
                </c:pt>
                <c:pt idx="12">
                  <c:v>8.5</c:v>
                </c:pt>
                <c:pt idx="13">
                  <c:v>8.5</c:v>
                </c:pt>
                <c:pt idx="14">
                  <c:v>8.5</c:v>
                </c:pt>
                <c:pt idx="15">
                  <c:v>8.5</c:v>
                </c:pt>
                <c:pt idx="16">
                  <c:v>8.5</c:v>
                </c:pt>
                <c:pt idx="17">
                  <c:v>8.5</c:v>
                </c:pt>
                <c:pt idx="18">
                  <c:v>8.5</c:v>
                </c:pt>
                <c:pt idx="19">
                  <c:v>8.5</c:v>
                </c:pt>
                <c:pt idx="20">
                  <c:v>8.5</c:v>
                </c:pt>
                <c:pt idx="21">
                  <c:v>8.5</c:v>
                </c:pt>
                <c:pt idx="22">
                  <c:v>8.5</c:v>
                </c:pt>
                <c:pt idx="23">
                  <c:v>8.5</c:v>
                </c:pt>
                <c:pt idx="24">
                  <c:v>8.5</c:v>
                </c:pt>
                <c:pt idx="25">
                  <c:v>8.5</c:v>
                </c:pt>
                <c:pt idx="26">
                  <c:v>8.5</c:v>
                </c:pt>
                <c:pt idx="27">
                  <c:v>8.5</c:v>
                </c:pt>
                <c:pt idx="28">
                  <c:v>8.5</c:v>
                </c:pt>
                <c:pt idx="29">
                  <c:v>8.5</c:v>
                </c:pt>
                <c:pt idx="30">
                  <c:v>8.5</c:v>
                </c:pt>
              </c:numCache>
            </c:numRef>
          </c:val>
          <c:smooth val="0"/>
          <c:extLst>
            <c:ext xmlns:c16="http://schemas.microsoft.com/office/drawing/2014/chart" uri="{C3380CC4-5D6E-409C-BE32-E72D297353CC}">
              <c16:uniqueId val="{00000002-20E6-421A-AD7D-771E21EED56C}"/>
            </c:ext>
          </c:extLst>
        </c:ser>
        <c:ser>
          <c:idx val="0"/>
          <c:order val="3"/>
          <c:tx>
            <c:strRef>
              <c:f>'KPI tracker'!$F$110</c:f>
              <c:strCache>
                <c:ptCount val="1"/>
                <c:pt idx="0">
                  <c:v>Lower Band</c:v>
                </c:pt>
              </c:strCache>
            </c:strRef>
          </c:tx>
          <c:val>
            <c:numRef>
              <c:f>'KPI tracker'!$G$110:$AK$110</c:f>
              <c:numCache>
                <c:formatCode>General</c:formatCode>
                <c:ptCount val="31"/>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pt idx="30">
                  <c:v>5</c:v>
                </c:pt>
              </c:numCache>
            </c:numRef>
          </c:val>
          <c:smooth val="0"/>
          <c:extLst>
            <c:ext xmlns:c16="http://schemas.microsoft.com/office/drawing/2014/chart" uri="{C3380CC4-5D6E-409C-BE32-E72D297353CC}">
              <c16:uniqueId val="{00000003-20E6-421A-AD7D-771E21EED56C}"/>
            </c:ext>
          </c:extLst>
        </c:ser>
        <c:dLbls>
          <c:showLegendKey val="0"/>
          <c:showVal val="0"/>
          <c:showCatName val="0"/>
          <c:showSerName val="0"/>
          <c:showPercent val="0"/>
          <c:showBubbleSize val="0"/>
        </c:dLbls>
        <c:marker val="1"/>
        <c:smooth val="0"/>
        <c:axId val="555610784"/>
        <c:axId val="555611960"/>
      </c:lineChart>
      <c:catAx>
        <c:axId val="555610784"/>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55611960"/>
        <c:crosses val="autoZero"/>
        <c:auto val="1"/>
        <c:lblAlgn val="ctr"/>
        <c:lblOffset val="100"/>
        <c:noMultiLvlLbl val="0"/>
      </c:catAx>
      <c:valAx>
        <c:axId val="555611960"/>
        <c:scaling>
          <c:orientation val="minMax"/>
          <c:min val="2"/>
        </c:scaling>
        <c:delete val="0"/>
        <c:axPos val="l"/>
        <c:majorGridlines/>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55610784"/>
        <c:crosses val="autoZero"/>
        <c:crossBetween val="between"/>
      </c:valAx>
    </c:plotArea>
    <c:legend>
      <c:legendPos val="r"/>
      <c:overlay val="0"/>
      <c:txPr>
        <a:bodyPr/>
        <a:lstStyle/>
        <a:p>
          <a:pPr>
            <a:defRPr sz="11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40" b="0" i="0" u="none" strike="noStrike" baseline="0">
                <a:solidFill>
                  <a:srgbClr val="000000"/>
                </a:solidFill>
                <a:latin typeface="Arial"/>
                <a:ea typeface="Arial"/>
                <a:cs typeface="Arial"/>
              </a:defRPr>
            </a:pPr>
            <a:r>
              <a:rPr lang="en-US"/>
              <a:t>Past Monthly Trends</a:t>
            </a:r>
          </a:p>
        </c:rich>
      </c:tx>
      <c:layout>
        <c:manualLayout>
          <c:xMode val="edge"/>
          <c:yMode val="edge"/>
          <c:x val="0.34070923616299775"/>
          <c:y val="4.2735050867886433E-2"/>
        </c:manualLayout>
      </c:layout>
      <c:overlay val="0"/>
      <c:spPr>
        <a:noFill/>
        <a:ln w="25400">
          <a:noFill/>
        </a:ln>
      </c:spPr>
    </c:title>
    <c:autoTitleDeleted val="0"/>
    <c:plotArea>
      <c:layout>
        <c:manualLayout>
          <c:layoutTarget val="inner"/>
          <c:xMode val="edge"/>
          <c:yMode val="edge"/>
          <c:x val="0.10855978218656442"/>
          <c:y val="0.19271488604907994"/>
          <c:w val="0.78869276847554082"/>
          <c:h val="0.59608071415714659"/>
        </c:manualLayout>
      </c:layout>
      <c:barChart>
        <c:barDir val="col"/>
        <c:grouping val="clustered"/>
        <c:varyColors val="0"/>
        <c:ser>
          <c:idx val="0"/>
          <c:order val="0"/>
          <c:spPr>
            <a:solidFill>
              <a:srgbClr val="CC6600"/>
            </a:solidFill>
            <a:ln w="12700">
              <a:noFill/>
              <a:prstDash val="solid"/>
            </a:ln>
          </c:spPr>
          <c:invertIfNegative val="0"/>
          <c:dLbls>
            <c:spPr>
              <a:noFill/>
              <a:ln w="25400">
                <a:noFill/>
              </a:ln>
            </c:spPr>
            <c:txPr>
              <a:bodyPr/>
              <a:lstStyle/>
              <a:p>
                <a:pPr>
                  <a:defRPr sz="800" b="0"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 tracker'!$C$101:$E$101</c:f>
              <c:strCache>
                <c:ptCount val="3"/>
                <c:pt idx="0">
                  <c:v>Jan'24</c:v>
                </c:pt>
                <c:pt idx="1">
                  <c:v>Feb'24</c:v>
                </c:pt>
                <c:pt idx="2">
                  <c:v>March'24</c:v>
                </c:pt>
              </c:strCache>
            </c:strRef>
          </c:cat>
          <c:val>
            <c:numRef>
              <c:f>'KPI tracker'!$C$102:$E$102</c:f>
              <c:numCache>
                <c:formatCode>0.00</c:formatCode>
                <c:ptCount val="3"/>
                <c:pt idx="0">
                  <c:v>7.24</c:v>
                </c:pt>
                <c:pt idx="1">
                  <c:v>7.24</c:v>
                </c:pt>
                <c:pt idx="2">
                  <c:v>7.24</c:v>
                </c:pt>
              </c:numCache>
            </c:numRef>
          </c:val>
          <c:extLst>
            <c:ext xmlns:c16="http://schemas.microsoft.com/office/drawing/2014/chart" uri="{C3380CC4-5D6E-409C-BE32-E72D297353CC}">
              <c16:uniqueId val="{00000000-02E4-4598-8A07-266887CEC01A}"/>
            </c:ext>
          </c:extLst>
        </c:ser>
        <c:ser>
          <c:idx val="1"/>
          <c:order val="1"/>
          <c:spPr>
            <a:solidFill>
              <a:srgbClr val="00B0F0"/>
            </a:solidFill>
            <a:ln w="12700">
              <a:noFill/>
              <a:prstDash val="solid"/>
            </a:ln>
          </c:spPr>
          <c:invertIfNegative val="0"/>
          <c:dLbls>
            <c:dLbl>
              <c:idx val="0"/>
              <c:layout>
                <c:manualLayout>
                  <c:x val="-4.5557688218374722E-3"/>
                  <c:y val="-2.330708661417329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2E4-4598-8A07-266887CEC01A}"/>
                </c:ext>
              </c:extLst>
            </c:dLbl>
            <c:dLbl>
              <c:idx val="1"/>
              <c:layout>
                <c:manualLayout>
                  <c:x val="-2.6734451768866611E-3"/>
                  <c:y val="-8.489115331171850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2E4-4598-8A07-266887CEC01A}"/>
                </c:ext>
              </c:extLst>
            </c:dLbl>
            <c:dLbl>
              <c:idx val="2"/>
              <c:layout>
                <c:manualLayout>
                  <c:x val="2.9343544000626811E-4"/>
                  <c:y val="-8.8024291081305567E-4"/>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2E4-4598-8A07-266887CEC01A}"/>
                </c:ext>
              </c:extLst>
            </c:dLbl>
            <c:spPr>
              <a:noFill/>
              <a:ln w="25400">
                <a:noFill/>
              </a:ln>
            </c:spPr>
            <c:txPr>
              <a:bodyPr/>
              <a:lstStyle/>
              <a:p>
                <a:pPr>
                  <a:defRPr sz="800" b="1" i="0" u="none" strike="noStrike" baseline="0">
                    <a:solidFill>
                      <a:srgbClr val="0066CC"/>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 tracker'!$C$101:$E$101</c:f>
              <c:strCache>
                <c:ptCount val="3"/>
                <c:pt idx="0">
                  <c:v>Jan'24</c:v>
                </c:pt>
                <c:pt idx="1">
                  <c:v>Feb'24</c:v>
                </c:pt>
                <c:pt idx="2">
                  <c:v>March'24</c:v>
                </c:pt>
              </c:strCache>
            </c:strRef>
          </c:cat>
          <c:val>
            <c:numRef>
              <c:f>'KPI tracker'!$C$103:$E$103</c:f>
              <c:numCache>
                <c:formatCode>0.00</c:formatCode>
                <c:ptCount val="3"/>
                <c:pt idx="0">
                  <c:v>7.52</c:v>
                </c:pt>
                <c:pt idx="1">
                  <c:v>7.71</c:v>
                </c:pt>
                <c:pt idx="2">
                  <c:v>7.55</c:v>
                </c:pt>
              </c:numCache>
            </c:numRef>
          </c:val>
          <c:extLst>
            <c:ext xmlns:c16="http://schemas.microsoft.com/office/drawing/2014/chart" uri="{C3380CC4-5D6E-409C-BE32-E72D297353CC}">
              <c16:uniqueId val="{00000004-02E4-4598-8A07-266887CEC01A}"/>
            </c:ext>
          </c:extLst>
        </c:ser>
        <c:dLbls>
          <c:showLegendKey val="0"/>
          <c:showVal val="1"/>
          <c:showCatName val="0"/>
          <c:showSerName val="0"/>
          <c:showPercent val="0"/>
          <c:showBubbleSize val="0"/>
        </c:dLbls>
        <c:gapWidth val="150"/>
        <c:axId val="555608824"/>
        <c:axId val="555612352"/>
      </c:barChart>
      <c:catAx>
        <c:axId val="555608824"/>
        <c:scaling>
          <c:orientation val="minMax"/>
        </c:scaling>
        <c:delete val="0"/>
        <c:axPos val="b"/>
        <c:numFmt formatCode="[$-409]mmm\-yy;@"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555612352"/>
        <c:crosses val="autoZero"/>
        <c:auto val="1"/>
        <c:lblAlgn val="ctr"/>
        <c:lblOffset val="100"/>
        <c:noMultiLvlLbl val="0"/>
      </c:catAx>
      <c:valAx>
        <c:axId val="555612352"/>
        <c:scaling>
          <c:orientation val="minMax"/>
        </c:scaling>
        <c:delete val="0"/>
        <c:axPos val="l"/>
        <c:numFmt formatCode="0.00" sourceLinked="1"/>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555608824"/>
        <c:crosses val="autoZero"/>
        <c:crossBetween val="between"/>
      </c:valAx>
      <c:spPr>
        <a:solidFill>
          <a:sysClr val="window" lastClr="FFFFFF"/>
        </a:solidFill>
        <a:ln w="12700">
          <a:solidFill>
            <a:srgbClr val="808080"/>
          </a:solidFill>
          <a:prstDash val="solid"/>
        </a:ln>
      </c:spPr>
    </c:plotArea>
    <c:plotVisOnly val="1"/>
    <c:dispBlanksAs val="gap"/>
    <c:showDLblsOverMax val="0"/>
  </c:chart>
  <c:spPr>
    <a:solidFill>
      <a:schemeClr val="accent5">
        <a:lumMod val="20000"/>
        <a:lumOff val="80000"/>
      </a:schemeClr>
    </a:solidFill>
    <a:ln w="3175">
      <a:solidFill>
        <a:srgbClr val="000000"/>
      </a:solidFill>
      <a:prstDash val="solid"/>
    </a:ln>
  </c:spPr>
  <c:txPr>
    <a:bodyPr/>
    <a:lstStyle/>
    <a:p>
      <a:pPr>
        <a:defRPr sz="7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8945671160478721E-2"/>
          <c:y val="6.1032005327692304E-2"/>
          <c:w val="0.93187320004661167"/>
          <c:h val="0.89779739016721849"/>
        </c:manualLayout>
      </c:layout>
      <c:lineChart>
        <c:grouping val="standard"/>
        <c:varyColors val="0"/>
        <c:ser>
          <c:idx val="1"/>
          <c:order val="0"/>
          <c:tx>
            <c:strRef>
              <c:f>'KPI tracker'!$F$142</c:f>
              <c:strCache>
                <c:ptCount val="1"/>
                <c:pt idx="0">
                  <c:v>Target</c:v>
                </c:pt>
              </c:strCache>
            </c:strRef>
          </c:tx>
          <c:val>
            <c:numRef>
              <c:f>'KPI tracker'!$G$142:$AK$142</c:f>
              <c:numCache>
                <c:formatCode>0.00</c:formatCode>
                <c:ptCount val="31"/>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numCache>
            </c:numRef>
          </c:val>
          <c:smooth val="0"/>
          <c:extLst>
            <c:ext xmlns:c16="http://schemas.microsoft.com/office/drawing/2014/chart" uri="{C3380CC4-5D6E-409C-BE32-E72D297353CC}">
              <c16:uniqueId val="{00000000-416A-4639-BB8A-B0867772925D}"/>
            </c:ext>
          </c:extLst>
        </c:ser>
        <c:ser>
          <c:idx val="2"/>
          <c:order val="1"/>
          <c:tx>
            <c:strRef>
              <c:f>'KPI tracker'!$F$143</c:f>
              <c:strCache>
                <c:ptCount val="1"/>
                <c:pt idx="0">
                  <c:v>Actual</c:v>
                </c:pt>
              </c:strCache>
            </c:strRef>
          </c:tx>
          <c:val>
            <c:numRef>
              <c:f>'KPI tracker'!$G$143:$AK$143</c:f>
              <c:numCache>
                <c:formatCode>0.00</c:formatCode>
                <c:ptCount val="31"/>
                <c:pt idx="0">
                  <c:v>1.8492879746835444</c:v>
                </c:pt>
                <c:pt idx="1">
                  <c:v>1.9426092101370676</c:v>
                </c:pt>
                <c:pt idx="2">
                  <c:v>1.6681214237222384</c:v>
                </c:pt>
                <c:pt idx="3">
                  <c:v>1.836521077171948</c:v>
                </c:pt>
                <c:pt idx="4">
                  <c:v>2.165823871767961</c:v>
                </c:pt>
                <c:pt idx="5">
                  <c:v>1.9119351100811124</c:v>
                </c:pt>
                <c:pt idx="6">
                  <c:v>1.9010317157050056</c:v>
                </c:pt>
                <c:pt idx="7">
                  <c:v>1.9391363153318519</c:v>
                </c:pt>
                <c:pt idx="8">
                  <c:v>1.8981631293423431</c:v>
                </c:pt>
                <c:pt idx="9">
                  <c:v>1.8928639030853682</c:v>
                </c:pt>
                <c:pt idx="10">
                  <c:v>1.8718833908707326</c:v>
                </c:pt>
                <c:pt idx="11">
                  <c:v>1.9304682368396358</c:v>
                </c:pt>
                <c:pt idx="12">
                  <c:v>1.7725177645477244</c:v>
                </c:pt>
                <c:pt idx="13">
                  <c:v>1.7690646775934831</c:v>
                </c:pt>
                <c:pt idx="14">
                  <c:v>1.9160942100098135</c:v>
                </c:pt>
                <c:pt idx="15">
                  <c:v>2.030090563832895</c:v>
                </c:pt>
                <c:pt idx="16">
                  <c:v>1.8353078267624783</c:v>
                </c:pt>
                <c:pt idx="17">
                  <c:v>1.9556451612903223</c:v>
                </c:pt>
                <c:pt idx="18">
                  <c:v>1.7836142689141514</c:v>
                </c:pt>
                <c:pt idx="19">
                  <c:v>2.0614851485148513</c:v>
                </c:pt>
                <c:pt idx="20">
                  <c:v>1.9661773457647291</c:v>
                </c:pt>
                <c:pt idx="21">
                  <c:v>1.9359785317232128</c:v>
                </c:pt>
                <c:pt idx="22">
                  <c:v>1.8122065727699528</c:v>
                </c:pt>
                <c:pt idx="23">
                  <c:v>1.7873018850229765</c:v>
                </c:pt>
                <c:pt idx="24">
                  <c:v>1.8498459239891678</c:v>
                </c:pt>
                <c:pt idx="25">
                  <c:v>2.3729033546325877</c:v>
                </c:pt>
                <c:pt idx="26">
                  <c:v>2.5484427310540734</c:v>
                </c:pt>
                <c:pt idx="27">
                  <c:v>2.0893719806763285</c:v>
                </c:pt>
                <c:pt idx="28">
                  <c:v>2.0652069065303365</c:v>
                </c:pt>
                <c:pt idx="29">
                  <c:v>1.9174041297935103</c:v>
                </c:pt>
                <c:pt idx="30">
                  <c:v>0</c:v>
                </c:pt>
              </c:numCache>
            </c:numRef>
          </c:val>
          <c:smooth val="0"/>
          <c:extLst>
            <c:ext xmlns:c16="http://schemas.microsoft.com/office/drawing/2014/chart" uri="{C3380CC4-5D6E-409C-BE32-E72D297353CC}">
              <c16:uniqueId val="{00000001-416A-4639-BB8A-B0867772925D}"/>
            </c:ext>
          </c:extLst>
        </c:ser>
        <c:ser>
          <c:idx val="3"/>
          <c:order val="2"/>
          <c:tx>
            <c:strRef>
              <c:f>'KPI tracker'!$F$144</c:f>
              <c:strCache>
                <c:ptCount val="1"/>
                <c:pt idx="0">
                  <c:v>Upper Band</c:v>
                </c:pt>
              </c:strCache>
            </c:strRef>
          </c:tx>
          <c:val>
            <c:numRef>
              <c:f>'KPI tracker'!$G$144:$AK$144</c:f>
              <c:numCache>
                <c:formatCode>General</c:formatCode>
                <c:ptCount val="31"/>
                <c:pt idx="0">
                  <c:v>3.5</c:v>
                </c:pt>
                <c:pt idx="1">
                  <c:v>3.5</c:v>
                </c:pt>
                <c:pt idx="2">
                  <c:v>3.5</c:v>
                </c:pt>
                <c:pt idx="3">
                  <c:v>3.5</c:v>
                </c:pt>
                <c:pt idx="4">
                  <c:v>3.5</c:v>
                </c:pt>
                <c:pt idx="5">
                  <c:v>3.5</c:v>
                </c:pt>
                <c:pt idx="6">
                  <c:v>3.5</c:v>
                </c:pt>
                <c:pt idx="7">
                  <c:v>3.5</c:v>
                </c:pt>
                <c:pt idx="8">
                  <c:v>3.5</c:v>
                </c:pt>
                <c:pt idx="9">
                  <c:v>3.5</c:v>
                </c:pt>
                <c:pt idx="10">
                  <c:v>3.5</c:v>
                </c:pt>
                <c:pt idx="11">
                  <c:v>3.5</c:v>
                </c:pt>
                <c:pt idx="12">
                  <c:v>3.5</c:v>
                </c:pt>
                <c:pt idx="13">
                  <c:v>3.5</c:v>
                </c:pt>
                <c:pt idx="14">
                  <c:v>3.5</c:v>
                </c:pt>
                <c:pt idx="15">
                  <c:v>3.5</c:v>
                </c:pt>
                <c:pt idx="16">
                  <c:v>3.5</c:v>
                </c:pt>
                <c:pt idx="17">
                  <c:v>3.5</c:v>
                </c:pt>
                <c:pt idx="18">
                  <c:v>3.5</c:v>
                </c:pt>
                <c:pt idx="19">
                  <c:v>3.5</c:v>
                </c:pt>
                <c:pt idx="20">
                  <c:v>3.5</c:v>
                </c:pt>
                <c:pt idx="21">
                  <c:v>3.5</c:v>
                </c:pt>
                <c:pt idx="22">
                  <c:v>3.5</c:v>
                </c:pt>
                <c:pt idx="23">
                  <c:v>3.5</c:v>
                </c:pt>
                <c:pt idx="24">
                  <c:v>3.5</c:v>
                </c:pt>
                <c:pt idx="25">
                  <c:v>3.5</c:v>
                </c:pt>
                <c:pt idx="26">
                  <c:v>3.5</c:v>
                </c:pt>
                <c:pt idx="27">
                  <c:v>3.5</c:v>
                </c:pt>
                <c:pt idx="28">
                  <c:v>3.5</c:v>
                </c:pt>
                <c:pt idx="29">
                  <c:v>3.5</c:v>
                </c:pt>
                <c:pt idx="30">
                  <c:v>3.5</c:v>
                </c:pt>
              </c:numCache>
            </c:numRef>
          </c:val>
          <c:smooth val="0"/>
          <c:extLst>
            <c:ext xmlns:c16="http://schemas.microsoft.com/office/drawing/2014/chart" uri="{C3380CC4-5D6E-409C-BE32-E72D297353CC}">
              <c16:uniqueId val="{00000002-416A-4639-BB8A-B0867772925D}"/>
            </c:ext>
          </c:extLst>
        </c:ser>
        <c:ser>
          <c:idx val="4"/>
          <c:order val="3"/>
          <c:tx>
            <c:strRef>
              <c:f>'KPI tracker'!$F$145</c:f>
              <c:strCache>
                <c:ptCount val="1"/>
                <c:pt idx="0">
                  <c:v>Lower Band</c:v>
                </c:pt>
              </c:strCache>
            </c:strRef>
          </c:tx>
          <c:val>
            <c:numRef>
              <c:f>'KPI tracker'!$G$145:$AK$145</c:f>
              <c:numCache>
                <c:formatCode>General</c:formatCode>
                <c:ptCount val="31"/>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pt idx="19">
                  <c:v>2</c:v>
                </c:pt>
                <c:pt idx="20">
                  <c:v>2</c:v>
                </c:pt>
                <c:pt idx="21">
                  <c:v>2</c:v>
                </c:pt>
                <c:pt idx="22">
                  <c:v>2</c:v>
                </c:pt>
                <c:pt idx="23">
                  <c:v>2</c:v>
                </c:pt>
                <c:pt idx="24">
                  <c:v>2</c:v>
                </c:pt>
                <c:pt idx="25">
                  <c:v>2</c:v>
                </c:pt>
                <c:pt idx="26">
                  <c:v>2</c:v>
                </c:pt>
                <c:pt idx="27">
                  <c:v>2</c:v>
                </c:pt>
                <c:pt idx="28">
                  <c:v>2</c:v>
                </c:pt>
                <c:pt idx="29">
                  <c:v>2</c:v>
                </c:pt>
                <c:pt idx="30">
                  <c:v>2</c:v>
                </c:pt>
              </c:numCache>
            </c:numRef>
          </c:val>
          <c:smooth val="0"/>
          <c:extLst>
            <c:ext xmlns:c16="http://schemas.microsoft.com/office/drawing/2014/chart" uri="{C3380CC4-5D6E-409C-BE32-E72D297353CC}">
              <c16:uniqueId val="{00000003-416A-4639-BB8A-B0867772925D}"/>
            </c:ext>
          </c:extLst>
        </c:ser>
        <c:dLbls>
          <c:showLegendKey val="0"/>
          <c:showVal val="0"/>
          <c:showCatName val="0"/>
          <c:showSerName val="0"/>
          <c:showPercent val="0"/>
          <c:showBubbleSize val="0"/>
        </c:dLbls>
        <c:marker val="1"/>
        <c:smooth val="0"/>
        <c:axId val="555606472"/>
        <c:axId val="555606080"/>
      </c:lineChart>
      <c:catAx>
        <c:axId val="55560647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55606080"/>
        <c:crosses val="autoZero"/>
        <c:auto val="1"/>
        <c:lblAlgn val="ctr"/>
        <c:lblOffset val="100"/>
        <c:noMultiLvlLbl val="0"/>
      </c:catAx>
      <c:valAx>
        <c:axId val="555606080"/>
        <c:scaling>
          <c:orientation val="minMax"/>
          <c:max val="12"/>
          <c:min val="1.8"/>
        </c:scaling>
        <c:delete val="0"/>
        <c:axPos val="l"/>
        <c:majorGridlines/>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55606472"/>
        <c:crosses val="autoZero"/>
        <c:crossBetween val="between"/>
      </c:valAx>
    </c:plotArea>
    <c:legend>
      <c:legendPos val="r"/>
      <c:overlay val="0"/>
      <c:txPr>
        <a:bodyPr/>
        <a:lstStyle/>
        <a:p>
          <a:pPr>
            <a:defRPr sz="25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40" b="0" i="0" u="none" strike="noStrike" baseline="0">
                <a:solidFill>
                  <a:srgbClr val="000000"/>
                </a:solidFill>
                <a:latin typeface="Arial"/>
                <a:ea typeface="Arial"/>
                <a:cs typeface="Arial"/>
              </a:defRPr>
            </a:pPr>
            <a:r>
              <a:rPr lang="en-US"/>
              <a:t>Past Monthly Trends</a:t>
            </a:r>
          </a:p>
        </c:rich>
      </c:tx>
      <c:layout>
        <c:manualLayout>
          <c:xMode val="edge"/>
          <c:yMode val="edge"/>
          <c:x val="0.34070898705899982"/>
          <c:y val="4.2734979764956313E-2"/>
        </c:manualLayout>
      </c:layout>
      <c:overlay val="0"/>
      <c:spPr>
        <a:noFill/>
        <a:ln w="25400">
          <a:noFill/>
        </a:ln>
      </c:spPr>
    </c:title>
    <c:autoTitleDeleted val="0"/>
    <c:plotArea>
      <c:layout>
        <c:manualLayout>
          <c:layoutTarget val="inner"/>
          <c:xMode val="edge"/>
          <c:yMode val="edge"/>
          <c:x val="0.12500036330555717"/>
          <c:y val="0.20000076593430582"/>
          <c:w val="0.78869276847554082"/>
          <c:h val="0.59608071415714659"/>
        </c:manualLayout>
      </c:layout>
      <c:barChart>
        <c:barDir val="col"/>
        <c:grouping val="clustered"/>
        <c:varyColors val="0"/>
        <c:ser>
          <c:idx val="0"/>
          <c:order val="0"/>
          <c:spPr>
            <a:solidFill>
              <a:srgbClr val="CC6600"/>
            </a:solidFill>
            <a:ln w="12700">
              <a:noFill/>
              <a:prstDash val="solid"/>
            </a:ln>
          </c:spPr>
          <c:invertIfNegative val="0"/>
          <c:dLbls>
            <c:spPr>
              <a:noFill/>
              <a:ln w="25400">
                <a:noFill/>
              </a:ln>
            </c:spPr>
            <c:txPr>
              <a:bodyPr/>
              <a:lstStyle/>
              <a:p>
                <a:pPr>
                  <a:defRPr sz="800" b="0"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 tracker'!$C$136:$E$136</c:f>
              <c:strCache>
                <c:ptCount val="3"/>
                <c:pt idx="0">
                  <c:v>Jan'24</c:v>
                </c:pt>
                <c:pt idx="1">
                  <c:v>#REF!</c:v>
                </c:pt>
                <c:pt idx="2">
                  <c:v>Feb'24</c:v>
                </c:pt>
              </c:strCache>
            </c:strRef>
          </c:cat>
          <c:val>
            <c:numRef>
              <c:f>'KPI tracker'!$C$137:$E$137</c:f>
              <c:numCache>
                <c:formatCode>0.00</c:formatCode>
                <c:ptCount val="3"/>
                <c:pt idx="0">
                  <c:v>2.5</c:v>
                </c:pt>
                <c:pt idx="1">
                  <c:v>2.5</c:v>
                </c:pt>
                <c:pt idx="2">
                  <c:v>2.5</c:v>
                </c:pt>
              </c:numCache>
            </c:numRef>
          </c:val>
          <c:extLst>
            <c:ext xmlns:c16="http://schemas.microsoft.com/office/drawing/2014/chart" uri="{C3380CC4-5D6E-409C-BE32-E72D297353CC}">
              <c16:uniqueId val="{00000000-0FA7-4E1E-B881-4A6AAF16EC3E}"/>
            </c:ext>
          </c:extLst>
        </c:ser>
        <c:ser>
          <c:idx val="1"/>
          <c:order val="1"/>
          <c:spPr>
            <a:solidFill>
              <a:srgbClr val="00B0F0"/>
            </a:solidFill>
            <a:ln w="12700">
              <a:noFill/>
              <a:prstDash val="solid"/>
            </a:ln>
          </c:spPr>
          <c:invertIfNegative val="0"/>
          <c:dLbls>
            <c:dLbl>
              <c:idx val="0"/>
              <c:layout>
                <c:manualLayout>
                  <c:x val="-4.5557688218374722E-3"/>
                  <c:y val="-2.330708661417329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FA7-4E1E-B881-4A6AAF16EC3E}"/>
                </c:ext>
              </c:extLst>
            </c:dLbl>
            <c:dLbl>
              <c:idx val="1"/>
              <c:layout>
                <c:manualLayout>
                  <c:x val="-2.6734451768866611E-3"/>
                  <c:y val="-8.489115331171850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FA7-4E1E-B881-4A6AAF16EC3E}"/>
                </c:ext>
              </c:extLst>
            </c:dLbl>
            <c:dLbl>
              <c:idx val="2"/>
              <c:layout>
                <c:manualLayout>
                  <c:x val="2.9343544000626811E-4"/>
                  <c:y val="-8.8024291081305567E-4"/>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FA7-4E1E-B881-4A6AAF16EC3E}"/>
                </c:ext>
              </c:extLst>
            </c:dLbl>
            <c:spPr>
              <a:noFill/>
              <a:ln w="25400">
                <a:noFill/>
              </a:ln>
            </c:spPr>
            <c:txPr>
              <a:bodyPr/>
              <a:lstStyle/>
              <a:p>
                <a:pPr>
                  <a:defRPr sz="800" b="1" i="0" u="none" strike="noStrike" baseline="0">
                    <a:solidFill>
                      <a:srgbClr val="0066CC"/>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 tracker'!$C$136:$E$136</c:f>
              <c:strCache>
                <c:ptCount val="3"/>
                <c:pt idx="0">
                  <c:v>Jan'24</c:v>
                </c:pt>
                <c:pt idx="1">
                  <c:v>#REF!</c:v>
                </c:pt>
                <c:pt idx="2">
                  <c:v>Feb'24</c:v>
                </c:pt>
              </c:strCache>
            </c:strRef>
          </c:cat>
          <c:val>
            <c:numRef>
              <c:f>'KPI tracker'!$C$138:$E$138</c:f>
              <c:numCache>
                <c:formatCode>0.00</c:formatCode>
                <c:ptCount val="3"/>
                <c:pt idx="0">
                  <c:v>2.9</c:v>
                </c:pt>
                <c:pt idx="1">
                  <c:v>3.16</c:v>
                </c:pt>
                <c:pt idx="2">
                  <c:v>3.6</c:v>
                </c:pt>
              </c:numCache>
            </c:numRef>
          </c:val>
          <c:extLst>
            <c:ext xmlns:c16="http://schemas.microsoft.com/office/drawing/2014/chart" uri="{C3380CC4-5D6E-409C-BE32-E72D297353CC}">
              <c16:uniqueId val="{00000004-0FA7-4E1E-B881-4A6AAF16EC3E}"/>
            </c:ext>
          </c:extLst>
        </c:ser>
        <c:dLbls>
          <c:showLegendKey val="0"/>
          <c:showVal val="1"/>
          <c:showCatName val="0"/>
          <c:showSerName val="0"/>
          <c:showPercent val="0"/>
          <c:showBubbleSize val="0"/>
        </c:dLbls>
        <c:gapWidth val="150"/>
        <c:axId val="555606864"/>
        <c:axId val="555613136"/>
      </c:barChart>
      <c:catAx>
        <c:axId val="555606864"/>
        <c:scaling>
          <c:orientation val="minMax"/>
        </c:scaling>
        <c:delete val="0"/>
        <c:axPos val="b"/>
        <c:numFmt formatCode="[$-409]mmm\-yy;@"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555613136"/>
        <c:crosses val="autoZero"/>
        <c:auto val="1"/>
        <c:lblAlgn val="ctr"/>
        <c:lblOffset val="100"/>
        <c:noMultiLvlLbl val="0"/>
      </c:catAx>
      <c:valAx>
        <c:axId val="555613136"/>
        <c:scaling>
          <c:orientation val="minMax"/>
        </c:scaling>
        <c:delete val="0"/>
        <c:axPos val="l"/>
        <c:numFmt formatCode="0.00" sourceLinked="1"/>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555606864"/>
        <c:crosses val="autoZero"/>
        <c:crossBetween val="between"/>
      </c:valAx>
      <c:spPr>
        <a:solidFill>
          <a:sysClr val="window" lastClr="FFFFFF"/>
        </a:solidFill>
        <a:ln w="12700">
          <a:solidFill>
            <a:srgbClr val="808080"/>
          </a:solidFill>
          <a:prstDash val="solid"/>
        </a:ln>
      </c:spPr>
    </c:plotArea>
    <c:plotVisOnly val="1"/>
    <c:dispBlanksAs val="gap"/>
    <c:showDLblsOverMax val="0"/>
  </c:chart>
  <c:spPr>
    <a:solidFill>
      <a:schemeClr val="accent5">
        <a:lumMod val="20000"/>
        <a:lumOff val="80000"/>
      </a:schemeClr>
    </a:solidFill>
    <a:ln w="3175">
      <a:solidFill>
        <a:srgbClr val="000000"/>
      </a:solidFill>
      <a:prstDash val="solid"/>
    </a:ln>
  </c:spPr>
  <c:txPr>
    <a:bodyPr/>
    <a:lstStyle/>
    <a:p>
      <a:pPr>
        <a:defRPr sz="7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5069168151021292E-2"/>
          <c:y val="1.7250939038980551E-2"/>
          <c:w val="0.93187320004661167"/>
          <c:h val="0.89779739016721849"/>
        </c:manualLayout>
      </c:layout>
      <c:lineChart>
        <c:grouping val="standard"/>
        <c:varyColors val="0"/>
        <c:ser>
          <c:idx val="1"/>
          <c:order val="0"/>
          <c:tx>
            <c:strRef>
              <c:f>'KPI tracker'!$F$176</c:f>
              <c:strCache>
                <c:ptCount val="1"/>
                <c:pt idx="0">
                  <c:v>Target</c:v>
                </c:pt>
              </c:strCache>
            </c:strRef>
          </c:tx>
          <c:val>
            <c:numRef>
              <c:f>'KPI tracker'!$G$176:$AK$176</c:f>
              <c:numCache>
                <c:formatCode>0.00</c:formatCode>
                <c:ptCount val="31"/>
                <c:pt idx="0">
                  <c:v>2.3548387096774195</c:v>
                </c:pt>
                <c:pt idx="1">
                  <c:v>2.3548387096774195</c:v>
                </c:pt>
                <c:pt idx="2">
                  <c:v>2.3548387096774195</c:v>
                </c:pt>
                <c:pt idx="3">
                  <c:v>2.3548387096774195</c:v>
                </c:pt>
                <c:pt idx="4">
                  <c:v>2.3548387096774195</c:v>
                </c:pt>
                <c:pt idx="5">
                  <c:v>2.3548387096774195</c:v>
                </c:pt>
                <c:pt idx="6">
                  <c:v>2.3548387096774195</c:v>
                </c:pt>
                <c:pt idx="7">
                  <c:v>2.3548387096774195</c:v>
                </c:pt>
                <c:pt idx="8">
                  <c:v>2.3548387096774195</c:v>
                </c:pt>
                <c:pt idx="9">
                  <c:v>2.3548387096774195</c:v>
                </c:pt>
                <c:pt idx="10">
                  <c:v>2.3548387096774195</c:v>
                </c:pt>
                <c:pt idx="11">
                  <c:v>2.3548387096774195</c:v>
                </c:pt>
                <c:pt idx="12">
                  <c:v>2.3548387096774195</c:v>
                </c:pt>
                <c:pt idx="13">
                  <c:v>2.3548387096774195</c:v>
                </c:pt>
                <c:pt idx="14">
                  <c:v>2.3548387096774195</c:v>
                </c:pt>
                <c:pt idx="15">
                  <c:v>2.3548387096774195</c:v>
                </c:pt>
                <c:pt idx="16">
                  <c:v>2.3548387096774195</c:v>
                </c:pt>
                <c:pt idx="17">
                  <c:v>2.3548387096774195</c:v>
                </c:pt>
                <c:pt idx="18">
                  <c:v>2.3548387096774195</c:v>
                </c:pt>
                <c:pt idx="19">
                  <c:v>2.3548387096774195</c:v>
                </c:pt>
                <c:pt idx="20">
                  <c:v>2.3548387096774195</c:v>
                </c:pt>
                <c:pt idx="21">
                  <c:v>2.3548387096774195</c:v>
                </c:pt>
                <c:pt idx="22">
                  <c:v>2.3548387096774195</c:v>
                </c:pt>
                <c:pt idx="23">
                  <c:v>2.3548387096774195</c:v>
                </c:pt>
                <c:pt idx="24">
                  <c:v>2.3548387096774195</c:v>
                </c:pt>
                <c:pt idx="25">
                  <c:v>2.3548387096774195</c:v>
                </c:pt>
                <c:pt idx="26">
                  <c:v>2.3548387096774195</c:v>
                </c:pt>
                <c:pt idx="27">
                  <c:v>2.3548387096774195</c:v>
                </c:pt>
                <c:pt idx="28">
                  <c:v>2.3548387096774195</c:v>
                </c:pt>
                <c:pt idx="29">
                  <c:v>2.3548387096774195</c:v>
                </c:pt>
                <c:pt idx="30">
                  <c:v>2.3548387096774195</c:v>
                </c:pt>
              </c:numCache>
            </c:numRef>
          </c:val>
          <c:smooth val="0"/>
          <c:extLst>
            <c:ext xmlns:c16="http://schemas.microsoft.com/office/drawing/2014/chart" uri="{C3380CC4-5D6E-409C-BE32-E72D297353CC}">
              <c16:uniqueId val="{00000000-1430-4CAC-B289-CFBE587110D6}"/>
            </c:ext>
          </c:extLst>
        </c:ser>
        <c:ser>
          <c:idx val="2"/>
          <c:order val="1"/>
          <c:tx>
            <c:strRef>
              <c:f>'KPI tracker'!$F$177</c:f>
              <c:strCache>
                <c:ptCount val="1"/>
                <c:pt idx="0">
                  <c:v>Actual</c:v>
                </c:pt>
              </c:strCache>
            </c:strRef>
          </c:tx>
          <c:val>
            <c:numRef>
              <c:f>'KPI tracker'!$G$177:$AK$177</c:f>
              <c:numCache>
                <c:formatCode>0.00</c:formatCode>
                <c:ptCount val="31"/>
                <c:pt idx="0">
                  <c:v>2.3784200000000002</c:v>
                </c:pt>
                <c:pt idx="1">
                  <c:v>2.3952100000000001</c:v>
                </c:pt>
                <c:pt idx="2">
                  <c:v>2.4068200000000002</c:v>
                </c:pt>
                <c:pt idx="3">
                  <c:v>2.5015399999999999</c:v>
                </c:pt>
                <c:pt idx="4">
                  <c:v>2.5185399999999998</c:v>
                </c:pt>
                <c:pt idx="5">
                  <c:v>2.4899300000000002</c:v>
                </c:pt>
                <c:pt idx="6">
                  <c:v>2.48861</c:v>
                </c:pt>
                <c:pt idx="7">
                  <c:v>2.4523700000000002</c:v>
                </c:pt>
                <c:pt idx="8">
                  <c:v>2.5040200000000001</c:v>
                </c:pt>
                <c:pt idx="9">
                  <c:v>2.5394700000000001</c:v>
                </c:pt>
                <c:pt idx="10">
                  <c:v>2.5165099999999998</c:v>
                </c:pt>
                <c:pt idx="11">
                  <c:v>2.4936099999999999</c:v>
                </c:pt>
                <c:pt idx="12">
                  <c:v>2.4675500000000001</c:v>
                </c:pt>
                <c:pt idx="13">
                  <c:v>2.3702200000000002</c:v>
                </c:pt>
                <c:pt idx="14">
                  <c:v>2.3856199999999999</c:v>
                </c:pt>
                <c:pt idx="15">
                  <c:v>2.39737</c:v>
                </c:pt>
                <c:pt idx="16">
                  <c:v>2.4313400000000001</c:v>
                </c:pt>
                <c:pt idx="17">
                  <c:v>2.4270399999999999</c:v>
                </c:pt>
                <c:pt idx="18">
                  <c:v>2.3576700000000002</c:v>
                </c:pt>
                <c:pt idx="19">
                  <c:v>2.3359000000000001</c:v>
                </c:pt>
                <c:pt idx="20">
                  <c:v>2.30463</c:v>
                </c:pt>
                <c:pt idx="21">
                  <c:v>2.44651</c:v>
                </c:pt>
                <c:pt idx="22">
                  <c:v>2.51695</c:v>
                </c:pt>
                <c:pt idx="23">
                  <c:v>2.56785</c:v>
                </c:pt>
                <c:pt idx="24">
                  <c:v>2.5918999999999999</c:v>
                </c:pt>
                <c:pt idx="25">
                  <c:v>2.3065500000000001</c:v>
                </c:pt>
                <c:pt idx="26">
                  <c:v>2.2482600000000001</c:v>
                </c:pt>
                <c:pt idx="27">
                  <c:v>2.2524899999999999</c:v>
                </c:pt>
                <c:pt idx="28">
                  <c:v>2.33392</c:v>
                </c:pt>
                <c:pt idx="29">
                  <c:v>2.5643199999999999</c:v>
                </c:pt>
                <c:pt idx="30">
                  <c:v>0</c:v>
                </c:pt>
              </c:numCache>
            </c:numRef>
          </c:val>
          <c:smooth val="0"/>
          <c:extLst>
            <c:ext xmlns:c16="http://schemas.microsoft.com/office/drawing/2014/chart" uri="{C3380CC4-5D6E-409C-BE32-E72D297353CC}">
              <c16:uniqueId val="{00000001-1430-4CAC-B289-CFBE587110D6}"/>
            </c:ext>
          </c:extLst>
        </c:ser>
        <c:ser>
          <c:idx val="3"/>
          <c:order val="2"/>
          <c:tx>
            <c:strRef>
              <c:f>'KPI tracker'!$F$178</c:f>
              <c:strCache>
                <c:ptCount val="1"/>
                <c:pt idx="0">
                  <c:v>Upper Band</c:v>
                </c:pt>
              </c:strCache>
            </c:strRef>
          </c:tx>
          <c:val>
            <c:numRef>
              <c:f>'KPI tracker'!$G$178:$AK$178</c:f>
              <c:numCache>
                <c:formatCode>General</c:formatCode>
                <c:ptCount val="31"/>
                <c:pt idx="0">
                  <c:v>2.6</c:v>
                </c:pt>
                <c:pt idx="1">
                  <c:v>2.6</c:v>
                </c:pt>
                <c:pt idx="2">
                  <c:v>2.6</c:v>
                </c:pt>
                <c:pt idx="3">
                  <c:v>2.6</c:v>
                </c:pt>
                <c:pt idx="4">
                  <c:v>2.6</c:v>
                </c:pt>
                <c:pt idx="5">
                  <c:v>2.6</c:v>
                </c:pt>
                <c:pt idx="6">
                  <c:v>2.6</c:v>
                </c:pt>
                <c:pt idx="7">
                  <c:v>2.6</c:v>
                </c:pt>
                <c:pt idx="8">
                  <c:v>2.6</c:v>
                </c:pt>
                <c:pt idx="9">
                  <c:v>2.6</c:v>
                </c:pt>
                <c:pt idx="10">
                  <c:v>2.6</c:v>
                </c:pt>
                <c:pt idx="11">
                  <c:v>2.6</c:v>
                </c:pt>
                <c:pt idx="12">
                  <c:v>2.6</c:v>
                </c:pt>
                <c:pt idx="13">
                  <c:v>2.6</c:v>
                </c:pt>
                <c:pt idx="14">
                  <c:v>2.6</c:v>
                </c:pt>
                <c:pt idx="15">
                  <c:v>2.6</c:v>
                </c:pt>
                <c:pt idx="16">
                  <c:v>2.6</c:v>
                </c:pt>
                <c:pt idx="17">
                  <c:v>2.6</c:v>
                </c:pt>
                <c:pt idx="18">
                  <c:v>2.6</c:v>
                </c:pt>
                <c:pt idx="19">
                  <c:v>2.6</c:v>
                </c:pt>
                <c:pt idx="20">
                  <c:v>2.6</c:v>
                </c:pt>
                <c:pt idx="21">
                  <c:v>2.6</c:v>
                </c:pt>
                <c:pt idx="22">
                  <c:v>2.6</c:v>
                </c:pt>
                <c:pt idx="23">
                  <c:v>2.6</c:v>
                </c:pt>
                <c:pt idx="24">
                  <c:v>2.6</c:v>
                </c:pt>
                <c:pt idx="25">
                  <c:v>2.6</c:v>
                </c:pt>
                <c:pt idx="26">
                  <c:v>2.6</c:v>
                </c:pt>
                <c:pt idx="27">
                  <c:v>2.6</c:v>
                </c:pt>
                <c:pt idx="28">
                  <c:v>2.6</c:v>
                </c:pt>
                <c:pt idx="29">
                  <c:v>2.6</c:v>
                </c:pt>
                <c:pt idx="30">
                  <c:v>2.6</c:v>
                </c:pt>
              </c:numCache>
            </c:numRef>
          </c:val>
          <c:smooth val="0"/>
          <c:extLst>
            <c:ext xmlns:c16="http://schemas.microsoft.com/office/drawing/2014/chart" uri="{C3380CC4-5D6E-409C-BE32-E72D297353CC}">
              <c16:uniqueId val="{00000002-1430-4CAC-B289-CFBE587110D6}"/>
            </c:ext>
          </c:extLst>
        </c:ser>
        <c:ser>
          <c:idx val="4"/>
          <c:order val="3"/>
          <c:tx>
            <c:strRef>
              <c:f>'KPI tracker'!$F$179</c:f>
              <c:strCache>
                <c:ptCount val="1"/>
                <c:pt idx="0">
                  <c:v>Lower Band</c:v>
                </c:pt>
              </c:strCache>
            </c:strRef>
          </c:tx>
          <c:val>
            <c:numRef>
              <c:f>'KPI tracker'!$G$179:$AK$179</c:f>
              <c:numCache>
                <c:formatCode>General</c:formatCode>
                <c:ptCount val="31"/>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pt idx="19">
                  <c:v>2</c:v>
                </c:pt>
                <c:pt idx="20">
                  <c:v>2</c:v>
                </c:pt>
                <c:pt idx="21">
                  <c:v>2</c:v>
                </c:pt>
                <c:pt idx="22">
                  <c:v>2</c:v>
                </c:pt>
                <c:pt idx="23">
                  <c:v>2</c:v>
                </c:pt>
                <c:pt idx="24">
                  <c:v>2</c:v>
                </c:pt>
                <c:pt idx="25">
                  <c:v>2</c:v>
                </c:pt>
                <c:pt idx="26">
                  <c:v>2</c:v>
                </c:pt>
                <c:pt idx="27">
                  <c:v>2</c:v>
                </c:pt>
                <c:pt idx="28">
                  <c:v>2</c:v>
                </c:pt>
                <c:pt idx="29">
                  <c:v>2</c:v>
                </c:pt>
                <c:pt idx="30">
                  <c:v>2</c:v>
                </c:pt>
              </c:numCache>
            </c:numRef>
          </c:val>
          <c:smooth val="0"/>
          <c:extLst>
            <c:ext xmlns:c16="http://schemas.microsoft.com/office/drawing/2014/chart" uri="{C3380CC4-5D6E-409C-BE32-E72D297353CC}">
              <c16:uniqueId val="{00000003-1430-4CAC-B289-CFBE587110D6}"/>
            </c:ext>
          </c:extLst>
        </c:ser>
        <c:dLbls>
          <c:showLegendKey val="0"/>
          <c:showVal val="0"/>
          <c:showCatName val="0"/>
          <c:showSerName val="0"/>
          <c:showPercent val="0"/>
          <c:showBubbleSize val="0"/>
        </c:dLbls>
        <c:marker val="1"/>
        <c:smooth val="0"/>
        <c:axId val="555609216"/>
        <c:axId val="555611568"/>
      </c:lineChart>
      <c:catAx>
        <c:axId val="555609216"/>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55611568"/>
        <c:crosses val="autoZero"/>
        <c:auto val="1"/>
        <c:lblAlgn val="ctr"/>
        <c:lblOffset val="100"/>
        <c:noMultiLvlLbl val="0"/>
      </c:catAx>
      <c:valAx>
        <c:axId val="555611568"/>
        <c:scaling>
          <c:orientation val="minMax"/>
          <c:max val="3"/>
          <c:min val="0.5"/>
        </c:scaling>
        <c:delete val="0"/>
        <c:axPos val="l"/>
        <c:majorGridlines/>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55609216"/>
        <c:crosses val="autoZero"/>
        <c:crossBetween val="between"/>
      </c:valAx>
    </c:plotArea>
    <c:legend>
      <c:legendPos val="r"/>
      <c:overlay val="0"/>
      <c:txPr>
        <a:bodyPr/>
        <a:lstStyle/>
        <a:p>
          <a:pPr>
            <a:defRPr sz="11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40" b="0" i="0" u="none" strike="noStrike" baseline="0">
                <a:solidFill>
                  <a:srgbClr val="000000"/>
                </a:solidFill>
                <a:latin typeface="Arial"/>
                <a:ea typeface="Arial"/>
                <a:cs typeface="Arial"/>
              </a:defRPr>
            </a:pPr>
            <a:r>
              <a:rPr lang="en-US"/>
              <a:t>Past Monthly Trends</a:t>
            </a:r>
          </a:p>
        </c:rich>
      </c:tx>
      <c:layout>
        <c:manualLayout>
          <c:xMode val="edge"/>
          <c:yMode val="edge"/>
          <c:x val="0.34070913372332279"/>
          <c:y val="4.2734969412870083E-2"/>
        </c:manualLayout>
      </c:layout>
      <c:overlay val="0"/>
      <c:spPr>
        <a:noFill/>
        <a:ln w="25400">
          <a:noFill/>
        </a:ln>
      </c:spPr>
    </c:title>
    <c:autoTitleDeleted val="0"/>
    <c:plotArea>
      <c:layout>
        <c:manualLayout>
          <c:layoutTarget val="inner"/>
          <c:xMode val="edge"/>
          <c:yMode val="edge"/>
          <c:x val="0.12500036330555717"/>
          <c:y val="0.20000076593430582"/>
          <c:w val="0.78869276847554082"/>
          <c:h val="0.59608071415714659"/>
        </c:manualLayout>
      </c:layout>
      <c:barChart>
        <c:barDir val="col"/>
        <c:grouping val="clustered"/>
        <c:varyColors val="0"/>
        <c:ser>
          <c:idx val="0"/>
          <c:order val="0"/>
          <c:spPr>
            <a:solidFill>
              <a:srgbClr val="CC6600"/>
            </a:solidFill>
            <a:ln w="12700">
              <a:noFill/>
              <a:prstDash val="solid"/>
            </a:ln>
          </c:spPr>
          <c:invertIfNegative val="0"/>
          <c:dLbls>
            <c:spPr>
              <a:noFill/>
              <a:ln w="25400">
                <a:noFill/>
              </a:ln>
            </c:spPr>
            <c:txPr>
              <a:bodyPr/>
              <a:lstStyle/>
              <a:p>
                <a:pPr>
                  <a:defRPr sz="800" b="0"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 tracker'!$C$170:$E$170</c:f>
              <c:strCache>
                <c:ptCount val="3"/>
                <c:pt idx="0">
                  <c:v>Jan'24</c:v>
                </c:pt>
                <c:pt idx="1">
                  <c:v>#REF!</c:v>
                </c:pt>
                <c:pt idx="2">
                  <c:v>Feb'24</c:v>
                </c:pt>
              </c:strCache>
            </c:strRef>
          </c:cat>
          <c:val>
            <c:numRef>
              <c:f>'KPI tracker'!$C$171:$E$171</c:f>
              <c:numCache>
                <c:formatCode>0.00</c:formatCode>
                <c:ptCount val="3"/>
                <c:pt idx="0">
                  <c:v>72.66</c:v>
                </c:pt>
                <c:pt idx="1">
                  <c:v>72.66</c:v>
                </c:pt>
                <c:pt idx="2">
                  <c:v>65.627359456438356</c:v>
                </c:pt>
              </c:numCache>
            </c:numRef>
          </c:val>
          <c:extLst>
            <c:ext xmlns:c16="http://schemas.microsoft.com/office/drawing/2014/chart" uri="{C3380CC4-5D6E-409C-BE32-E72D297353CC}">
              <c16:uniqueId val="{00000000-F77B-456E-89EB-9B0BF09F96BC}"/>
            </c:ext>
          </c:extLst>
        </c:ser>
        <c:ser>
          <c:idx val="1"/>
          <c:order val="1"/>
          <c:spPr>
            <a:solidFill>
              <a:srgbClr val="00B0F0"/>
            </a:solidFill>
            <a:ln w="12700">
              <a:noFill/>
              <a:prstDash val="solid"/>
            </a:ln>
          </c:spPr>
          <c:invertIfNegative val="0"/>
          <c:dLbls>
            <c:dLbl>
              <c:idx val="0"/>
              <c:layout>
                <c:manualLayout>
                  <c:x val="-4.5557688218374722E-3"/>
                  <c:y val="-2.330708661417329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77B-456E-89EB-9B0BF09F96BC}"/>
                </c:ext>
              </c:extLst>
            </c:dLbl>
            <c:dLbl>
              <c:idx val="1"/>
              <c:layout>
                <c:manualLayout>
                  <c:x val="-2.6734451768866611E-3"/>
                  <c:y val="-8.489115331171850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77B-456E-89EB-9B0BF09F96BC}"/>
                </c:ext>
              </c:extLst>
            </c:dLbl>
            <c:dLbl>
              <c:idx val="2"/>
              <c:layout>
                <c:manualLayout>
                  <c:x val="2.9343544000626811E-4"/>
                  <c:y val="-8.8024291081305567E-4"/>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77B-456E-89EB-9B0BF09F96BC}"/>
                </c:ext>
              </c:extLst>
            </c:dLbl>
            <c:spPr>
              <a:noFill/>
              <a:ln w="25400">
                <a:noFill/>
              </a:ln>
            </c:spPr>
            <c:txPr>
              <a:bodyPr/>
              <a:lstStyle/>
              <a:p>
                <a:pPr>
                  <a:defRPr sz="800" b="1" i="0" u="none" strike="noStrike" baseline="0">
                    <a:solidFill>
                      <a:srgbClr val="0066CC"/>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 tracker'!$C$170:$E$170</c:f>
              <c:strCache>
                <c:ptCount val="3"/>
                <c:pt idx="0">
                  <c:v>Jan'24</c:v>
                </c:pt>
                <c:pt idx="1">
                  <c:v>#REF!</c:v>
                </c:pt>
                <c:pt idx="2">
                  <c:v>Feb'24</c:v>
                </c:pt>
              </c:strCache>
            </c:strRef>
          </c:cat>
          <c:val>
            <c:numRef>
              <c:f>'KPI tracker'!$C$172:$E$172</c:f>
              <c:numCache>
                <c:formatCode>0.00</c:formatCode>
                <c:ptCount val="3"/>
                <c:pt idx="0">
                  <c:v>66.819999999999993</c:v>
                </c:pt>
                <c:pt idx="1">
                  <c:v>64.06</c:v>
                </c:pt>
                <c:pt idx="2">
                  <c:v>60.566699999999997</c:v>
                </c:pt>
              </c:numCache>
            </c:numRef>
          </c:val>
          <c:extLst>
            <c:ext xmlns:c16="http://schemas.microsoft.com/office/drawing/2014/chart" uri="{C3380CC4-5D6E-409C-BE32-E72D297353CC}">
              <c16:uniqueId val="{00000004-F77B-456E-89EB-9B0BF09F96BC}"/>
            </c:ext>
          </c:extLst>
        </c:ser>
        <c:dLbls>
          <c:showLegendKey val="0"/>
          <c:showVal val="1"/>
          <c:showCatName val="0"/>
          <c:showSerName val="0"/>
          <c:showPercent val="0"/>
          <c:showBubbleSize val="0"/>
        </c:dLbls>
        <c:gapWidth val="150"/>
        <c:axId val="557808904"/>
        <c:axId val="557812432"/>
      </c:barChart>
      <c:catAx>
        <c:axId val="557808904"/>
        <c:scaling>
          <c:orientation val="minMax"/>
        </c:scaling>
        <c:delete val="0"/>
        <c:axPos val="b"/>
        <c:numFmt formatCode="[$-409]mmm\-yy;@"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557812432"/>
        <c:crosses val="autoZero"/>
        <c:auto val="1"/>
        <c:lblAlgn val="ctr"/>
        <c:lblOffset val="100"/>
        <c:noMultiLvlLbl val="0"/>
      </c:catAx>
      <c:valAx>
        <c:axId val="557812432"/>
        <c:scaling>
          <c:orientation val="minMax"/>
        </c:scaling>
        <c:delete val="0"/>
        <c:axPos val="l"/>
        <c:numFmt formatCode="0.00" sourceLinked="1"/>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557808904"/>
        <c:crosses val="autoZero"/>
        <c:crossBetween val="between"/>
      </c:valAx>
      <c:spPr>
        <a:solidFill>
          <a:sysClr val="window" lastClr="FFFFFF"/>
        </a:solidFill>
        <a:ln w="12700">
          <a:solidFill>
            <a:srgbClr val="808080"/>
          </a:solidFill>
          <a:prstDash val="solid"/>
        </a:ln>
      </c:spPr>
    </c:plotArea>
    <c:plotVisOnly val="1"/>
    <c:dispBlanksAs val="gap"/>
    <c:showDLblsOverMax val="0"/>
  </c:chart>
  <c:spPr>
    <a:solidFill>
      <a:schemeClr val="accent5">
        <a:lumMod val="20000"/>
        <a:lumOff val="80000"/>
      </a:schemeClr>
    </a:solidFill>
    <a:ln w="3175">
      <a:solidFill>
        <a:srgbClr val="000000"/>
      </a:solidFill>
      <a:prstDash val="solid"/>
    </a:ln>
  </c:spPr>
  <c:txPr>
    <a:bodyPr/>
    <a:lstStyle/>
    <a:p>
      <a:pPr>
        <a:defRPr sz="7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893207126550933E-2"/>
          <c:y val="6.1032005327692304E-2"/>
          <c:w val="0.93187320004661167"/>
          <c:h val="0.89779739016721849"/>
        </c:manualLayout>
      </c:layout>
      <c:lineChart>
        <c:grouping val="standard"/>
        <c:varyColors val="0"/>
        <c:ser>
          <c:idx val="1"/>
          <c:order val="0"/>
          <c:tx>
            <c:strRef>
              <c:f>'KPI tracker'!$F$209</c:f>
              <c:strCache>
                <c:ptCount val="1"/>
                <c:pt idx="0">
                  <c:v>Target</c:v>
                </c:pt>
              </c:strCache>
            </c:strRef>
          </c:tx>
          <c:val>
            <c:numRef>
              <c:f>'KPI tracker'!$G$209:$AK$209</c:f>
              <c:numCache>
                <c:formatCode>0.00</c:formatCode>
                <c:ptCount val="31"/>
                <c:pt idx="0">
                  <c:v>2.3548387096774195</c:v>
                </c:pt>
                <c:pt idx="1">
                  <c:v>2.3548387096774195</c:v>
                </c:pt>
                <c:pt idx="2">
                  <c:v>2.3548387096774195</c:v>
                </c:pt>
                <c:pt idx="3">
                  <c:v>2.3548387096774195</c:v>
                </c:pt>
                <c:pt idx="4">
                  <c:v>2.3548387096774195</c:v>
                </c:pt>
                <c:pt idx="5">
                  <c:v>2.3548387096774195</c:v>
                </c:pt>
                <c:pt idx="6">
                  <c:v>2.3548387096774195</c:v>
                </c:pt>
                <c:pt idx="7">
                  <c:v>2.3548387096774195</c:v>
                </c:pt>
                <c:pt idx="8">
                  <c:v>2.3548387096774195</c:v>
                </c:pt>
                <c:pt idx="9">
                  <c:v>2.3548387096774195</c:v>
                </c:pt>
                <c:pt idx="10">
                  <c:v>2.3548387096774195</c:v>
                </c:pt>
                <c:pt idx="11">
                  <c:v>2.3548387096774195</c:v>
                </c:pt>
                <c:pt idx="12">
                  <c:v>2.3548387096774195</c:v>
                </c:pt>
                <c:pt idx="13">
                  <c:v>2.3548387096774195</c:v>
                </c:pt>
                <c:pt idx="14">
                  <c:v>2.3548387096774195</c:v>
                </c:pt>
                <c:pt idx="15">
                  <c:v>2.3548387096774195</c:v>
                </c:pt>
                <c:pt idx="16">
                  <c:v>2.3548387096774195</c:v>
                </c:pt>
                <c:pt idx="17">
                  <c:v>2.3548387096774195</c:v>
                </c:pt>
                <c:pt idx="18">
                  <c:v>2.3548387096774195</c:v>
                </c:pt>
                <c:pt idx="19">
                  <c:v>2.3548387096774195</c:v>
                </c:pt>
                <c:pt idx="20">
                  <c:v>2.3548387096774195</c:v>
                </c:pt>
                <c:pt idx="21">
                  <c:v>2.3548387096774195</c:v>
                </c:pt>
                <c:pt idx="22">
                  <c:v>2.3548387096774195</c:v>
                </c:pt>
                <c:pt idx="23">
                  <c:v>2.3548387096774195</c:v>
                </c:pt>
                <c:pt idx="24">
                  <c:v>2.3548387096774195</c:v>
                </c:pt>
                <c:pt idx="25">
                  <c:v>2.3548387096774195</c:v>
                </c:pt>
                <c:pt idx="26">
                  <c:v>2.3548387096774195</c:v>
                </c:pt>
                <c:pt idx="27">
                  <c:v>2.3548387096774195</c:v>
                </c:pt>
                <c:pt idx="28">
                  <c:v>2.3548387096774195</c:v>
                </c:pt>
                <c:pt idx="29">
                  <c:v>2.3548387096774195</c:v>
                </c:pt>
                <c:pt idx="30">
                  <c:v>2.3548387096774195</c:v>
                </c:pt>
              </c:numCache>
            </c:numRef>
          </c:val>
          <c:smooth val="0"/>
          <c:extLst>
            <c:ext xmlns:c16="http://schemas.microsoft.com/office/drawing/2014/chart" uri="{C3380CC4-5D6E-409C-BE32-E72D297353CC}">
              <c16:uniqueId val="{00000000-3672-449F-8C00-4ACD0B9B3F0F}"/>
            </c:ext>
          </c:extLst>
        </c:ser>
        <c:ser>
          <c:idx val="2"/>
          <c:order val="1"/>
          <c:tx>
            <c:strRef>
              <c:f>'KPI tracker'!$F$210</c:f>
              <c:strCache>
                <c:ptCount val="1"/>
                <c:pt idx="0">
                  <c:v>Actual</c:v>
                </c:pt>
              </c:strCache>
            </c:strRef>
          </c:tx>
          <c:val>
            <c:numRef>
              <c:f>'KPI tracker'!$G$210:$AK$210</c:f>
              <c:numCache>
                <c:formatCode>0.00</c:formatCode>
                <c:ptCount val="31"/>
                <c:pt idx="0">
                  <c:v>2.3784200000000002</c:v>
                </c:pt>
                <c:pt idx="1">
                  <c:v>2.3952100000000001</c:v>
                </c:pt>
                <c:pt idx="2">
                  <c:v>2.4068200000000002</c:v>
                </c:pt>
                <c:pt idx="3">
                  <c:v>2.5015399999999999</c:v>
                </c:pt>
                <c:pt idx="4">
                  <c:v>2.5185399999999998</c:v>
                </c:pt>
                <c:pt idx="5">
                  <c:v>2.4899300000000002</c:v>
                </c:pt>
                <c:pt idx="6">
                  <c:v>2.48861</c:v>
                </c:pt>
                <c:pt idx="7">
                  <c:v>2.4523700000000002</c:v>
                </c:pt>
                <c:pt idx="8">
                  <c:v>2.5040200000000001</c:v>
                </c:pt>
                <c:pt idx="9">
                  <c:v>2.5394700000000001</c:v>
                </c:pt>
                <c:pt idx="10">
                  <c:v>2.5165099999999998</c:v>
                </c:pt>
                <c:pt idx="11">
                  <c:v>2.4936099999999999</c:v>
                </c:pt>
                <c:pt idx="12">
                  <c:v>2.4675500000000001</c:v>
                </c:pt>
                <c:pt idx="13">
                  <c:v>2.3702200000000002</c:v>
                </c:pt>
                <c:pt idx="14">
                  <c:v>2.3856199999999999</c:v>
                </c:pt>
                <c:pt idx="15">
                  <c:v>2.39737</c:v>
                </c:pt>
                <c:pt idx="16">
                  <c:v>2.4313400000000001</c:v>
                </c:pt>
                <c:pt idx="17">
                  <c:v>2.4270399999999999</c:v>
                </c:pt>
                <c:pt idx="18">
                  <c:v>2.3576700000000002</c:v>
                </c:pt>
                <c:pt idx="19">
                  <c:v>2.3359000000000001</c:v>
                </c:pt>
                <c:pt idx="20">
                  <c:v>2.30463</c:v>
                </c:pt>
                <c:pt idx="21">
                  <c:v>2.44651</c:v>
                </c:pt>
                <c:pt idx="22">
                  <c:v>2.51695</c:v>
                </c:pt>
                <c:pt idx="23">
                  <c:v>2.56785</c:v>
                </c:pt>
                <c:pt idx="24">
                  <c:v>2.5918999999999999</c:v>
                </c:pt>
                <c:pt idx="25">
                  <c:v>2.3065500000000001</c:v>
                </c:pt>
                <c:pt idx="26">
                  <c:v>2.2482600000000001</c:v>
                </c:pt>
                <c:pt idx="27">
                  <c:v>2.2524899999999999</c:v>
                </c:pt>
                <c:pt idx="28">
                  <c:v>2.33392</c:v>
                </c:pt>
                <c:pt idx="29">
                  <c:v>2.5643199999999999</c:v>
                </c:pt>
                <c:pt idx="30">
                  <c:v>0</c:v>
                </c:pt>
              </c:numCache>
            </c:numRef>
          </c:val>
          <c:smooth val="0"/>
          <c:extLst>
            <c:ext xmlns:c16="http://schemas.microsoft.com/office/drawing/2014/chart" uri="{C3380CC4-5D6E-409C-BE32-E72D297353CC}">
              <c16:uniqueId val="{00000001-3672-449F-8C00-4ACD0B9B3F0F}"/>
            </c:ext>
          </c:extLst>
        </c:ser>
        <c:ser>
          <c:idx val="3"/>
          <c:order val="2"/>
          <c:tx>
            <c:strRef>
              <c:f>'KPI tracker'!$F$211</c:f>
              <c:strCache>
                <c:ptCount val="1"/>
                <c:pt idx="0">
                  <c:v>Upper Band</c:v>
                </c:pt>
              </c:strCache>
            </c:strRef>
          </c:tx>
          <c:val>
            <c:numRef>
              <c:f>'KPI tracker'!$G$211:$AK$211</c:f>
              <c:numCache>
                <c:formatCode>General</c:formatCode>
                <c:ptCount val="31"/>
                <c:pt idx="0">
                  <c:v>2.6</c:v>
                </c:pt>
                <c:pt idx="1">
                  <c:v>2.6</c:v>
                </c:pt>
                <c:pt idx="2">
                  <c:v>2.6</c:v>
                </c:pt>
                <c:pt idx="3">
                  <c:v>2.6</c:v>
                </c:pt>
                <c:pt idx="4">
                  <c:v>2.6</c:v>
                </c:pt>
                <c:pt idx="5">
                  <c:v>2.6</c:v>
                </c:pt>
                <c:pt idx="6">
                  <c:v>2.6</c:v>
                </c:pt>
                <c:pt idx="7">
                  <c:v>2.6</c:v>
                </c:pt>
                <c:pt idx="8">
                  <c:v>2.6</c:v>
                </c:pt>
                <c:pt idx="9">
                  <c:v>2.6</c:v>
                </c:pt>
                <c:pt idx="10">
                  <c:v>2.6</c:v>
                </c:pt>
                <c:pt idx="11">
                  <c:v>2.6</c:v>
                </c:pt>
                <c:pt idx="12">
                  <c:v>2.6</c:v>
                </c:pt>
                <c:pt idx="13">
                  <c:v>2.6</c:v>
                </c:pt>
                <c:pt idx="14">
                  <c:v>2.6</c:v>
                </c:pt>
                <c:pt idx="15">
                  <c:v>2.6</c:v>
                </c:pt>
                <c:pt idx="16">
                  <c:v>2.6</c:v>
                </c:pt>
                <c:pt idx="17">
                  <c:v>2.6</c:v>
                </c:pt>
                <c:pt idx="18">
                  <c:v>2.6</c:v>
                </c:pt>
                <c:pt idx="19">
                  <c:v>2.6</c:v>
                </c:pt>
                <c:pt idx="20">
                  <c:v>2.6</c:v>
                </c:pt>
                <c:pt idx="21">
                  <c:v>2.6</c:v>
                </c:pt>
                <c:pt idx="22">
                  <c:v>2.6</c:v>
                </c:pt>
                <c:pt idx="23">
                  <c:v>2.6</c:v>
                </c:pt>
                <c:pt idx="24">
                  <c:v>2.6</c:v>
                </c:pt>
                <c:pt idx="25">
                  <c:v>2.6</c:v>
                </c:pt>
                <c:pt idx="26">
                  <c:v>2.6</c:v>
                </c:pt>
                <c:pt idx="27">
                  <c:v>2.6</c:v>
                </c:pt>
                <c:pt idx="28">
                  <c:v>2.6</c:v>
                </c:pt>
                <c:pt idx="29">
                  <c:v>2.6</c:v>
                </c:pt>
                <c:pt idx="30">
                  <c:v>2.6</c:v>
                </c:pt>
              </c:numCache>
            </c:numRef>
          </c:val>
          <c:smooth val="0"/>
          <c:extLst>
            <c:ext xmlns:c16="http://schemas.microsoft.com/office/drawing/2014/chart" uri="{C3380CC4-5D6E-409C-BE32-E72D297353CC}">
              <c16:uniqueId val="{00000002-3672-449F-8C00-4ACD0B9B3F0F}"/>
            </c:ext>
          </c:extLst>
        </c:ser>
        <c:ser>
          <c:idx val="4"/>
          <c:order val="3"/>
          <c:tx>
            <c:strRef>
              <c:f>'KPI tracker'!$F$212</c:f>
              <c:strCache>
                <c:ptCount val="1"/>
                <c:pt idx="0">
                  <c:v>Lower Band</c:v>
                </c:pt>
              </c:strCache>
            </c:strRef>
          </c:tx>
          <c:val>
            <c:numRef>
              <c:f>'KPI tracker'!$G$212:$AK$212</c:f>
              <c:numCache>
                <c:formatCode>0.0</c:formatCode>
                <c:ptCount val="31"/>
                <c:pt idx="0">
                  <c:v>2.1193548387096777</c:v>
                </c:pt>
                <c:pt idx="1">
                  <c:v>2.1193548387096777</c:v>
                </c:pt>
                <c:pt idx="2">
                  <c:v>2.1193548387096777</c:v>
                </c:pt>
                <c:pt idx="3">
                  <c:v>2.1193548387096777</c:v>
                </c:pt>
                <c:pt idx="4">
                  <c:v>2.1193548387096777</c:v>
                </c:pt>
                <c:pt idx="5">
                  <c:v>2.1193548387096777</c:v>
                </c:pt>
                <c:pt idx="6">
                  <c:v>2.1193548387096777</c:v>
                </c:pt>
                <c:pt idx="7">
                  <c:v>2.1193548387096777</c:v>
                </c:pt>
                <c:pt idx="8">
                  <c:v>2.1193548387096777</c:v>
                </c:pt>
                <c:pt idx="9">
                  <c:v>2.1193548387096777</c:v>
                </c:pt>
                <c:pt idx="10">
                  <c:v>2.1193548387096777</c:v>
                </c:pt>
                <c:pt idx="11">
                  <c:v>2.1193548387096777</c:v>
                </c:pt>
                <c:pt idx="12">
                  <c:v>2.1193548387096777</c:v>
                </c:pt>
                <c:pt idx="13">
                  <c:v>2.1193548387096777</c:v>
                </c:pt>
                <c:pt idx="14">
                  <c:v>2.1193548387096777</c:v>
                </c:pt>
                <c:pt idx="15">
                  <c:v>2.1193548387096777</c:v>
                </c:pt>
                <c:pt idx="16">
                  <c:v>2.1193548387096777</c:v>
                </c:pt>
                <c:pt idx="17">
                  <c:v>2.1193548387096777</c:v>
                </c:pt>
                <c:pt idx="18">
                  <c:v>2.1193548387096777</c:v>
                </c:pt>
                <c:pt idx="19">
                  <c:v>2.1193548387096777</c:v>
                </c:pt>
                <c:pt idx="20">
                  <c:v>2.1193548387096777</c:v>
                </c:pt>
                <c:pt idx="21">
                  <c:v>2.1193548387096777</c:v>
                </c:pt>
                <c:pt idx="22">
                  <c:v>2.1193548387096777</c:v>
                </c:pt>
                <c:pt idx="23">
                  <c:v>2.1193548387096777</c:v>
                </c:pt>
                <c:pt idx="24">
                  <c:v>2.1193548387096777</c:v>
                </c:pt>
                <c:pt idx="25">
                  <c:v>2.1193548387096777</c:v>
                </c:pt>
                <c:pt idx="26">
                  <c:v>2.1193548387096777</c:v>
                </c:pt>
                <c:pt idx="27">
                  <c:v>2.1193548387096777</c:v>
                </c:pt>
                <c:pt idx="28">
                  <c:v>2.1193548387096777</c:v>
                </c:pt>
                <c:pt idx="29">
                  <c:v>2.1193548387096777</c:v>
                </c:pt>
                <c:pt idx="30">
                  <c:v>2.1193548387096777</c:v>
                </c:pt>
              </c:numCache>
            </c:numRef>
          </c:val>
          <c:smooth val="0"/>
          <c:extLst>
            <c:ext xmlns:c16="http://schemas.microsoft.com/office/drawing/2014/chart" uri="{C3380CC4-5D6E-409C-BE32-E72D297353CC}">
              <c16:uniqueId val="{00000003-3672-449F-8C00-4ACD0B9B3F0F}"/>
            </c:ext>
          </c:extLst>
        </c:ser>
        <c:dLbls>
          <c:showLegendKey val="0"/>
          <c:showVal val="0"/>
          <c:showCatName val="0"/>
          <c:showSerName val="0"/>
          <c:showPercent val="0"/>
          <c:showBubbleSize val="0"/>
        </c:dLbls>
        <c:marker val="1"/>
        <c:smooth val="0"/>
        <c:axId val="557813216"/>
        <c:axId val="557812824"/>
      </c:lineChart>
      <c:catAx>
        <c:axId val="557813216"/>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57812824"/>
        <c:crosses val="autoZero"/>
        <c:auto val="1"/>
        <c:lblAlgn val="ctr"/>
        <c:lblOffset val="100"/>
        <c:noMultiLvlLbl val="0"/>
      </c:catAx>
      <c:valAx>
        <c:axId val="557812824"/>
        <c:scaling>
          <c:orientation val="minMax"/>
          <c:max val="3"/>
          <c:min val="0.5"/>
        </c:scaling>
        <c:delete val="0"/>
        <c:axPos val="l"/>
        <c:majorGridlines/>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57813216"/>
        <c:crosses val="autoZero"/>
        <c:crossBetween val="between"/>
      </c:valAx>
    </c:plotArea>
    <c:legend>
      <c:legendPos val="r"/>
      <c:overlay val="0"/>
      <c:txPr>
        <a:bodyPr/>
        <a:lstStyle/>
        <a:p>
          <a:pPr>
            <a:defRPr sz="11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40" b="0" i="0" u="none" strike="noStrike" baseline="0">
                <a:solidFill>
                  <a:srgbClr val="000000"/>
                </a:solidFill>
                <a:latin typeface="Arial"/>
                <a:ea typeface="Arial"/>
                <a:cs typeface="Arial"/>
              </a:defRPr>
            </a:pPr>
            <a:r>
              <a:rPr lang="en-US"/>
              <a:t>Past Monthly Trends</a:t>
            </a:r>
          </a:p>
        </c:rich>
      </c:tx>
      <c:layout>
        <c:manualLayout>
          <c:xMode val="edge"/>
          <c:yMode val="edge"/>
          <c:x val="0.34070893482066938"/>
          <c:y val="4.2735138274730293E-2"/>
        </c:manualLayout>
      </c:layout>
      <c:overlay val="0"/>
      <c:spPr>
        <a:noFill/>
        <a:ln w="25400">
          <a:noFill/>
        </a:ln>
      </c:spPr>
    </c:title>
    <c:autoTitleDeleted val="0"/>
    <c:plotArea>
      <c:layout>
        <c:manualLayout>
          <c:layoutTarget val="inner"/>
          <c:xMode val="edge"/>
          <c:yMode val="edge"/>
          <c:x val="0.12500036330555717"/>
          <c:y val="0.20000076593430582"/>
          <c:w val="0.78869276847554082"/>
          <c:h val="0.59608071415714659"/>
        </c:manualLayout>
      </c:layout>
      <c:barChart>
        <c:barDir val="col"/>
        <c:grouping val="clustered"/>
        <c:varyColors val="0"/>
        <c:ser>
          <c:idx val="0"/>
          <c:order val="0"/>
          <c:spPr>
            <a:solidFill>
              <a:srgbClr val="CC6600"/>
            </a:solidFill>
            <a:ln w="12700">
              <a:noFill/>
              <a:prstDash val="solid"/>
            </a:ln>
          </c:spPr>
          <c:invertIfNegative val="0"/>
          <c:dLbls>
            <c:spPr>
              <a:noFill/>
              <a:ln w="25400">
                <a:noFill/>
              </a:ln>
            </c:spPr>
            <c:txPr>
              <a:bodyPr/>
              <a:lstStyle/>
              <a:p>
                <a:pPr>
                  <a:defRPr sz="800" b="0"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 tracker'!$C$203:$E$203</c:f>
              <c:strCache>
                <c:ptCount val="3"/>
                <c:pt idx="0">
                  <c:v>Jan'24</c:v>
                </c:pt>
                <c:pt idx="1">
                  <c:v>#REF!</c:v>
                </c:pt>
                <c:pt idx="2">
                  <c:v>Feb'24</c:v>
                </c:pt>
              </c:strCache>
            </c:strRef>
          </c:cat>
          <c:val>
            <c:numRef>
              <c:f>'KPI tracker'!$C$204:$E$204</c:f>
              <c:numCache>
                <c:formatCode>0.00</c:formatCode>
                <c:ptCount val="3"/>
                <c:pt idx="0">
                  <c:v>72.66</c:v>
                </c:pt>
                <c:pt idx="1">
                  <c:v>72.66</c:v>
                </c:pt>
                <c:pt idx="2">
                  <c:v>65.627359456438356</c:v>
                </c:pt>
              </c:numCache>
            </c:numRef>
          </c:val>
          <c:extLst>
            <c:ext xmlns:c16="http://schemas.microsoft.com/office/drawing/2014/chart" uri="{C3380CC4-5D6E-409C-BE32-E72D297353CC}">
              <c16:uniqueId val="{00000000-6919-4B65-9958-E0E67D55D282}"/>
            </c:ext>
          </c:extLst>
        </c:ser>
        <c:ser>
          <c:idx val="1"/>
          <c:order val="1"/>
          <c:spPr>
            <a:solidFill>
              <a:srgbClr val="00B0F0"/>
            </a:solidFill>
            <a:ln w="12700">
              <a:noFill/>
              <a:prstDash val="solid"/>
            </a:ln>
          </c:spPr>
          <c:invertIfNegative val="0"/>
          <c:dLbls>
            <c:dLbl>
              <c:idx val="0"/>
              <c:layout>
                <c:manualLayout>
                  <c:x val="-4.5557688218374722E-3"/>
                  <c:y val="-2.330708661417329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919-4B65-9958-E0E67D55D282}"/>
                </c:ext>
              </c:extLst>
            </c:dLbl>
            <c:dLbl>
              <c:idx val="1"/>
              <c:layout>
                <c:manualLayout>
                  <c:x val="-2.6734451768866611E-3"/>
                  <c:y val="-8.489115331171850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919-4B65-9958-E0E67D55D282}"/>
                </c:ext>
              </c:extLst>
            </c:dLbl>
            <c:dLbl>
              <c:idx val="2"/>
              <c:layout>
                <c:manualLayout>
                  <c:x val="2.9343544000626811E-4"/>
                  <c:y val="-8.8024291081305567E-4"/>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919-4B65-9958-E0E67D55D282}"/>
                </c:ext>
              </c:extLst>
            </c:dLbl>
            <c:spPr>
              <a:noFill/>
              <a:ln w="25400">
                <a:noFill/>
              </a:ln>
            </c:spPr>
            <c:txPr>
              <a:bodyPr/>
              <a:lstStyle/>
              <a:p>
                <a:pPr>
                  <a:defRPr sz="800" b="1" i="0" u="none" strike="noStrike" baseline="0">
                    <a:solidFill>
                      <a:srgbClr val="0066CC"/>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 tracker'!$C$203:$E$203</c:f>
              <c:strCache>
                <c:ptCount val="3"/>
                <c:pt idx="0">
                  <c:v>Jan'24</c:v>
                </c:pt>
                <c:pt idx="1">
                  <c:v>#REF!</c:v>
                </c:pt>
                <c:pt idx="2">
                  <c:v>Feb'24</c:v>
                </c:pt>
              </c:strCache>
            </c:strRef>
          </c:cat>
          <c:val>
            <c:numRef>
              <c:f>'KPI tracker'!$C$205:$E$205</c:f>
              <c:numCache>
                <c:formatCode>0.00</c:formatCode>
                <c:ptCount val="3"/>
                <c:pt idx="0">
                  <c:v>66.819999999999993</c:v>
                </c:pt>
                <c:pt idx="1">
                  <c:v>64.06</c:v>
                </c:pt>
                <c:pt idx="2">
                  <c:v>60.566699999999997</c:v>
                </c:pt>
              </c:numCache>
            </c:numRef>
          </c:val>
          <c:extLst>
            <c:ext xmlns:c16="http://schemas.microsoft.com/office/drawing/2014/chart" uri="{C3380CC4-5D6E-409C-BE32-E72D297353CC}">
              <c16:uniqueId val="{00000004-6919-4B65-9958-E0E67D55D282}"/>
            </c:ext>
          </c:extLst>
        </c:ser>
        <c:dLbls>
          <c:showLegendKey val="0"/>
          <c:showVal val="1"/>
          <c:showCatName val="0"/>
          <c:showSerName val="0"/>
          <c:showPercent val="0"/>
          <c:showBubbleSize val="0"/>
        </c:dLbls>
        <c:gapWidth val="150"/>
        <c:axId val="557812040"/>
        <c:axId val="557813608"/>
      </c:barChart>
      <c:catAx>
        <c:axId val="557812040"/>
        <c:scaling>
          <c:orientation val="minMax"/>
        </c:scaling>
        <c:delete val="0"/>
        <c:axPos val="b"/>
        <c:numFmt formatCode="[$-409]mmm\-yy;@"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557813608"/>
        <c:crosses val="autoZero"/>
        <c:auto val="1"/>
        <c:lblAlgn val="ctr"/>
        <c:lblOffset val="100"/>
        <c:noMultiLvlLbl val="0"/>
      </c:catAx>
      <c:valAx>
        <c:axId val="557813608"/>
        <c:scaling>
          <c:orientation val="minMax"/>
        </c:scaling>
        <c:delete val="0"/>
        <c:axPos val="l"/>
        <c:numFmt formatCode="0.00" sourceLinked="1"/>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557812040"/>
        <c:crosses val="autoZero"/>
        <c:crossBetween val="between"/>
      </c:valAx>
      <c:spPr>
        <a:solidFill>
          <a:sysClr val="window" lastClr="FFFFFF"/>
        </a:solidFill>
        <a:ln w="12700">
          <a:solidFill>
            <a:srgbClr val="808080"/>
          </a:solidFill>
          <a:prstDash val="solid"/>
        </a:ln>
      </c:spPr>
    </c:plotArea>
    <c:plotVisOnly val="1"/>
    <c:dispBlanksAs val="gap"/>
    <c:showDLblsOverMax val="0"/>
  </c:chart>
  <c:spPr>
    <a:solidFill>
      <a:schemeClr val="accent5">
        <a:lumMod val="20000"/>
        <a:lumOff val="80000"/>
      </a:schemeClr>
    </a:solidFill>
    <a:ln w="3175">
      <a:solidFill>
        <a:srgbClr val="000000"/>
      </a:solidFill>
      <a:prstDash val="solid"/>
    </a:ln>
  </c:spPr>
  <c:txPr>
    <a:bodyPr/>
    <a:lstStyle/>
    <a:p>
      <a:pPr>
        <a:defRPr sz="7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MU's</c:v>
          </c:tx>
          <c:spPr>
            <a:ln w="12700">
              <a:solidFill>
                <a:srgbClr val="000080"/>
              </a:solidFill>
              <a:prstDash val="solid"/>
            </a:ln>
          </c:spPr>
          <c:marker>
            <c:symbol val="diamond"/>
            <c:size val="5"/>
            <c:spPr>
              <a:solidFill>
                <a:srgbClr val="000080"/>
              </a:solidFill>
              <a:ln>
                <a:solidFill>
                  <a:srgbClr val="000080"/>
                </a:solidFill>
                <a:prstDash val="solid"/>
              </a:ln>
            </c:spPr>
          </c:marker>
          <c:val>
            <c:numLit>
              <c:formatCode>General</c:formatCode>
              <c:ptCount val="1"/>
              <c:pt idx="0">
                <c:v>0</c:v>
              </c:pt>
            </c:numLit>
          </c:val>
          <c:smooth val="0"/>
          <c:extLst>
            <c:ext xmlns:c16="http://schemas.microsoft.com/office/drawing/2014/chart" uri="{C3380CC4-5D6E-409C-BE32-E72D297353CC}">
              <c16:uniqueId val="{00000000-81A3-4D13-BECA-E91611490316}"/>
            </c:ext>
          </c:extLst>
        </c:ser>
        <c:dLbls>
          <c:showLegendKey val="0"/>
          <c:showVal val="0"/>
          <c:showCatName val="0"/>
          <c:showSerName val="0"/>
          <c:showPercent val="0"/>
          <c:showBubbleSize val="0"/>
        </c:dLbls>
        <c:marker val="1"/>
        <c:smooth val="0"/>
        <c:axId val="557806944"/>
        <c:axId val="557807336"/>
      </c:lineChart>
      <c:catAx>
        <c:axId val="5578069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00" b="0" i="0" u="none" strike="noStrike" baseline="0">
                <a:solidFill>
                  <a:srgbClr val="000000"/>
                </a:solidFill>
                <a:latin typeface="Arial"/>
                <a:ea typeface="Arial"/>
                <a:cs typeface="Arial"/>
              </a:defRPr>
            </a:pPr>
            <a:endParaRPr lang="en-US"/>
          </a:p>
        </c:txPr>
        <c:crossAx val="557807336"/>
        <c:crosses val="autoZero"/>
        <c:auto val="1"/>
        <c:lblAlgn val="ctr"/>
        <c:lblOffset val="100"/>
        <c:tickLblSkip val="1"/>
        <c:tickMarkSkip val="1"/>
        <c:noMultiLvlLbl val="0"/>
      </c:catAx>
      <c:valAx>
        <c:axId val="5578073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200" b="0" i="0" u="none" strike="noStrike" baseline="0">
                <a:solidFill>
                  <a:srgbClr val="000000"/>
                </a:solidFill>
                <a:latin typeface="Arial"/>
                <a:ea typeface="Arial"/>
                <a:cs typeface="Arial"/>
              </a:defRPr>
            </a:pPr>
            <a:endParaRPr lang="en-US"/>
          </a:p>
        </c:txPr>
        <c:crossAx val="557806944"/>
        <c:crosses val="autoZero"/>
        <c:crossBetween val="between"/>
      </c:valAx>
      <c:spPr>
        <a:solidFill>
          <a:srgbClr val="C0C0C0"/>
        </a:solidFill>
        <a:ln w="12700">
          <a:solidFill>
            <a:srgbClr val="808080"/>
          </a:solidFill>
          <a:prstDash val="solid"/>
        </a:ln>
      </c:spPr>
    </c:plotArea>
    <c:legend>
      <c:legendPos val="r"/>
      <c:overlay val="0"/>
      <c:spPr>
        <a:solidFill>
          <a:srgbClr val="FFFF99"/>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PLF-For the Date</c:v>
          </c:tx>
          <c:spPr>
            <a:ln w="12700">
              <a:solidFill>
                <a:srgbClr val="000080"/>
              </a:solidFill>
              <a:prstDash val="solid"/>
            </a:ln>
          </c:spPr>
          <c:marker>
            <c:symbol val="diamond"/>
            <c:size val="5"/>
            <c:spPr>
              <a:solidFill>
                <a:srgbClr val="000080"/>
              </a:solidFill>
              <a:ln>
                <a:solidFill>
                  <a:srgbClr val="000080"/>
                </a:solidFill>
                <a:prstDash val="solid"/>
              </a:ln>
            </c:spPr>
          </c:marker>
          <c:val>
            <c:numLit>
              <c:formatCode>General</c:formatCode>
              <c:ptCount val="1"/>
              <c:pt idx="0">
                <c:v>0</c:v>
              </c:pt>
            </c:numLit>
          </c:val>
          <c:smooth val="0"/>
          <c:extLst>
            <c:ext xmlns:c16="http://schemas.microsoft.com/office/drawing/2014/chart" uri="{C3380CC4-5D6E-409C-BE32-E72D297353CC}">
              <c16:uniqueId val="{00000000-9E57-401E-B402-2778174CF04A}"/>
            </c:ext>
          </c:extLst>
        </c:ser>
        <c:ser>
          <c:idx val="1"/>
          <c:order val="1"/>
          <c:tx>
            <c:v>PLF-For the Month</c:v>
          </c:tx>
          <c:spPr>
            <a:ln w="12700">
              <a:solidFill>
                <a:srgbClr val="FF00FF"/>
              </a:solidFill>
              <a:prstDash val="solid"/>
            </a:ln>
          </c:spPr>
          <c:marker>
            <c:symbol val="square"/>
            <c:size val="5"/>
            <c:spPr>
              <a:solidFill>
                <a:srgbClr val="FF00FF"/>
              </a:solidFill>
              <a:ln>
                <a:solidFill>
                  <a:srgbClr val="FF00FF"/>
                </a:solidFill>
                <a:prstDash val="solid"/>
              </a:ln>
            </c:spPr>
          </c:marker>
          <c:val>
            <c:numLit>
              <c:formatCode>General</c:formatCode>
              <c:ptCount val="1"/>
              <c:pt idx="0">
                <c:v>0</c:v>
              </c:pt>
            </c:numLit>
          </c:val>
          <c:smooth val="0"/>
          <c:extLst>
            <c:ext xmlns:c16="http://schemas.microsoft.com/office/drawing/2014/chart" uri="{C3380CC4-5D6E-409C-BE32-E72D297353CC}">
              <c16:uniqueId val="{00000001-9E57-401E-B402-2778174CF04A}"/>
            </c:ext>
          </c:extLst>
        </c:ser>
        <c:ser>
          <c:idx val="2"/>
          <c:order val="2"/>
          <c:tx>
            <c:v>PLF-Yield to date.</c:v>
          </c:tx>
          <c:spPr>
            <a:ln w="12700">
              <a:solidFill>
                <a:srgbClr val="FFFF00"/>
              </a:solidFill>
              <a:prstDash val="solid"/>
            </a:ln>
          </c:spPr>
          <c:marker>
            <c:symbol val="triangle"/>
            <c:size val="5"/>
            <c:spPr>
              <a:solidFill>
                <a:srgbClr val="FFFF00"/>
              </a:solidFill>
              <a:ln>
                <a:solidFill>
                  <a:srgbClr val="FFFF00"/>
                </a:solidFill>
                <a:prstDash val="solid"/>
              </a:ln>
            </c:spPr>
          </c:marker>
          <c:val>
            <c:numLit>
              <c:formatCode>General</c:formatCode>
              <c:ptCount val="1"/>
              <c:pt idx="0">
                <c:v>0</c:v>
              </c:pt>
            </c:numLit>
          </c:val>
          <c:smooth val="0"/>
          <c:extLst>
            <c:ext xmlns:c16="http://schemas.microsoft.com/office/drawing/2014/chart" uri="{C3380CC4-5D6E-409C-BE32-E72D297353CC}">
              <c16:uniqueId val="{00000002-9E57-401E-B402-2778174CF04A}"/>
            </c:ext>
          </c:extLst>
        </c:ser>
        <c:dLbls>
          <c:showLegendKey val="0"/>
          <c:showVal val="0"/>
          <c:showCatName val="0"/>
          <c:showSerName val="0"/>
          <c:showPercent val="0"/>
          <c:showBubbleSize val="0"/>
        </c:dLbls>
        <c:marker val="1"/>
        <c:smooth val="0"/>
        <c:axId val="557806552"/>
        <c:axId val="557810864"/>
      </c:lineChart>
      <c:catAx>
        <c:axId val="557806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00" b="0" i="0" u="none" strike="noStrike" baseline="0">
                <a:solidFill>
                  <a:srgbClr val="000000"/>
                </a:solidFill>
                <a:latin typeface="Arial"/>
                <a:ea typeface="Arial"/>
                <a:cs typeface="Arial"/>
              </a:defRPr>
            </a:pPr>
            <a:endParaRPr lang="en-US"/>
          </a:p>
        </c:txPr>
        <c:crossAx val="557810864"/>
        <c:crosses val="autoZero"/>
        <c:auto val="1"/>
        <c:lblAlgn val="ctr"/>
        <c:lblOffset val="100"/>
        <c:tickLblSkip val="1"/>
        <c:tickMarkSkip val="1"/>
        <c:noMultiLvlLbl val="0"/>
      </c:catAx>
      <c:valAx>
        <c:axId val="5578108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200" b="0" i="0" u="none" strike="noStrike" baseline="0">
                <a:solidFill>
                  <a:srgbClr val="000000"/>
                </a:solidFill>
                <a:latin typeface="Arial"/>
                <a:ea typeface="Arial"/>
                <a:cs typeface="Arial"/>
              </a:defRPr>
            </a:pPr>
            <a:endParaRPr lang="en-US"/>
          </a:p>
        </c:txPr>
        <c:crossAx val="557806552"/>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9118459579592785E-2"/>
          <c:y val="0.15652218218461941"/>
          <c:w val="0.94553166843636649"/>
          <c:h val="0.71304549661954753"/>
        </c:manualLayout>
      </c:layout>
      <c:lineChart>
        <c:grouping val="standard"/>
        <c:varyColors val="0"/>
        <c:ser>
          <c:idx val="0"/>
          <c:order val="0"/>
          <c:spPr>
            <a:ln w="12700">
              <a:solidFill>
                <a:srgbClr val="000080"/>
              </a:solidFill>
              <a:prstDash val="solid"/>
            </a:ln>
          </c:spPr>
          <c:marker>
            <c:symbol val="circle"/>
            <c:size val="6"/>
            <c:spPr>
              <a:solidFill>
                <a:srgbClr val="000080"/>
              </a:solidFill>
              <a:ln>
                <a:solidFill>
                  <a:srgbClr val="000080"/>
                </a:solidFill>
                <a:prstDash val="solid"/>
              </a:ln>
            </c:spPr>
          </c:marker>
          <c:val>
            <c:numRef>
              <c:f>STATION!$C$23:$AG$23</c:f>
              <c:numCache>
                <c:formatCode>0.00</c:formatCode>
                <c:ptCount val="31"/>
                <c:pt idx="0">
                  <c:v>6.6441618497109873</c:v>
                </c:pt>
                <c:pt idx="1">
                  <c:v>6.9568596968519181</c:v>
                </c:pt>
                <c:pt idx="2">
                  <c:v>6.5750846819721485</c:v>
                </c:pt>
                <c:pt idx="3">
                  <c:v>6.8822715689843426</c:v>
                </c:pt>
                <c:pt idx="4">
                  <c:v>6.8287906466934665</c:v>
                </c:pt>
                <c:pt idx="5">
                  <c:v>7.0357941834451907</c:v>
                </c:pt>
                <c:pt idx="6">
                  <c:v>6.5805888767720866</c:v>
                </c:pt>
                <c:pt idx="7">
                  <c:v>6.5009966777408739</c:v>
                </c:pt>
                <c:pt idx="8">
                  <c:v>6.5067245119306145</c:v>
                </c:pt>
                <c:pt idx="9">
                  <c:v>6.5483870967741939</c:v>
                </c:pt>
                <c:pt idx="10">
                  <c:v>6.8088495575221213</c:v>
                </c:pt>
                <c:pt idx="11">
                  <c:v>7.0382054992764207</c:v>
                </c:pt>
                <c:pt idx="12">
                  <c:v>6.6491071428571438</c:v>
                </c:pt>
                <c:pt idx="13">
                  <c:v>6.9835616438356301</c:v>
                </c:pt>
                <c:pt idx="14">
                  <c:v>6.8875286916603065</c:v>
                </c:pt>
                <c:pt idx="15">
                  <c:v>7.0168309325246385</c:v>
                </c:pt>
                <c:pt idx="16">
                  <c:v>6.4906367041198507</c:v>
                </c:pt>
                <c:pt idx="17">
                  <c:v>6.8529977794226484</c:v>
                </c:pt>
                <c:pt idx="18">
                  <c:v>6.9875862068965553</c:v>
                </c:pt>
                <c:pt idx="19">
                  <c:v>6.9892439594699898</c:v>
                </c:pt>
                <c:pt idx="20">
                  <c:v>6.5780918727915152</c:v>
                </c:pt>
                <c:pt idx="21">
                  <c:v>6.6152029520295237</c:v>
                </c:pt>
                <c:pt idx="22">
                  <c:v>6.660688665710186</c:v>
                </c:pt>
                <c:pt idx="23">
                  <c:v>6.3567796610169802</c:v>
                </c:pt>
                <c:pt idx="24">
                  <c:v>6.4202959830866853</c:v>
                </c:pt>
                <c:pt idx="25">
                  <c:v>6.6217133833399249</c:v>
                </c:pt>
                <c:pt idx="26">
                  <c:v>6.5926226185650822</c:v>
                </c:pt>
                <c:pt idx="27">
                  <c:v>6.8550400000000167</c:v>
                </c:pt>
                <c:pt idx="28">
                  <c:v>6.3051561911930882</c:v>
                </c:pt>
                <c:pt idx="29">
                  <c:v>6.328097731239092</c:v>
                </c:pt>
              </c:numCache>
            </c:numRef>
          </c:val>
          <c:smooth val="0"/>
          <c:extLst>
            <c:ext xmlns:c16="http://schemas.microsoft.com/office/drawing/2014/chart" uri="{C3380CC4-5D6E-409C-BE32-E72D297353CC}">
              <c16:uniqueId val="{00000000-D085-49BC-A693-CA928D4BB350}"/>
            </c:ext>
          </c:extLst>
        </c:ser>
        <c:dLbls>
          <c:showLegendKey val="0"/>
          <c:showVal val="0"/>
          <c:showCatName val="0"/>
          <c:showSerName val="0"/>
          <c:showPercent val="0"/>
          <c:showBubbleSize val="0"/>
        </c:dLbls>
        <c:marker val="1"/>
        <c:smooth val="0"/>
        <c:axId val="477369056"/>
        <c:axId val="477374152"/>
      </c:lineChart>
      <c:catAx>
        <c:axId val="4773690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77374152"/>
        <c:crosses val="autoZero"/>
        <c:auto val="1"/>
        <c:lblAlgn val="ctr"/>
        <c:lblOffset val="100"/>
        <c:tickLblSkip val="1"/>
        <c:tickMarkSkip val="1"/>
        <c:noMultiLvlLbl val="0"/>
      </c:catAx>
      <c:valAx>
        <c:axId val="477374152"/>
        <c:scaling>
          <c:orientation val="minMax"/>
          <c:max val="15"/>
          <c:min val="0"/>
        </c:scaling>
        <c:delete val="0"/>
        <c:axPos val="l"/>
        <c:majorGridlines>
          <c:spPr>
            <a:ln w="3175">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77369056"/>
        <c:crosses val="autoZero"/>
        <c:crossBetween val="between"/>
        <c:majorUnit val="3"/>
      </c:valAx>
      <c:spPr>
        <a:gradFill rotWithShape="0">
          <a:gsLst>
            <a:gs pos="0">
              <a:srgbClr val="FFEFD1"/>
            </a:gs>
            <a:gs pos="64999">
              <a:srgbClr val="F0EBD5"/>
            </a:gs>
            <a:gs pos="100000">
              <a:srgbClr val="D1C39F"/>
            </a:gs>
          </a:gsLst>
          <a:lin ang="5400000" scaled="0"/>
        </a:gradFill>
        <a:ln w="12700">
          <a:solidFill>
            <a:srgbClr val="808080"/>
          </a:solidFill>
          <a:prstDash val="solid"/>
        </a:ln>
      </c:spPr>
    </c:plotArea>
    <c:legend>
      <c:legendPos val="t"/>
      <c:layout>
        <c:manualLayout>
          <c:xMode val="edge"/>
          <c:yMode val="edge"/>
          <c:x val="0.38965041692069907"/>
          <c:y val="3.1070333599608892E-2"/>
          <c:w val="0.29934254663665238"/>
          <c:h val="6.9565521701091593E-2"/>
        </c:manualLayout>
      </c:layout>
      <c:overlay val="0"/>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horizontalDpi="300" verticalDpi="300"/>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Auxiliary Power Consumption % </c:v>
          </c:tx>
          <c:spPr>
            <a:ln w="12700">
              <a:solidFill>
                <a:srgbClr val="000080"/>
              </a:solidFill>
              <a:prstDash val="solid"/>
            </a:ln>
          </c:spPr>
          <c:marker>
            <c:symbol val="diamond"/>
            <c:size val="5"/>
            <c:spPr>
              <a:solidFill>
                <a:srgbClr val="000080"/>
              </a:solidFill>
              <a:ln>
                <a:solidFill>
                  <a:srgbClr val="000080"/>
                </a:solidFill>
                <a:prstDash val="solid"/>
              </a:ln>
            </c:spPr>
          </c:marker>
          <c:val>
            <c:numLit>
              <c:formatCode>General</c:formatCode>
              <c:ptCount val="1"/>
              <c:pt idx="0">
                <c:v>0</c:v>
              </c:pt>
            </c:numLit>
          </c:val>
          <c:smooth val="0"/>
          <c:extLst>
            <c:ext xmlns:c16="http://schemas.microsoft.com/office/drawing/2014/chart" uri="{C3380CC4-5D6E-409C-BE32-E72D297353CC}">
              <c16:uniqueId val="{00000000-9E1C-485B-AD05-6F5BD84748C0}"/>
            </c:ext>
          </c:extLst>
        </c:ser>
        <c:dLbls>
          <c:showLegendKey val="0"/>
          <c:showVal val="0"/>
          <c:showCatName val="0"/>
          <c:showSerName val="0"/>
          <c:showPercent val="0"/>
          <c:showBubbleSize val="0"/>
        </c:dLbls>
        <c:marker val="1"/>
        <c:smooth val="0"/>
        <c:axId val="557807728"/>
        <c:axId val="557808120"/>
      </c:lineChart>
      <c:catAx>
        <c:axId val="5578077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00" b="0" i="0" u="none" strike="noStrike" baseline="0">
                <a:solidFill>
                  <a:srgbClr val="000000"/>
                </a:solidFill>
                <a:latin typeface="Arial"/>
                <a:ea typeface="Arial"/>
                <a:cs typeface="Arial"/>
              </a:defRPr>
            </a:pPr>
            <a:endParaRPr lang="en-US"/>
          </a:p>
        </c:txPr>
        <c:crossAx val="557808120"/>
        <c:crosses val="autoZero"/>
        <c:auto val="1"/>
        <c:lblAlgn val="ctr"/>
        <c:lblOffset val="100"/>
        <c:tickLblSkip val="1"/>
        <c:tickMarkSkip val="1"/>
        <c:noMultiLvlLbl val="0"/>
      </c:catAx>
      <c:valAx>
        <c:axId val="557808120"/>
        <c:scaling>
          <c:orientation val="minMax"/>
          <c:max val="15"/>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200" b="0" i="0" u="none" strike="noStrike" baseline="0">
                <a:solidFill>
                  <a:srgbClr val="000000"/>
                </a:solidFill>
                <a:latin typeface="Arial"/>
                <a:ea typeface="Arial"/>
                <a:cs typeface="Arial"/>
              </a:defRPr>
            </a:pPr>
            <a:endParaRPr lang="en-US"/>
          </a:p>
        </c:txPr>
        <c:crossAx val="557807728"/>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horizontalDpi="300" verticalDpi="300"/>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7730220492872188"/>
          <c:y val="0"/>
        </c:manualLayout>
      </c:layout>
      <c:overlay val="0"/>
      <c:spPr>
        <a:noFill/>
        <a:ln w="25400">
          <a:noFill/>
        </a:ln>
      </c:spPr>
      <c:txPr>
        <a:bodyPr/>
        <a:lstStyle/>
        <a:p>
          <a:pPr>
            <a:defRPr sz="200" b="0" i="0" u="none" strike="noStrike" baseline="0">
              <a:solidFill>
                <a:srgbClr val="000000"/>
              </a:solidFill>
              <a:latin typeface="Arial"/>
              <a:ea typeface="Arial"/>
              <a:cs typeface="Arial"/>
            </a:defRPr>
          </a:pPr>
          <a:endParaRPr lang="en-US"/>
        </a:p>
      </c:txPr>
    </c:title>
    <c:autoTitleDeleted val="0"/>
    <c:plotArea>
      <c:layout/>
      <c:lineChart>
        <c:grouping val="standard"/>
        <c:varyColors val="0"/>
        <c:ser>
          <c:idx val="0"/>
          <c:order val="0"/>
          <c:tx>
            <c:v>Make-up Water Consumption %</c:v>
          </c:tx>
          <c:val>
            <c:numRef>
              <c:f>[2]BOILERS!$D$29:$AG$29</c:f>
              <c:numCache>
                <c:formatCode>General</c:formatCode>
                <c:ptCount val="30"/>
                <c:pt idx="0">
                  <c:v>29</c:v>
                </c:pt>
                <c:pt idx="1">
                  <c:v>27.832263946533203</c:v>
                </c:pt>
                <c:pt idx="2">
                  <c:v>25</c:v>
                </c:pt>
                <c:pt idx="3">
                  <c:v>28</c:v>
                </c:pt>
                <c:pt idx="4">
                  <c:v>31</c:v>
                </c:pt>
                <c:pt idx="5">
                  <c:v>27.832263946533203</c:v>
                </c:pt>
                <c:pt idx="6">
                  <c:v>29</c:v>
                </c:pt>
                <c:pt idx="7">
                  <c:v>25</c:v>
                </c:pt>
                <c:pt idx="8">
                  <c:v>33</c:v>
                </c:pt>
                <c:pt idx="9">
                  <c:v>28.7</c:v>
                </c:pt>
                <c:pt idx="10">
                  <c:v>30</c:v>
                </c:pt>
                <c:pt idx="11">
                  <c:v>29</c:v>
                </c:pt>
                <c:pt idx="12">
                  <c:v>30</c:v>
                </c:pt>
                <c:pt idx="13">
                  <c:v>27.832263946533203</c:v>
                </c:pt>
                <c:pt idx="14">
                  <c:v>29</c:v>
                </c:pt>
                <c:pt idx="15">
                  <c:v>30</c:v>
                </c:pt>
                <c:pt idx="16">
                  <c:v>33</c:v>
                </c:pt>
                <c:pt idx="17">
                  <c:v>31</c:v>
                </c:pt>
                <c:pt idx="18">
                  <c:v>28</c:v>
                </c:pt>
                <c:pt idx="19">
                  <c:v>30</c:v>
                </c:pt>
                <c:pt idx="20">
                  <c:v>31</c:v>
                </c:pt>
                <c:pt idx="21">
                  <c:v>29</c:v>
                </c:pt>
                <c:pt idx="22">
                  <c:v>28</c:v>
                </c:pt>
                <c:pt idx="23">
                  <c:v>28.241119384765625</c:v>
                </c:pt>
                <c:pt idx="24">
                  <c:v>30</c:v>
                </c:pt>
                <c:pt idx="25">
                  <c:v>31</c:v>
                </c:pt>
                <c:pt idx="26">
                  <c:v>27</c:v>
                </c:pt>
                <c:pt idx="27">
                  <c:v>30</c:v>
                </c:pt>
                <c:pt idx="28">
                  <c:v>28.241119384765625</c:v>
                </c:pt>
                <c:pt idx="29">
                  <c:v>27.832263946533203</c:v>
                </c:pt>
              </c:numCache>
            </c:numRef>
          </c:val>
          <c:smooth val="0"/>
          <c:extLst>
            <c:ext xmlns:c16="http://schemas.microsoft.com/office/drawing/2014/chart" uri="{C3380CC4-5D6E-409C-BE32-E72D297353CC}">
              <c16:uniqueId val="{00000000-A76E-40DE-916C-16B493AFC13E}"/>
            </c:ext>
          </c:extLst>
        </c:ser>
        <c:dLbls>
          <c:showLegendKey val="0"/>
          <c:showVal val="0"/>
          <c:showCatName val="0"/>
          <c:showSerName val="0"/>
          <c:showPercent val="0"/>
          <c:showBubbleSize val="0"/>
        </c:dLbls>
        <c:marker val="1"/>
        <c:smooth val="0"/>
        <c:axId val="557809688"/>
        <c:axId val="557811256"/>
      </c:lineChart>
      <c:catAx>
        <c:axId val="55780968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00" b="0" i="0" u="none" strike="noStrike" baseline="0">
                <a:solidFill>
                  <a:srgbClr val="000000"/>
                </a:solidFill>
                <a:latin typeface="Arial"/>
                <a:ea typeface="Arial"/>
                <a:cs typeface="Arial"/>
              </a:defRPr>
            </a:pPr>
            <a:endParaRPr lang="en-US"/>
          </a:p>
        </c:txPr>
        <c:crossAx val="557811256"/>
        <c:crosses val="autoZero"/>
        <c:auto val="1"/>
        <c:lblAlgn val="ctr"/>
        <c:lblOffset val="100"/>
        <c:tickMarkSkip val="1"/>
        <c:noMultiLvlLbl val="0"/>
      </c:catAx>
      <c:valAx>
        <c:axId val="5578112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200" b="0" i="0" u="none" strike="noStrike" baseline="0">
                <a:solidFill>
                  <a:srgbClr val="000000"/>
                </a:solidFill>
                <a:latin typeface="Arial"/>
                <a:ea typeface="Arial"/>
                <a:cs typeface="Arial"/>
              </a:defRPr>
            </a:pPr>
            <a:endParaRPr lang="en-US"/>
          </a:p>
        </c:txPr>
        <c:crossAx val="557809688"/>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241789492718396E-2"/>
          <c:y val="0.14832774919688121"/>
          <c:w val="0.91868181162106965"/>
          <c:h val="0.74838755184813188"/>
        </c:manualLayout>
      </c:layout>
      <c:lineChart>
        <c:grouping val="standard"/>
        <c:varyColors val="0"/>
        <c:ser>
          <c:idx val="0"/>
          <c:order val="0"/>
          <c:tx>
            <c:v>Sales to TPTCL in MUs</c:v>
          </c:tx>
          <c:spPr>
            <a:ln w="12700">
              <a:solidFill>
                <a:srgbClr val="000080"/>
              </a:solidFill>
              <a:prstDash val="solid"/>
            </a:ln>
          </c:spPr>
          <c:marker>
            <c:symbol val="circle"/>
            <c:size val="6"/>
            <c:spPr>
              <a:solidFill>
                <a:srgbClr val="000080"/>
              </a:solidFill>
              <a:ln>
                <a:solidFill>
                  <a:srgbClr val="000080"/>
                </a:solidFill>
                <a:prstDash val="solid"/>
              </a:ln>
            </c:spPr>
          </c:marker>
          <c:val>
            <c:numRef>
              <c:f>STATION!$C$40:$AF$40</c:f>
              <c:numCache>
                <c:formatCode>0.000</c:formatCode>
                <c:ptCount val="30"/>
                <c:pt idx="0">
                  <c:v>2.3784200000000002</c:v>
                </c:pt>
                <c:pt idx="1">
                  <c:v>2.3952100000000001</c:v>
                </c:pt>
                <c:pt idx="2">
                  <c:v>2.4068200000000002</c:v>
                </c:pt>
                <c:pt idx="3">
                  <c:v>2.5015399999999999</c:v>
                </c:pt>
                <c:pt idx="4">
                  <c:v>2.5185399999999998</c:v>
                </c:pt>
                <c:pt idx="5">
                  <c:v>2.4899300000000002</c:v>
                </c:pt>
                <c:pt idx="6">
                  <c:v>2.48861</c:v>
                </c:pt>
                <c:pt idx="7">
                  <c:v>2.4523700000000002</c:v>
                </c:pt>
                <c:pt idx="8">
                  <c:v>2.5040200000000001</c:v>
                </c:pt>
                <c:pt idx="9">
                  <c:v>2.5394700000000001</c:v>
                </c:pt>
                <c:pt idx="10">
                  <c:v>2.5165099999999998</c:v>
                </c:pt>
                <c:pt idx="11">
                  <c:v>2.4936099999999999</c:v>
                </c:pt>
                <c:pt idx="12">
                  <c:v>2.4675500000000001</c:v>
                </c:pt>
                <c:pt idx="13">
                  <c:v>2.3702200000000002</c:v>
                </c:pt>
                <c:pt idx="14">
                  <c:v>2.3856199999999999</c:v>
                </c:pt>
                <c:pt idx="15">
                  <c:v>2.39737</c:v>
                </c:pt>
                <c:pt idx="16">
                  <c:v>2.4313400000000001</c:v>
                </c:pt>
                <c:pt idx="17">
                  <c:v>2.4270399999999999</c:v>
                </c:pt>
                <c:pt idx="18">
                  <c:v>2.3576700000000002</c:v>
                </c:pt>
                <c:pt idx="19">
                  <c:v>2.3359000000000001</c:v>
                </c:pt>
                <c:pt idx="20">
                  <c:v>2.30463</c:v>
                </c:pt>
                <c:pt idx="21">
                  <c:v>2.44651</c:v>
                </c:pt>
                <c:pt idx="22">
                  <c:v>2.51695</c:v>
                </c:pt>
                <c:pt idx="23">
                  <c:v>2.56785</c:v>
                </c:pt>
                <c:pt idx="24">
                  <c:v>2.5918999999999999</c:v>
                </c:pt>
                <c:pt idx="25">
                  <c:v>2.3065500000000001</c:v>
                </c:pt>
                <c:pt idx="26">
                  <c:v>2.2482600000000001</c:v>
                </c:pt>
                <c:pt idx="27">
                  <c:v>2.2524899999999999</c:v>
                </c:pt>
                <c:pt idx="28">
                  <c:v>2.33392</c:v>
                </c:pt>
                <c:pt idx="29">
                  <c:v>2.5643199999999999</c:v>
                </c:pt>
              </c:numCache>
            </c:numRef>
          </c:val>
          <c:smooth val="0"/>
          <c:extLst>
            <c:ext xmlns:c16="http://schemas.microsoft.com/office/drawing/2014/chart" uri="{C3380CC4-5D6E-409C-BE32-E72D297353CC}">
              <c16:uniqueId val="{00000000-2C7B-4A11-8DB0-AC8A33EC2179}"/>
            </c:ext>
          </c:extLst>
        </c:ser>
        <c:ser>
          <c:idx val="2"/>
          <c:order val="1"/>
          <c:tx>
            <c:strRef>
              <c:f>STATION!$A$43</c:f>
              <c:strCache>
                <c:ptCount val="1"/>
                <c:pt idx="0">
                  <c:v>Total Sales</c:v>
                </c:pt>
              </c:strCache>
            </c:strRef>
          </c:tx>
          <c:spPr>
            <a:ln w="12700">
              <a:solidFill>
                <a:srgbClr val="00B050"/>
              </a:solidFill>
              <a:prstDash val="solid"/>
            </a:ln>
          </c:spPr>
          <c:marker>
            <c:symbol val="triangle"/>
            <c:size val="5"/>
            <c:spPr>
              <a:solidFill>
                <a:srgbClr val="00B050"/>
              </a:solidFill>
              <a:ln>
                <a:solidFill>
                  <a:srgbClr val="00B050"/>
                </a:solidFill>
                <a:prstDash val="solid"/>
              </a:ln>
            </c:spPr>
          </c:marker>
          <c:val>
            <c:numRef>
              <c:f>STATION!$C$43:$AF$43</c:f>
              <c:numCache>
                <c:formatCode>0.000</c:formatCode>
                <c:ptCount val="30"/>
                <c:pt idx="0">
                  <c:v>2.3784200000000002</c:v>
                </c:pt>
                <c:pt idx="1">
                  <c:v>2.3952100000000001</c:v>
                </c:pt>
                <c:pt idx="2">
                  <c:v>2.4068200000000002</c:v>
                </c:pt>
                <c:pt idx="3">
                  <c:v>2.5015399999999999</c:v>
                </c:pt>
                <c:pt idx="4">
                  <c:v>2.5185399999999998</c:v>
                </c:pt>
                <c:pt idx="5">
                  <c:v>2.4899300000000002</c:v>
                </c:pt>
                <c:pt idx="6">
                  <c:v>2.48861</c:v>
                </c:pt>
                <c:pt idx="7">
                  <c:v>2.4523700000000002</c:v>
                </c:pt>
                <c:pt idx="8">
                  <c:v>2.5040200000000001</c:v>
                </c:pt>
                <c:pt idx="9">
                  <c:v>2.5394700000000001</c:v>
                </c:pt>
                <c:pt idx="10">
                  <c:v>2.5165099999999998</c:v>
                </c:pt>
                <c:pt idx="11">
                  <c:v>2.4936099999999999</c:v>
                </c:pt>
                <c:pt idx="12">
                  <c:v>2.4675500000000001</c:v>
                </c:pt>
                <c:pt idx="13">
                  <c:v>2.3702200000000002</c:v>
                </c:pt>
                <c:pt idx="14">
                  <c:v>2.3856199999999999</c:v>
                </c:pt>
                <c:pt idx="15">
                  <c:v>2.39737</c:v>
                </c:pt>
                <c:pt idx="16">
                  <c:v>2.4313400000000001</c:v>
                </c:pt>
                <c:pt idx="17">
                  <c:v>2.4270399999999999</c:v>
                </c:pt>
                <c:pt idx="18">
                  <c:v>2.3576700000000002</c:v>
                </c:pt>
                <c:pt idx="19">
                  <c:v>2.3359000000000001</c:v>
                </c:pt>
                <c:pt idx="20">
                  <c:v>2.30463</c:v>
                </c:pt>
                <c:pt idx="21">
                  <c:v>2.44651</c:v>
                </c:pt>
                <c:pt idx="22">
                  <c:v>2.51695</c:v>
                </c:pt>
                <c:pt idx="23">
                  <c:v>2.56785</c:v>
                </c:pt>
                <c:pt idx="24">
                  <c:v>2.5918999999999999</c:v>
                </c:pt>
                <c:pt idx="25">
                  <c:v>2.3065500000000001</c:v>
                </c:pt>
                <c:pt idx="26">
                  <c:v>2.2482600000000001</c:v>
                </c:pt>
                <c:pt idx="27">
                  <c:v>2.2524899999999999</c:v>
                </c:pt>
                <c:pt idx="28">
                  <c:v>2.33392</c:v>
                </c:pt>
                <c:pt idx="29">
                  <c:v>2.5643199999999999</c:v>
                </c:pt>
              </c:numCache>
            </c:numRef>
          </c:val>
          <c:smooth val="0"/>
          <c:extLst>
            <c:ext xmlns:c16="http://schemas.microsoft.com/office/drawing/2014/chart" uri="{C3380CC4-5D6E-409C-BE32-E72D297353CC}">
              <c16:uniqueId val="{00000002-2C7B-4A11-8DB0-AC8A33EC2179}"/>
            </c:ext>
          </c:extLst>
        </c:ser>
        <c:dLbls>
          <c:showLegendKey val="0"/>
          <c:showVal val="0"/>
          <c:showCatName val="0"/>
          <c:showSerName val="0"/>
          <c:showPercent val="0"/>
          <c:showBubbleSize val="0"/>
        </c:dLbls>
        <c:marker val="1"/>
        <c:smooth val="0"/>
        <c:axId val="477372584"/>
        <c:axId val="477373760"/>
      </c:lineChart>
      <c:catAx>
        <c:axId val="47737258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77373760"/>
        <c:crosses val="autoZero"/>
        <c:auto val="1"/>
        <c:lblAlgn val="ctr"/>
        <c:lblOffset val="100"/>
        <c:tickLblSkip val="1"/>
        <c:tickMarkSkip val="1"/>
        <c:noMultiLvlLbl val="0"/>
      </c:catAx>
      <c:valAx>
        <c:axId val="477373760"/>
        <c:scaling>
          <c:orientation val="minMax"/>
          <c:max val="3"/>
          <c:min val="0"/>
        </c:scaling>
        <c:delete val="0"/>
        <c:axPos val="l"/>
        <c:majorGridlines>
          <c:spPr>
            <a:ln w="3175">
              <a:solidFill>
                <a:srgbClr val="000000"/>
              </a:solidFill>
              <a:prstDash val="sysDash"/>
            </a:ln>
          </c:spPr>
        </c:majorGridlines>
        <c:numFmt formatCode="0.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77372584"/>
        <c:crosses val="autoZero"/>
        <c:crossBetween val="between"/>
        <c:majorUnit val="0.5"/>
        <c:minorUnit val="0.5"/>
      </c:valAx>
      <c:spPr>
        <a:gradFill rotWithShape="0">
          <a:gsLst>
            <a:gs pos="0">
              <a:srgbClr val="FFEFD1"/>
            </a:gs>
            <a:gs pos="64999">
              <a:srgbClr val="F0EBD5"/>
            </a:gs>
            <a:gs pos="100000">
              <a:srgbClr val="D1C39F"/>
            </a:gs>
          </a:gsLst>
          <a:lin ang="5400000" scaled="0"/>
        </a:gradFill>
        <a:ln w="12700">
          <a:solidFill>
            <a:srgbClr val="808080"/>
          </a:solidFill>
          <a:prstDash val="solid"/>
        </a:ln>
      </c:spPr>
    </c:plotArea>
    <c:legend>
      <c:legendPos val="r"/>
      <c:legendEntry>
        <c:idx val="0"/>
        <c:txPr>
          <a:bodyPr/>
          <a:lstStyle/>
          <a:p>
            <a:pPr>
              <a:defRPr sz="1000" b="0" i="0" u="none" strike="noStrike" baseline="0">
                <a:solidFill>
                  <a:srgbClr val="000000"/>
                </a:solidFill>
                <a:latin typeface="Arial"/>
                <a:ea typeface="Arial"/>
                <a:cs typeface="Arial"/>
              </a:defRPr>
            </a:pPr>
            <a:endParaRPr lang="en-US"/>
          </a:p>
        </c:txPr>
      </c:legendEntry>
      <c:legendEntry>
        <c:idx val="1"/>
        <c:txPr>
          <a:bodyPr/>
          <a:lstStyle/>
          <a:p>
            <a:pPr>
              <a:defRPr sz="1000" b="0" i="0" u="none" strike="noStrike" baseline="0">
                <a:solidFill>
                  <a:srgbClr val="000000"/>
                </a:solidFill>
                <a:latin typeface="Arial"/>
                <a:ea typeface="Arial"/>
                <a:cs typeface="Arial"/>
              </a:defRPr>
            </a:pPr>
            <a:endParaRPr lang="en-US"/>
          </a:p>
        </c:txPr>
      </c:legendEntry>
      <c:layout>
        <c:manualLayout>
          <c:xMode val="edge"/>
          <c:yMode val="edge"/>
          <c:x val="0.32070569439690338"/>
          <c:y val="3.0712120870278036E-2"/>
          <c:w val="0.52637340885749151"/>
          <c:h val="6.8767908309455589E-2"/>
        </c:manualLayout>
      </c:layout>
      <c:overlay val="0"/>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horizontalDpi="300" verticalDpi="3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4857768052517122E-2"/>
          <c:y val="0.15472801017418344"/>
          <c:w val="0.93982494529540483"/>
          <c:h val="0.71633338043598349"/>
        </c:manualLayout>
      </c:layout>
      <c:lineChart>
        <c:grouping val="standard"/>
        <c:varyColors val="0"/>
        <c:ser>
          <c:idx val="0"/>
          <c:order val="0"/>
          <c:tx>
            <c:v> Make up water cons in %</c:v>
          </c:tx>
          <c:spPr>
            <a:ln w="12700">
              <a:solidFill>
                <a:srgbClr val="000080"/>
              </a:solidFill>
              <a:prstDash val="solid"/>
            </a:ln>
          </c:spPr>
          <c:marker>
            <c:symbol val="circle"/>
            <c:size val="6"/>
            <c:spPr>
              <a:solidFill>
                <a:srgbClr val="000080"/>
              </a:solidFill>
              <a:ln>
                <a:solidFill>
                  <a:srgbClr val="000080"/>
                </a:solidFill>
                <a:prstDash val="solid"/>
              </a:ln>
            </c:spPr>
          </c:marker>
          <c:val>
            <c:numRef>
              <c:f>STATION!$C$51:$AF$51</c:f>
              <c:numCache>
                <c:formatCode>0.00</c:formatCode>
                <c:ptCount val="30"/>
                <c:pt idx="0">
                  <c:v>1.8492879746835444</c:v>
                </c:pt>
                <c:pt idx="1">
                  <c:v>1.9426092101370676</c:v>
                </c:pt>
                <c:pt idx="2">
                  <c:v>1.6681214237222384</c:v>
                </c:pt>
                <c:pt idx="3">
                  <c:v>1.836521077171948</c:v>
                </c:pt>
                <c:pt idx="4">
                  <c:v>2.165823871767961</c:v>
                </c:pt>
                <c:pt idx="5">
                  <c:v>1.9119351100811124</c:v>
                </c:pt>
                <c:pt idx="6">
                  <c:v>1.9010317157050056</c:v>
                </c:pt>
                <c:pt idx="7">
                  <c:v>1.9391363153318519</c:v>
                </c:pt>
                <c:pt idx="8">
                  <c:v>1.8981631293423431</c:v>
                </c:pt>
                <c:pt idx="9">
                  <c:v>1.8928639030853682</c:v>
                </c:pt>
                <c:pt idx="10">
                  <c:v>1.8718833908707326</c:v>
                </c:pt>
                <c:pt idx="11">
                  <c:v>1.9304682368396358</c:v>
                </c:pt>
                <c:pt idx="12">
                  <c:v>1.7725177645477244</c:v>
                </c:pt>
                <c:pt idx="13">
                  <c:v>1.7690646775934831</c:v>
                </c:pt>
                <c:pt idx="14">
                  <c:v>1.9160942100098135</c:v>
                </c:pt>
                <c:pt idx="15">
                  <c:v>2.030090563832895</c:v>
                </c:pt>
                <c:pt idx="16">
                  <c:v>1.8353078267624783</c:v>
                </c:pt>
                <c:pt idx="17">
                  <c:v>1.9556451612903223</c:v>
                </c:pt>
                <c:pt idx="18">
                  <c:v>1.7836142689141514</c:v>
                </c:pt>
                <c:pt idx="19">
                  <c:v>2.0614851485148513</c:v>
                </c:pt>
                <c:pt idx="20">
                  <c:v>1.9661773457647291</c:v>
                </c:pt>
                <c:pt idx="21">
                  <c:v>1.9359785317232128</c:v>
                </c:pt>
                <c:pt idx="22">
                  <c:v>1.8122065727699528</c:v>
                </c:pt>
                <c:pt idx="23">
                  <c:v>1.7873018850229765</c:v>
                </c:pt>
                <c:pt idx="24">
                  <c:v>1.8498459239891678</c:v>
                </c:pt>
                <c:pt idx="25">
                  <c:v>2.3729033546325877</c:v>
                </c:pt>
                <c:pt idx="26">
                  <c:v>2.5484427310540734</c:v>
                </c:pt>
                <c:pt idx="27">
                  <c:v>2.0893719806763285</c:v>
                </c:pt>
                <c:pt idx="28">
                  <c:v>2.0652069065303365</c:v>
                </c:pt>
                <c:pt idx="29">
                  <c:v>1.9174041297935103</c:v>
                </c:pt>
              </c:numCache>
            </c:numRef>
          </c:val>
          <c:smooth val="0"/>
          <c:extLst>
            <c:ext xmlns:c16="http://schemas.microsoft.com/office/drawing/2014/chart" uri="{C3380CC4-5D6E-409C-BE32-E72D297353CC}">
              <c16:uniqueId val="{00000000-B14E-4D20-A21C-B534EF76AB99}"/>
            </c:ext>
          </c:extLst>
        </c:ser>
        <c:dLbls>
          <c:showLegendKey val="0"/>
          <c:showVal val="0"/>
          <c:showCatName val="0"/>
          <c:showSerName val="0"/>
          <c:showPercent val="0"/>
          <c:showBubbleSize val="0"/>
        </c:dLbls>
        <c:marker val="1"/>
        <c:smooth val="0"/>
        <c:axId val="488344752"/>
        <c:axId val="488343576"/>
      </c:lineChart>
      <c:catAx>
        <c:axId val="4883447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88343576"/>
        <c:crosses val="autoZero"/>
        <c:auto val="1"/>
        <c:lblAlgn val="ctr"/>
        <c:lblOffset val="100"/>
        <c:tickLblSkip val="1"/>
        <c:tickMarkSkip val="1"/>
        <c:noMultiLvlLbl val="0"/>
      </c:catAx>
      <c:valAx>
        <c:axId val="488343576"/>
        <c:scaling>
          <c:orientation val="minMax"/>
          <c:max val="15"/>
          <c:min val="0"/>
        </c:scaling>
        <c:delete val="0"/>
        <c:axPos val="l"/>
        <c:majorGridlines>
          <c:spPr>
            <a:ln w="3175">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88344752"/>
        <c:crosses val="autoZero"/>
        <c:crossBetween val="between"/>
        <c:majorUnit val="2"/>
      </c:valAx>
      <c:spPr>
        <a:gradFill rotWithShape="0">
          <a:gsLst>
            <a:gs pos="0">
              <a:srgbClr val="FFEFD1"/>
            </a:gs>
            <a:gs pos="64999">
              <a:srgbClr val="F0EBD5"/>
            </a:gs>
            <a:gs pos="100000">
              <a:srgbClr val="D1C39F"/>
            </a:gs>
          </a:gsLst>
          <a:lin ang="5400000" scaled="0"/>
        </a:gradFill>
        <a:ln w="12700">
          <a:solidFill>
            <a:srgbClr val="808080"/>
          </a:solidFill>
          <a:prstDash val="solid"/>
        </a:ln>
      </c:spPr>
    </c:plotArea>
    <c:legend>
      <c:legendPos val="t"/>
      <c:legendEntry>
        <c:idx val="0"/>
        <c:txPr>
          <a:bodyPr/>
          <a:lstStyle/>
          <a:p>
            <a:pPr>
              <a:defRPr sz="1000" b="0" i="0" u="none" strike="noStrike" baseline="0">
                <a:solidFill>
                  <a:srgbClr val="000000"/>
                </a:solidFill>
                <a:latin typeface="Arial"/>
                <a:ea typeface="Arial"/>
                <a:cs typeface="Arial"/>
              </a:defRPr>
            </a:pPr>
            <a:endParaRPr lang="en-US"/>
          </a:p>
        </c:txPr>
      </c:legendEntry>
      <c:layout>
        <c:manualLayout>
          <c:xMode val="edge"/>
          <c:yMode val="edge"/>
          <c:x val="0.40481393762792894"/>
          <c:y val="2.0057306590257881E-2"/>
          <c:w val="0.22514601029202191"/>
          <c:h val="6.876790830945563E-2"/>
        </c:manualLayout>
      </c:layout>
      <c:overlay val="0"/>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9118459579592785E-2"/>
          <c:y val="0.15652218218461941"/>
          <c:w val="0.94553166843636649"/>
          <c:h val="0.71304549661954753"/>
        </c:manualLayout>
      </c:layout>
      <c:lineChart>
        <c:grouping val="standard"/>
        <c:varyColors val="0"/>
        <c:ser>
          <c:idx val="0"/>
          <c:order val="0"/>
          <c:tx>
            <c:v>Station Auxiliary Power Consumption  Mus.</c:v>
          </c:tx>
          <c:spPr>
            <a:ln w="12700">
              <a:solidFill>
                <a:srgbClr val="000080"/>
              </a:solidFill>
              <a:prstDash val="solid"/>
            </a:ln>
          </c:spPr>
          <c:marker>
            <c:symbol val="circle"/>
            <c:size val="6"/>
            <c:spPr>
              <a:solidFill>
                <a:srgbClr val="000080"/>
              </a:solidFill>
              <a:ln>
                <a:solidFill>
                  <a:srgbClr val="000080"/>
                </a:solidFill>
                <a:prstDash val="solid"/>
              </a:ln>
            </c:spPr>
          </c:marker>
          <c:val>
            <c:numRef>
              <c:f>STATION!$C$19:$AF$19</c:f>
              <c:numCache>
                <c:formatCode>0.000</c:formatCode>
                <c:ptCount val="30"/>
                <c:pt idx="0">
                  <c:v>0.17241600000000012</c:v>
                </c:pt>
                <c:pt idx="1">
                  <c:v>0.17899999999999983</c:v>
                </c:pt>
                <c:pt idx="2">
                  <c:v>0.17469999999999999</c:v>
                </c:pt>
                <c:pt idx="3">
                  <c:v>0.18905599999999989</c:v>
                </c:pt>
                <c:pt idx="4">
                  <c:v>0.18690400000000018</c:v>
                </c:pt>
                <c:pt idx="5">
                  <c:v>0.18870000000000001</c:v>
                </c:pt>
                <c:pt idx="6">
                  <c:v>0.18103200000000008</c:v>
                </c:pt>
                <c:pt idx="7">
                  <c:v>0.17611200000000027</c:v>
                </c:pt>
                <c:pt idx="8">
                  <c:v>0.1799760000000008</c:v>
                </c:pt>
                <c:pt idx="9">
                  <c:v>0.1827</c:v>
                </c:pt>
                <c:pt idx="10">
                  <c:v>0.18465599999999993</c:v>
                </c:pt>
                <c:pt idx="11">
                  <c:v>0.19453600000000026</c:v>
                </c:pt>
                <c:pt idx="12">
                  <c:v>0.178728</c:v>
                </c:pt>
                <c:pt idx="13">
                  <c:v>0.18352800000000036</c:v>
                </c:pt>
                <c:pt idx="14">
                  <c:v>0.18004000000000042</c:v>
                </c:pt>
                <c:pt idx="15">
                  <c:v>0.18510399999999994</c:v>
                </c:pt>
                <c:pt idx="16">
                  <c:v>0.17330000000000001</c:v>
                </c:pt>
                <c:pt idx="17">
                  <c:v>0.185168</c:v>
                </c:pt>
                <c:pt idx="18">
                  <c:v>0.18237600000000009</c:v>
                </c:pt>
                <c:pt idx="19">
                  <c:v>0.17934399999999995</c:v>
                </c:pt>
                <c:pt idx="20">
                  <c:v>0.16754399999999992</c:v>
                </c:pt>
                <c:pt idx="21">
                  <c:v>0.1792720000000001</c:v>
                </c:pt>
                <c:pt idx="22">
                  <c:v>0.1857</c:v>
                </c:pt>
                <c:pt idx="23">
                  <c:v>0.18002400000000085</c:v>
                </c:pt>
                <c:pt idx="24">
                  <c:v>0.18220800000000015</c:v>
                </c:pt>
                <c:pt idx="25" formatCode="0.0000">
                  <c:v>0.16772800000000032</c:v>
                </c:pt>
                <c:pt idx="26" formatCode="0.0000">
                  <c:v>0.16264000000000056</c:v>
                </c:pt>
                <c:pt idx="27" formatCode="0.0000">
                  <c:v>0.17137600000000042</c:v>
                </c:pt>
                <c:pt idx="28" formatCode="0.0000">
                  <c:v>0.16752800000000034</c:v>
                </c:pt>
                <c:pt idx="29">
                  <c:v>0.18129999999999999</c:v>
                </c:pt>
              </c:numCache>
            </c:numRef>
          </c:val>
          <c:smooth val="0"/>
          <c:extLst>
            <c:ext xmlns:c16="http://schemas.microsoft.com/office/drawing/2014/chart" uri="{C3380CC4-5D6E-409C-BE32-E72D297353CC}">
              <c16:uniqueId val="{00000000-D085-49BC-A693-CA928D4BB350}"/>
            </c:ext>
          </c:extLst>
        </c:ser>
        <c:dLbls>
          <c:showLegendKey val="0"/>
          <c:showVal val="0"/>
          <c:showCatName val="0"/>
          <c:showSerName val="0"/>
          <c:showPercent val="0"/>
          <c:showBubbleSize val="0"/>
        </c:dLbls>
        <c:marker val="1"/>
        <c:smooth val="0"/>
        <c:axId val="488347104"/>
        <c:axId val="488349064"/>
      </c:lineChart>
      <c:catAx>
        <c:axId val="48834710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88349064"/>
        <c:crosses val="autoZero"/>
        <c:auto val="1"/>
        <c:lblAlgn val="ctr"/>
        <c:lblOffset val="100"/>
        <c:tickLblSkip val="1"/>
        <c:tickMarkSkip val="1"/>
        <c:noMultiLvlLbl val="0"/>
      </c:catAx>
      <c:valAx>
        <c:axId val="488349064"/>
        <c:scaling>
          <c:orientation val="minMax"/>
          <c:max val="0.30000000000000004"/>
          <c:min val="0.1"/>
        </c:scaling>
        <c:delete val="0"/>
        <c:axPos val="l"/>
        <c:majorGridlines>
          <c:spPr>
            <a:ln w="3175">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88347104"/>
        <c:crosses val="autoZero"/>
        <c:crossBetween val="between"/>
        <c:majorUnit val="3"/>
        <c:minorUnit val="0.1"/>
        <c:dispUnits>
          <c:builtInUnit val="millions"/>
          <c:dispUnitsLbl/>
        </c:dispUnits>
      </c:valAx>
      <c:spPr>
        <a:gradFill rotWithShape="0">
          <a:gsLst>
            <a:gs pos="0">
              <a:srgbClr val="FFEFD1"/>
            </a:gs>
            <a:gs pos="64999">
              <a:srgbClr val="F0EBD5"/>
            </a:gs>
            <a:gs pos="100000">
              <a:srgbClr val="D1C39F"/>
            </a:gs>
          </a:gsLst>
          <a:lin ang="5400000" scaled="0"/>
        </a:gradFill>
        <a:ln w="12700">
          <a:solidFill>
            <a:srgbClr val="808080"/>
          </a:solidFill>
          <a:prstDash val="solid"/>
        </a:ln>
      </c:spPr>
    </c:plotArea>
    <c:legend>
      <c:legendPos val="t"/>
      <c:layout>
        <c:manualLayout>
          <c:xMode val="edge"/>
          <c:yMode val="edge"/>
          <c:x val="0.38965041692069907"/>
          <c:y val="3.1070333599608892E-2"/>
          <c:w val="0.29934254663665238"/>
          <c:h val="6.9565521701091593E-2"/>
        </c:manualLayout>
      </c:layout>
      <c:overlay val="0"/>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horizontalDpi="300" verticalDpi="30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644513137558043E-2"/>
          <c:y val="0.15229927795910544"/>
          <c:w val="0.8887171561051006"/>
          <c:h val="0.72126639184398456"/>
        </c:manualLayout>
      </c:layout>
      <c:lineChart>
        <c:grouping val="standard"/>
        <c:varyColors val="0"/>
        <c:ser>
          <c:idx val="0"/>
          <c:order val="0"/>
          <c:tx>
            <c:v>Generation in MU's</c:v>
          </c:tx>
          <c:spPr>
            <a:ln w="12700">
              <a:solidFill>
                <a:srgbClr val="000080"/>
              </a:solidFill>
              <a:prstDash val="solid"/>
            </a:ln>
          </c:spPr>
          <c:marker>
            <c:symbol val="diamond"/>
            <c:size val="5"/>
            <c:spPr>
              <a:solidFill>
                <a:srgbClr val="000080"/>
              </a:solidFill>
              <a:ln>
                <a:solidFill>
                  <a:srgbClr val="000080"/>
                </a:solidFill>
                <a:prstDash val="solid"/>
              </a:ln>
            </c:spPr>
          </c:marker>
          <c:val>
            <c:numRef>
              <c:f>UNITS!$C$7:$AF$7</c:f>
              <c:numCache>
                <c:formatCode>0.000</c:formatCode>
                <c:ptCount val="30"/>
                <c:pt idx="0">
                  <c:v>0.99</c:v>
                </c:pt>
                <c:pt idx="1">
                  <c:v>0.96899999999999997</c:v>
                </c:pt>
                <c:pt idx="2">
                  <c:v>1.014</c:v>
                </c:pt>
                <c:pt idx="3">
                  <c:v>1.0349999999999999</c:v>
                </c:pt>
                <c:pt idx="4">
                  <c:v>1.032</c:v>
                </c:pt>
                <c:pt idx="5">
                  <c:v>1</c:v>
                </c:pt>
                <c:pt idx="6">
                  <c:v>1.05</c:v>
                </c:pt>
                <c:pt idx="7">
                  <c:v>1.032</c:v>
                </c:pt>
                <c:pt idx="8">
                  <c:v>1.052</c:v>
                </c:pt>
                <c:pt idx="9">
                  <c:v>1.0549999999999999</c:v>
                </c:pt>
                <c:pt idx="10">
                  <c:v>1.0129999999999999</c:v>
                </c:pt>
                <c:pt idx="11">
                  <c:v>1.0189999999999999</c:v>
                </c:pt>
                <c:pt idx="12">
                  <c:v>1.004</c:v>
                </c:pt>
                <c:pt idx="13">
                  <c:v>0.97799999999999998</c:v>
                </c:pt>
                <c:pt idx="14">
                  <c:v>0.97599999999999998</c:v>
                </c:pt>
                <c:pt idx="15">
                  <c:v>0.98799999999999999</c:v>
                </c:pt>
                <c:pt idx="16">
                  <c:v>1.0089999999999999</c:v>
                </c:pt>
                <c:pt idx="17">
                  <c:v>1.016</c:v>
                </c:pt>
                <c:pt idx="18">
                  <c:v>0.96799999999999997</c:v>
                </c:pt>
                <c:pt idx="19">
                  <c:v>0.96099999999999997</c:v>
                </c:pt>
                <c:pt idx="20">
                  <c:v>0.94099999999999995</c:v>
                </c:pt>
                <c:pt idx="21">
                  <c:v>1.02</c:v>
                </c:pt>
                <c:pt idx="22">
                  <c:v>1.048</c:v>
                </c:pt>
                <c:pt idx="23">
                  <c:v>1.0720000000000001</c:v>
                </c:pt>
                <c:pt idx="24">
                  <c:v>1.0640000000000001</c:v>
                </c:pt>
                <c:pt idx="25">
                  <c:v>0.93100000000000005</c:v>
                </c:pt>
                <c:pt idx="26">
                  <c:v>0.88300000000000001</c:v>
                </c:pt>
                <c:pt idx="27">
                  <c:v>0.88</c:v>
                </c:pt>
                <c:pt idx="28">
                  <c:v>0.97099999999999997</c:v>
                </c:pt>
                <c:pt idx="29">
                  <c:v>1.0740000000000001</c:v>
                </c:pt>
              </c:numCache>
            </c:numRef>
          </c:val>
          <c:smooth val="0"/>
          <c:extLst>
            <c:ext xmlns:c16="http://schemas.microsoft.com/office/drawing/2014/chart" uri="{C3380CC4-5D6E-409C-BE32-E72D297353CC}">
              <c16:uniqueId val="{00000000-B6B9-416A-A48C-BC70281A35DE}"/>
            </c:ext>
          </c:extLst>
        </c:ser>
        <c:dLbls>
          <c:showLegendKey val="0"/>
          <c:showVal val="0"/>
          <c:showCatName val="0"/>
          <c:showSerName val="0"/>
          <c:showPercent val="0"/>
          <c:showBubbleSize val="0"/>
        </c:dLbls>
        <c:marker val="1"/>
        <c:smooth val="0"/>
        <c:axId val="488347496"/>
        <c:axId val="488346712"/>
      </c:lineChart>
      <c:catAx>
        <c:axId val="4883474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488346712"/>
        <c:crosses val="autoZero"/>
        <c:auto val="1"/>
        <c:lblAlgn val="ctr"/>
        <c:lblOffset val="100"/>
        <c:tickLblSkip val="1"/>
        <c:tickMarkSkip val="1"/>
        <c:noMultiLvlLbl val="0"/>
      </c:catAx>
      <c:valAx>
        <c:axId val="488346712"/>
        <c:scaling>
          <c:orientation val="minMax"/>
          <c:max val="2"/>
          <c:min val="0"/>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488347496"/>
        <c:crosses val="autoZero"/>
        <c:crossBetween val="between"/>
        <c:majorUnit val="0.5"/>
      </c:valAx>
      <c:spPr>
        <a:solidFill>
          <a:srgbClr val="C0C0C0"/>
        </a:solidFill>
        <a:ln w="12700">
          <a:solidFill>
            <a:srgbClr val="808080"/>
          </a:solidFill>
          <a:prstDash val="solid"/>
        </a:ln>
      </c:spPr>
    </c:plotArea>
    <c:legend>
      <c:legendPos val="r"/>
      <c:legendEntry>
        <c:idx val="0"/>
        <c:txPr>
          <a:bodyPr/>
          <a:lstStyle/>
          <a:p>
            <a:pPr>
              <a:defRPr sz="1000" b="0" i="0" u="none" strike="noStrike" baseline="0">
                <a:solidFill>
                  <a:srgbClr val="000000"/>
                </a:solidFill>
                <a:latin typeface="Arial"/>
                <a:ea typeface="Arial"/>
                <a:cs typeface="Arial"/>
              </a:defRPr>
            </a:pPr>
            <a:endParaRPr lang="en-US"/>
          </a:p>
        </c:txPr>
      </c:legendEntry>
      <c:layout>
        <c:manualLayout>
          <c:xMode val="edge"/>
          <c:yMode val="edge"/>
          <c:x val="0.34775888717157138"/>
          <c:y val="2.2988505747126436E-2"/>
          <c:w val="0.28894530378451388"/>
          <c:h val="5.9003831417624934E-2"/>
        </c:manualLayout>
      </c:layout>
      <c:overlay val="0"/>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2050334578668208E-2"/>
          <c:y val="0.1551728492413379"/>
          <c:w val="0.88842519888805149"/>
          <c:h val="0.71551924927950261"/>
        </c:manualLayout>
      </c:layout>
      <c:lineChart>
        <c:grouping val="standard"/>
        <c:varyColors val="0"/>
        <c:ser>
          <c:idx val="0"/>
          <c:order val="0"/>
          <c:tx>
            <c:v>PLF-For the Date</c:v>
          </c:tx>
          <c:spPr>
            <a:ln w="12700">
              <a:solidFill>
                <a:srgbClr val="000080"/>
              </a:solidFill>
              <a:prstDash val="solid"/>
            </a:ln>
          </c:spPr>
          <c:marker>
            <c:symbol val="diamond"/>
            <c:size val="5"/>
            <c:spPr>
              <a:solidFill>
                <a:srgbClr val="000080"/>
              </a:solidFill>
              <a:ln>
                <a:solidFill>
                  <a:srgbClr val="000080"/>
                </a:solidFill>
                <a:prstDash val="solid"/>
              </a:ln>
            </c:spPr>
          </c:marker>
          <c:val>
            <c:numRef>
              <c:f>UNITS!$C$14:$AF$14</c:f>
              <c:numCache>
                <c:formatCode>0.00</c:formatCode>
                <c:ptCount val="30"/>
                <c:pt idx="0">
                  <c:v>98.6304947701624</c:v>
                </c:pt>
                <c:pt idx="1">
                  <c:v>96.443592804397326</c:v>
                </c:pt>
                <c:pt idx="2">
                  <c:v>100.79082522357832</c:v>
                </c:pt>
                <c:pt idx="3">
                  <c:v>102.86992567378699</c:v>
                </c:pt>
                <c:pt idx="4">
                  <c:v>102.89579587269689</c:v>
                </c:pt>
                <c:pt idx="5">
                  <c:v>99.327786359385911</c:v>
                </c:pt>
                <c:pt idx="6">
                  <c:v>104.47034411729071</c:v>
                </c:pt>
                <c:pt idx="7">
                  <c:v>102.71719576719576</c:v>
                </c:pt>
                <c:pt idx="8">
                  <c:v>104.77476701213143</c:v>
                </c:pt>
                <c:pt idx="9">
                  <c:v>104.87127353928429</c:v>
                </c:pt>
                <c:pt idx="10">
                  <c:v>100.76044988634435</c:v>
                </c:pt>
                <c:pt idx="11">
                  <c:v>101.48710397320708</c:v>
                </c:pt>
                <c:pt idx="12">
                  <c:v>100.07265831679895</c:v>
                </c:pt>
                <c:pt idx="13">
                  <c:v>97.167019324853229</c:v>
                </c:pt>
                <c:pt idx="14">
                  <c:v>97.113502386417466</c:v>
                </c:pt>
                <c:pt idx="15">
                  <c:v>98.182626328266977</c:v>
                </c:pt>
                <c:pt idx="16">
                  <c:v>100.24538118274776</c:v>
                </c:pt>
                <c:pt idx="17">
                  <c:v>101.07181254626201</c:v>
                </c:pt>
                <c:pt idx="18">
                  <c:v>96.296284057045554</c:v>
                </c:pt>
                <c:pt idx="19">
                  <c:v>95.676332326578333</c:v>
                </c:pt>
                <c:pt idx="20">
                  <c:v>93.559077546491025</c:v>
                </c:pt>
                <c:pt idx="21">
                  <c:v>101.58567914250573</c:v>
                </c:pt>
                <c:pt idx="22">
                  <c:v>104.229591674068</c:v>
                </c:pt>
                <c:pt idx="23">
                  <c:v>106.53345860236752</c:v>
                </c:pt>
                <c:pt idx="24">
                  <c:v>106.03565108448829</c:v>
                </c:pt>
                <c:pt idx="25">
                  <c:v>92.714256535947712</c:v>
                </c:pt>
                <c:pt idx="26">
                  <c:v>88.255561245745426</c:v>
                </c:pt>
                <c:pt idx="27">
                  <c:v>87.537650793650783</c:v>
                </c:pt>
                <c:pt idx="28">
                  <c:v>96.613930072405324</c:v>
                </c:pt>
                <c:pt idx="29">
                  <c:v>107.0318249813014</c:v>
                </c:pt>
              </c:numCache>
            </c:numRef>
          </c:val>
          <c:smooth val="0"/>
          <c:extLst>
            <c:ext xmlns:c16="http://schemas.microsoft.com/office/drawing/2014/chart" uri="{C3380CC4-5D6E-409C-BE32-E72D297353CC}">
              <c16:uniqueId val="{00000000-8978-4D69-A08B-4D51BE89C868}"/>
            </c:ext>
          </c:extLst>
        </c:ser>
        <c:ser>
          <c:idx val="1"/>
          <c:order val="1"/>
          <c:tx>
            <c:v>PLF-For the Month</c:v>
          </c:tx>
          <c:spPr>
            <a:ln w="12700">
              <a:solidFill>
                <a:srgbClr val="FF00FF"/>
              </a:solidFill>
              <a:prstDash val="solid"/>
            </a:ln>
          </c:spPr>
          <c:marker>
            <c:symbol val="square"/>
            <c:size val="5"/>
            <c:spPr>
              <a:solidFill>
                <a:srgbClr val="FF00FF"/>
              </a:solidFill>
              <a:ln>
                <a:solidFill>
                  <a:srgbClr val="FF00FF"/>
                </a:solidFill>
                <a:prstDash val="solid"/>
              </a:ln>
            </c:spPr>
          </c:marker>
          <c:val>
            <c:numRef>
              <c:f>UNITS!$C$15:$AF$15</c:f>
              <c:numCache>
                <c:formatCode>0.00</c:formatCode>
                <c:ptCount val="30"/>
                <c:pt idx="0">
                  <c:v>98.6304947701624</c:v>
                </c:pt>
                <c:pt idx="1">
                  <c:v>97.537043787279856</c:v>
                </c:pt>
                <c:pt idx="2">
                  <c:v>98.621637599379355</c:v>
                </c:pt>
                <c:pt idx="3">
                  <c:v>99.683709617981251</c:v>
                </c:pt>
                <c:pt idx="4">
                  <c:v>100.32612686892439</c:v>
                </c:pt>
                <c:pt idx="5">
                  <c:v>100.15973678400131</c:v>
                </c:pt>
                <c:pt idx="6">
                  <c:v>100.77553783161407</c:v>
                </c:pt>
                <c:pt idx="7">
                  <c:v>101.01824507356179</c:v>
                </c:pt>
                <c:pt idx="8">
                  <c:v>101.43563640006953</c:v>
                </c:pt>
                <c:pt idx="9">
                  <c:v>101.77920011399101</c:v>
                </c:pt>
                <c:pt idx="10">
                  <c:v>101.6865864569322</c:v>
                </c:pt>
                <c:pt idx="11">
                  <c:v>101.66996291662177</c:v>
                </c:pt>
                <c:pt idx="12">
                  <c:v>101.54709333202003</c:v>
                </c:pt>
                <c:pt idx="13">
                  <c:v>101.23423090293669</c:v>
                </c:pt>
                <c:pt idx="14">
                  <c:v>100.95951566850208</c:v>
                </c:pt>
                <c:pt idx="15">
                  <c:v>100.78596008473738</c:v>
                </c:pt>
                <c:pt idx="16">
                  <c:v>100.75416132579683</c:v>
                </c:pt>
                <c:pt idx="17">
                  <c:v>100.77180861582268</c:v>
                </c:pt>
                <c:pt idx="18">
                  <c:v>100.53625469167652</c:v>
                </c:pt>
                <c:pt idx="19">
                  <c:v>100.29325857342161</c:v>
                </c:pt>
                <c:pt idx="20">
                  <c:v>99.972583286424921</c:v>
                </c:pt>
                <c:pt idx="21">
                  <c:v>100.0459058253377</c:v>
                </c:pt>
                <c:pt idx="22">
                  <c:v>100.22780521006509</c:v>
                </c:pt>
                <c:pt idx="23">
                  <c:v>100.49054076807769</c:v>
                </c:pt>
                <c:pt idx="24">
                  <c:v>100.7123451807341</c:v>
                </c:pt>
                <c:pt idx="25">
                  <c:v>100.40472638670387</c:v>
                </c:pt>
                <c:pt idx="26">
                  <c:v>99.95475730740911</c:v>
                </c:pt>
                <c:pt idx="27">
                  <c:v>99.511289217632026</c:v>
                </c:pt>
                <c:pt idx="28">
                  <c:v>99.411380281589729</c:v>
                </c:pt>
                <c:pt idx="29">
                  <c:v>99.665395104913458</c:v>
                </c:pt>
              </c:numCache>
            </c:numRef>
          </c:val>
          <c:smooth val="0"/>
          <c:extLst>
            <c:ext xmlns:c16="http://schemas.microsoft.com/office/drawing/2014/chart" uri="{C3380CC4-5D6E-409C-BE32-E72D297353CC}">
              <c16:uniqueId val="{00000001-8978-4D69-A08B-4D51BE89C868}"/>
            </c:ext>
          </c:extLst>
        </c:ser>
        <c:dLbls>
          <c:showLegendKey val="0"/>
          <c:showVal val="0"/>
          <c:showCatName val="0"/>
          <c:showSerName val="0"/>
          <c:showPercent val="0"/>
          <c:showBubbleSize val="0"/>
        </c:dLbls>
        <c:marker val="1"/>
        <c:smooth val="0"/>
        <c:axId val="488349848"/>
        <c:axId val="488343184"/>
      </c:lineChart>
      <c:catAx>
        <c:axId val="48834984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88343184"/>
        <c:crosses val="autoZero"/>
        <c:auto val="1"/>
        <c:lblAlgn val="ctr"/>
        <c:lblOffset val="100"/>
        <c:tickLblSkip val="1"/>
        <c:tickMarkSkip val="1"/>
        <c:noMultiLvlLbl val="0"/>
      </c:catAx>
      <c:valAx>
        <c:axId val="488343184"/>
        <c:scaling>
          <c:orientation val="minMax"/>
          <c:max val="110"/>
          <c:min val="0"/>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88349848"/>
        <c:crosses val="autoZero"/>
        <c:crossBetween val="between"/>
        <c:majorUnit val="20"/>
      </c:valAx>
      <c:spPr>
        <a:solidFill>
          <a:srgbClr val="C0C0C0"/>
        </a:solidFill>
        <a:ln w="12700">
          <a:solidFill>
            <a:srgbClr val="808080"/>
          </a:solidFill>
          <a:prstDash val="solid"/>
        </a:ln>
      </c:spPr>
    </c:plotArea>
    <c:legend>
      <c:legendPos val="t"/>
      <c:legendEntry>
        <c:idx val="0"/>
        <c:txPr>
          <a:bodyPr/>
          <a:lstStyle/>
          <a:p>
            <a:pPr>
              <a:defRPr sz="1000" b="0" i="0" u="none" strike="noStrike" baseline="0">
                <a:solidFill>
                  <a:srgbClr val="000000"/>
                </a:solidFill>
                <a:latin typeface="Arial"/>
                <a:ea typeface="Arial"/>
                <a:cs typeface="Arial"/>
              </a:defRPr>
            </a:pPr>
            <a:endParaRPr lang="en-US"/>
          </a:p>
        </c:txPr>
      </c:legendEntry>
      <c:legendEntry>
        <c:idx val="1"/>
        <c:txPr>
          <a:bodyPr/>
          <a:lstStyle/>
          <a:p>
            <a:pPr>
              <a:defRPr sz="1000" b="0" i="0" u="none" strike="noStrike" baseline="0">
                <a:solidFill>
                  <a:srgbClr val="000000"/>
                </a:solidFill>
                <a:latin typeface="Arial"/>
                <a:ea typeface="Arial"/>
                <a:cs typeface="Arial"/>
              </a:defRPr>
            </a:pPr>
            <a:endParaRPr lang="en-US"/>
          </a:p>
        </c:txPr>
      </c:legendEntry>
      <c:layout>
        <c:manualLayout>
          <c:xMode val="edge"/>
          <c:yMode val="edge"/>
          <c:x val="0.33612321376502247"/>
          <c:y val="2.2988474266803605E-2"/>
          <c:w val="0.39888466025094615"/>
          <c:h val="6.8965727110198424E-2"/>
        </c:manualLayout>
      </c:layout>
      <c:overlay val="0"/>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644513137558043E-2"/>
          <c:y val="0.15229885057482859"/>
          <c:w val="0.8887171561051006"/>
          <c:h val="0.72126436781609149"/>
        </c:manualLayout>
      </c:layout>
      <c:lineChart>
        <c:grouping val="standard"/>
        <c:varyColors val="0"/>
        <c:ser>
          <c:idx val="0"/>
          <c:order val="0"/>
          <c:tx>
            <c:v>Generation in MU's</c:v>
          </c:tx>
          <c:spPr>
            <a:ln w="12700">
              <a:solidFill>
                <a:srgbClr val="000080"/>
              </a:solidFill>
              <a:prstDash val="solid"/>
            </a:ln>
          </c:spPr>
          <c:marker>
            <c:symbol val="diamond"/>
            <c:size val="5"/>
            <c:spPr>
              <a:solidFill>
                <a:srgbClr val="000080"/>
              </a:solidFill>
              <a:ln>
                <a:solidFill>
                  <a:srgbClr val="000080"/>
                </a:solidFill>
                <a:prstDash val="solid"/>
              </a:ln>
            </c:spPr>
          </c:marker>
          <c:val>
            <c:numRef>
              <c:f>UNITS!$C$34:$AF$34</c:f>
              <c:numCache>
                <c:formatCode>0.000</c:formatCode>
                <c:ptCount val="30"/>
                <c:pt idx="0">
                  <c:v>0.95</c:v>
                </c:pt>
                <c:pt idx="1">
                  <c:v>0.94799999999999995</c:v>
                </c:pt>
                <c:pt idx="2">
                  <c:v>0.96899999999999997</c:v>
                </c:pt>
                <c:pt idx="3">
                  <c:v>1.0249999999999999</c:v>
                </c:pt>
                <c:pt idx="4">
                  <c:v>1.0269999999999999</c:v>
                </c:pt>
                <c:pt idx="5">
                  <c:v>1.012</c:v>
                </c:pt>
                <c:pt idx="6">
                  <c:v>1.0469999999999999</c:v>
                </c:pt>
                <c:pt idx="7">
                  <c:v>1.0269999999999999</c:v>
                </c:pt>
                <c:pt idx="8">
                  <c:v>1.0549999999999999</c:v>
                </c:pt>
                <c:pt idx="9">
                  <c:v>1.0629999999999999</c:v>
                </c:pt>
                <c:pt idx="10">
                  <c:v>1.0249999999999999</c:v>
                </c:pt>
                <c:pt idx="11">
                  <c:v>1.0780000000000001</c:v>
                </c:pt>
                <c:pt idx="12">
                  <c:v>1.014</c:v>
                </c:pt>
                <c:pt idx="13">
                  <c:v>0.99299999999999999</c:v>
                </c:pt>
                <c:pt idx="14">
                  <c:v>0.98199999999999998</c:v>
                </c:pt>
                <c:pt idx="15">
                  <c:v>0.99299999999999999</c:v>
                </c:pt>
                <c:pt idx="16">
                  <c:v>1.004</c:v>
                </c:pt>
                <c:pt idx="17">
                  <c:v>1.03</c:v>
                </c:pt>
                <c:pt idx="18">
                  <c:v>0.98499999999999999</c:v>
                </c:pt>
                <c:pt idx="19">
                  <c:v>0.95</c:v>
                </c:pt>
                <c:pt idx="20">
                  <c:v>0.95</c:v>
                </c:pt>
                <c:pt idx="21">
                  <c:v>1.012</c:v>
                </c:pt>
                <c:pt idx="22">
                  <c:v>1.0529999999999999</c:v>
                </c:pt>
                <c:pt idx="23">
                  <c:v>1.073</c:v>
                </c:pt>
                <c:pt idx="24">
                  <c:v>1.083</c:v>
                </c:pt>
                <c:pt idx="25">
                  <c:v>0.92200000000000004</c:v>
                </c:pt>
                <c:pt idx="26">
                  <c:v>0.90600000000000003</c:v>
                </c:pt>
                <c:pt idx="27">
                  <c:v>0.94199999999999995</c:v>
                </c:pt>
                <c:pt idx="28">
                  <c:v>1.002</c:v>
                </c:pt>
                <c:pt idx="29">
                  <c:v>1.0900000000000001</c:v>
                </c:pt>
              </c:numCache>
            </c:numRef>
          </c:val>
          <c:smooth val="0"/>
          <c:extLst>
            <c:ext xmlns:c16="http://schemas.microsoft.com/office/drawing/2014/chart" uri="{C3380CC4-5D6E-409C-BE32-E72D297353CC}">
              <c16:uniqueId val="{00000000-0066-48BA-8BCA-AEAFBFFBA282}"/>
            </c:ext>
          </c:extLst>
        </c:ser>
        <c:dLbls>
          <c:showLegendKey val="0"/>
          <c:showVal val="0"/>
          <c:showCatName val="0"/>
          <c:showSerName val="0"/>
          <c:showPercent val="0"/>
          <c:showBubbleSize val="0"/>
        </c:dLbls>
        <c:marker val="1"/>
        <c:smooth val="0"/>
        <c:axId val="488348280"/>
        <c:axId val="488348672"/>
      </c:lineChart>
      <c:catAx>
        <c:axId val="4883482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488348672"/>
        <c:crosses val="autoZero"/>
        <c:auto val="1"/>
        <c:lblAlgn val="ctr"/>
        <c:lblOffset val="100"/>
        <c:tickLblSkip val="1"/>
        <c:tickMarkSkip val="1"/>
        <c:noMultiLvlLbl val="0"/>
      </c:catAx>
      <c:valAx>
        <c:axId val="488348672"/>
        <c:scaling>
          <c:orientation val="minMax"/>
          <c:max val="2"/>
          <c:min val="0"/>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488348280"/>
        <c:crosses val="autoZero"/>
        <c:crossBetween val="between"/>
        <c:majorUnit val="0.5"/>
      </c:valAx>
      <c:spPr>
        <a:solidFill>
          <a:srgbClr val="C0C0C0"/>
        </a:solidFill>
        <a:ln w="12700">
          <a:solidFill>
            <a:srgbClr val="808080"/>
          </a:solidFill>
          <a:prstDash val="solid"/>
        </a:ln>
      </c:spPr>
    </c:plotArea>
    <c:legend>
      <c:legendPos val="r"/>
      <c:legendEntry>
        <c:idx val="0"/>
        <c:txPr>
          <a:bodyPr/>
          <a:lstStyle/>
          <a:p>
            <a:pPr>
              <a:defRPr sz="1000" b="0" i="0" u="none" strike="noStrike" baseline="0">
                <a:solidFill>
                  <a:srgbClr val="000000"/>
                </a:solidFill>
                <a:latin typeface="Arial"/>
                <a:ea typeface="Arial"/>
                <a:cs typeface="Arial"/>
              </a:defRPr>
            </a:pPr>
            <a:endParaRPr lang="en-US"/>
          </a:p>
        </c:txPr>
      </c:legendEntry>
      <c:layout>
        <c:manualLayout>
          <c:xMode val="edge"/>
          <c:yMode val="edge"/>
          <c:x val="0.42194744976816084"/>
          <c:y val="2.2988587100769751E-2"/>
          <c:w val="0.22411128284389994"/>
          <c:h val="6.8965466395352379E-2"/>
        </c:manualLayout>
      </c:layout>
      <c:overlay val="0"/>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 Id="rId9"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3.xml"/><Relationship Id="rId3" Type="http://schemas.openxmlformats.org/officeDocument/2006/relationships/chart" Target="../charts/chart18.xml"/><Relationship Id="rId7" Type="http://schemas.openxmlformats.org/officeDocument/2006/relationships/chart" Target="../charts/chart22.xml"/><Relationship Id="rId12" Type="http://schemas.openxmlformats.org/officeDocument/2006/relationships/chart" Target="../charts/chart27.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11" Type="http://schemas.openxmlformats.org/officeDocument/2006/relationships/chart" Target="../charts/chart26.xml"/><Relationship Id="rId5" Type="http://schemas.openxmlformats.org/officeDocument/2006/relationships/chart" Target="../charts/chart20.xml"/><Relationship Id="rId10" Type="http://schemas.openxmlformats.org/officeDocument/2006/relationships/chart" Target="../charts/chart25.xml"/><Relationship Id="rId4" Type="http://schemas.openxmlformats.org/officeDocument/2006/relationships/chart" Target="../charts/chart19.xml"/><Relationship Id="rId9" Type="http://schemas.openxmlformats.org/officeDocument/2006/relationships/chart" Target="../charts/chart2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 Id="rId4" Type="http://schemas.openxmlformats.org/officeDocument/2006/relationships/chart" Target="../charts/chart31.xml"/></Relationships>
</file>

<file path=xl/drawings/drawing1.xml><?xml version="1.0" encoding="utf-8"?>
<xdr:wsDr xmlns:xdr="http://schemas.openxmlformats.org/drawingml/2006/spreadsheetDrawing" xmlns:a="http://schemas.openxmlformats.org/drawingml/2006/main">
  <xdr:twoCellAnchor>
    <xdr:from>
      <xdr:col>2</xdr:col>
      <xdr:colOff>466725</xdr:colOff>
      <xdr:row>73</xdr:row>
      <xdr:rowOff>133350</xdr:rowOff>
    </xdr:from>
    <xdr:to>
      <xdr:col>21</xdr:col>
      <xdr:colOff>571500</xdr:colOff>
      <xdr:row>94</xdr:row>
      <xdr:rowOff>28575</xdr:rowOff>
    </xdr:to>
    <xdr:graphicFrame macro="">
      <xdr:nvGraphicFramePr>
        <xdr:cNvPr id="64344502" name="Chart 1">
          <a:extLst>
            <a:ext uri="{FF2B5EF4-FFF2-40B4-BE49-F238E27FC236}">
              <a16:creationId xmlns:a16="http://schemas.microsoft.com/office/drawing/2014/main" id="{00000000-0008-0000-0000-0000B6D1D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466725</xdr:colOff>
      <xdr:row>94</xdr:row>
      <xdr:rowOff>142875</xdr:rowOff>
    </xdr:from>
    <xdr:to>
      <xdr:col>21</xdr:col>
      <xdr:colOff>266700</xdr:colOff>
      <xdr:row>115</xdr:row>
      <xdr:rowOff>104775</xdr:rowOff>
    </xdr:to>
    <xdr:graphicFrame macro="">
      <xdr:nvGraphicFramePr>
        <xdr:cNvPr id="64344503" name="Chart 2">
          <a:extLst>
            <a:ext uri="{FF2B5EF4-FFF2-40B4-BE49-F238E27FC236}">
              <a16:creationId xmlns:a16="http://schemas.microsoft.com/office/drawing/2014/main" id="{00000000-0008-0000-0000-0000B7D1D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xdr:colOff>
      <xdr:row>139</xdr:row>
      <xdr:rowOff>28575</xdr:rowOff>
    </xdr:from>
    <xdr:to>
      <xdr:col>21</xdr:col>
      <xdr:colOff>409575</xdr:colOff>
      <xdr:row>159</xdr:row>
      <xdr:rowOff>76200</xdr:rowOff>
    </xdr:to>
    <xdr:graphicFrame macro="">
      <xdr:nvGraphicFramePr>
        <xdr:cNvPr id="64344504" name="Chart 3">
          <a:extLst>
            <a:ext uri="{FF2B5EF4-FFF2-40B4-BE49-F238E27FC236}">
              <a16:creationId xmlns:a16="http://schemas.microsoft.com/office/drawing/2014/main" id="{00000000-0008-0000-0000-0000B8D1D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457200</xdr:colOff>
      <xdr:row>116</xdr:row>
      <xdr:rowOff>57150</xdr:rowOff>
    </xdr:from>
    <xdr:to>
      <xdr:col>21</xdr:col>
      <xdr:colOff>247650</xdr:colOff>
      <xdr:row>136</xdr:row>
      <xdr:rowOff>142875</xdr:rowOff>
    </xdr:to>
    <xdr:graphicFrame macro="">
      <xdr:nvGraphicFramePr>
        <xdr:cNvPr id="64344505" name="Chart 4">
          <a:extLst>
            <a:ext uri="{FF2B5EF4-FFF2-40B4-BE49-F238E27FC236}">
              <a16:creationId xmlns:a16="http://schemas.microsoft.com/office/drawing/2014/main" id="{00000000-0008-0000-0000-0000B9D1D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581025</xdr:colOff>
      <xdr:row>160</xdr:row>
      <xdr:rowOff>47625</xdr:rowOff>
    </xdr:from>
    <xdr:to>
      <xdr:col>21</xdr:col>
      <xdr:colOff>423333</xdr:colOff>
      <xdr:row>180</xdr:row>
      <xdr:rowOff>133350</xdr:rowOff>
    </xdr:to>
    <xdr:graphicFrame macro="">
      <xdr:nvGraphicFramePr>
        <xdr:cNvPr id="64344506" name="Chart 5">
          <a:extLst>
            <a:ext uri="{FF2B5EF4-FFF2-40B4-BE49-F238E27FC236}">
              <a16:creationId xmlns:a16="http://schemas.microsoft.com/office/drawing/2014/main" id="{00000000-0008-0000-0000-0000BAD1D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183</xdr:row>
      <xdr:rowOff>0</xdr:rowOff>
    </xdr:from>
    <xdr:to>
      <xdr:col>21</xdr:col>
      <xdr:colOff>400050</xdr:colOff>
      <xdr:row>203</xdr:row>
      <xdr:rowOff>47625</xdr:rowOff>
    </xdr:to>
    <xdr:graphicFrame macro="">
      <xdr:nvGraphicFramePr>
        <xdr:cNvPr id="7" name="Chart 3">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3</xdr:row>
      <xdr:rowOff>38100</xdr:rowOff>
    </xdr:from>
    <xdr:to>
      <xdr:col>10</xdr:col>
      <xdr:colOff>152400</xdr:colOff>
      <xdr:row>23</xdr:row>
      <xdr:rowOff>114300</xdr:rowOff>
    </xdr:to>
    <xdr:graphicFrame macro="">
      <xdr:nvGraphicFramePr>
        <xdr:cNvPr id="64753309" name="Chart 1">
          <a:extLst>
            <a:ext uri="{FF2B5EF4-FFF2-40B4-BE49-F238E27FC236}">
              <a16:creationId xmlns:a16="http://schemas.microsoft.com/office/drawing/2014/main" id="{00000000-0008-0000-0800-00009D0ED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257175</xdr:colOff>
      <xdr:row>3</xdr:row>
      <xdr:rowOff>38100</xdr:rowOff>
    </xdr:from>
    <xdr:to>
      <xdr:col>21</xdr:col>
      <xdr:colOff>409575</xdr:colOff>
      <xdr:row>23</xdr:row>
      <xdr:rowOff>85725</xdr:rowOff>
    </xdr:to>
    <xdr:graphicFrame macro="">
      <xdr:nvGraphicFramePr>
        <xdr:cNvPr id="64753310" name="Chart 2">
          <a:extLst>
            <a:ext uri="{FF2B5EF4-FFF2-40B4-BE49-F238E27FC236}">
              <a16:creationId xmlns:a16="http://schemas.microsoft.com/office/drawing/2014/main" id="{00000000-0008-0000-0800-00009E0ED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200025</xdr:colOff>
      <xdr:row>57</xdr:row>
      <xdr:rowOff>142875</xdr:rowOff>
    </xdr:from>
    <xdr:to>
      <xdr:col>10</xdr:col>
      <xdr:colOff>266700</xdr:colOff>
      <xdr:row>78</xdr:row>
      <xdr:rowOff>133350</xdr:rowOff>
    </xdr:to>
    <xdr:graphicFrame macro="">
      <xdr:nvGraphicFramePr>
        <xdr:cNvPr id="64753311" name="Chart 5">
          <a:extLst>
            <a:ext uri="{FF2B5EF4-FFF2-40B4-BE49-F238E27FC236}">
              <a16:creationId xmlns:a16="http://schemas.microsoft.com/office/drawing/2014/main" id="{00000000-0008-0000-0800-00009F0ED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104775</xdr:colOff>
      <xdr:row>57</xdr:row>
      <xdr:rowOff>133350</xdr:rowOff>
    </xdr:from>
    <xdr:to>
      <xdr:col>21</xdr:col>
      <xdr:colOff>409575</xdr:colOff>
      <xdr:row>78</xdr:row>
      <xdr:rowOff>123825</xdr:rowOff>
    </xdr:to>
    <xdr:graphicFrame macro="">
      <xdr:nvGraphicFramePr>
        <xdr:cNvPr id="64753312" name="Chart 6">
          <a:extLst>
            <a:ext uri="{FF2B5EF4-FFF2-40B4-BE49-F238E27FC236}">
              <a16:creationId xmlns:a16="http://schemas.microsoft.com/office/drawing/2014/main" id="{00000000-0008-0000-0800-0000A00ED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419100</xdr:colOff>
      <xdr:row>82</xdr:row>
      <xdr:rowOff>133350</xdr:rowOff>
    </xdr:from>
    <xdr:to>
      <xdr:col>10</xdr:col>
      <xdr:colOff>390525</xdr:colOff>
      <xdr:row>101</xdr:row>
      <xdr:rowOff>152400</xdr:rowOff>
    </xdr:to>
    <xdr:graphicFrame macro="">
      <xdr:nvGraphicFramePr>
        <xdr:cNvPr id="64753313" name="Chart 7">
          <a:extLst>
            <a:ext uri="{FF2B5EF4-FFF2-40B4-BE49-F238E27FC236}">
              <a16:creationId xmlns:a16="http://schemas.microsoft.com/office/drawing/2014/main" id="{00000000-0008-0000-0800-0000A10ED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85725</xdr:colOff>
      <xdr:row>25</xdr:row>
      <xdr:rowOff>38100</xdr:rowOff>
    </xdr:from>
    <xdr:to>
      <xdr:col>10</xdr:col>
      <xdr:colOff>171450</xdr:colOff>
      <xdr:row>44</xdr:row>
      <xdr:rowOff>47625</xdr:rowOff>
    </xdr:to>
    <xdr:graphicFrame macro="">
      <xdr:nvGraphicFramePr>
        <xdr:cNvPr id="64753314" name="Chart 11">
          <a:extLst>
            <a:ext uri="{FF2B5EF4-FFF2-40B4-BE49-F238E27FC236}">
              <a16:creationId xmlns:a16="http://schemas.microsoft.com/office/drawing/2014/main" id="{00000000-0008-0000-0800-0000A20ED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142875</xdr:colOff>
      <xdr:row>106</xdr:row>
      <xdr:rowOff>123825</xdr:rowOff>
    </xdr:from>
    <xdr:to>
      <xdr:col>10</xdr:col>
      <xdr:colOff>219075</xdr:colOff>
      <xdr:row>127</xdr:row>
      <xdr:rowOff>57150</xdr:rowOff>
    </xdr:to>
    <xdr:graphicFrame macro="">
      <xdr:nvGraphicFramePr>
        <xdr:cNvPr id="64753315" name="Chart 285">
          <a:extLst>
            <a:ext uri="{FF2B5EF4-FFF2-40B4-BE49-F238E27FC236}">
              <a16:creationId xmlns:a16="http://schemas.microsoft.com/office/drawing/2014/main" id="{00000000-0008-0000-0800-0000A30ED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581025</xdr:colOff>
      <xdr:row>107</xdr:row>
      <xdr:rowOff>47625</xdr:rowOff>
    </xdr:from>
    <xdr:to>
      <xdr:col>20</xdr:col>
      <xdr:colOff>609600</xdr:colOff>
      <xdr:row>127</xdr:row>
      <xdr:rowOff>123825</xdr:rowOff>
    </xdr:to>
    <xdr:graphicFrame macro="">
      <xdr:nvGraphicFramePr>
        <xdr:cNvPr id="64753316" name="Chart 287">
          <a:extLst>
            <a:ext uri="{FF2B5EF4-FFF2-40B4-BE49-F238E27FC236}">
              <a16:creationId xmlns:a16="http://schemas.microsoft.com/office/drawing/2014/main" id="{00000000-0008-0000-0800-0000A40ED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190500</xdr:colOff>
      <xdr:row>130</xdr:row>
      <xdr:rowOff>85725</xdr:rowOff>
    </xdr:from>
    <xdr:to>
      <xdr:col>10</xdr:col>
      <xdr:colOff>171450</xdr:colOff>
      <xdr:row>150</xdr:row>
      <xdr:rowOff>133350</xdr:rowOff>
    </xdr:to>
    <xdr:graphicFrame macro="">
      <xdr:nvGraphicFramePr>
        <xdr:cNvPr id="64753317" name="Chart 288">
          <a:extLst>
            <a:ext uri="{FF2B5EF4-FFF2-40B4-BE49-F238E27FC236}">
              <a16:creationId xmlns:a16="http://schemas.microsoft.com/office/drawing/2014/main" id="{00000000-0008-0000-0800-0000A50ED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619124</xdr:colOff>
      <xdr:row>11</xdr:row>
      <xdr:rowOff>178593</xdr:rowOff>
    </xdr:from>
    <xdr:to>
      <xdr:col>29</xdr:col>
      <xdr:colOff>500742</xdr:colOff>
      <xdr:row>12</xdr:row>
      <xdr:rowOff>119742</xdr:rowOff>
    </xdr:to>
    <xdr:sp macro="" textlink="">
      <xdr:nvSpPr>
        <xdr:cNvPr id="2" name="Text Box 6">
          <a:extLst>
            <a:ext uri="{FF2B5EF4-FFF2-40B4-BE49-F238E27FC236}">
              <a16:creationId xmlns:a16="http://schemas.microsoft.com/office/drawing/2014/main" id="{00000000-0008-0000-0A00-000002000000}"/>
            </a:ext>
          </a:extLst>
        </xdr:cNvPr>
        <xdr:cNvSpPr txBox="1">
          <a:spLocks noChangeArrowheads="1"/>
        </xdr:cNvSpPr>
      </xdr:nvSpPr>
      <xdr:spPr bwMode="auto">
        <a:xfrm>
          <a:off x="4333874" y="4550568"/>
          <a:ext cx="15855043" cy="550749"/>
        </a:xfrm>
        <a:prstGeom prst="rect">
          <a:avLst/>
        </a:prstGeom>
        <a:noFill/>
        <a:ln w="9525">
          <a:noFill/>
          <a:miter lim="800000"/>
          <a:headEnd/>
          <a:tailEnd/>
        </a:ln>
      </xdr:spPr>
      <xdr:txBody>
        <a:bodyPr vertOverflow="clip" wrap="square" lIns="36576" tIns="32004" rIns="36576" bIns="0" anchor="t" upright="1"/>
        <a:lstStyle/>
        <a:p>
          <a:pPr algn="ctr" rtl="0">
            <a:defRPr sz="1000"/>
          </a:pPr>
          <a:r>
            <a:rPr lang="en-US" sz="1600" b="1" i="0" u="sng" strike="noStrike" baseline="0">
              <a:solidFill>
                <a:srgbClr val="0066CC"/>
              </a:solidFill>
              <a:latin typeface="Arial"/>
              <a:cs typeface="Arial"/>
            </a:rPr>
            <a:t>1.Key Performance Indicator :  PLF%</a:t>
          </a:r>
        </a:p>
      </xdr:txBody>
    </xdr:sp>
    <xdr:clientData/>
  </xdr:twoCellAnchor>
  <xdr:twoCellAnchor>
    <xdr:from>
      <xdr:col>0</xdr:col>
      <xdr:colOff>152400</xdr:colOff>
      <xdr:row>10</xdr:row>
      <xdr:rowOff>314325</xdr:rowOff>
    </xdr:from>
    <xdr:to>
      <xdr:col>4</xdr:col>
      <xdr:colOff>85725</xdr:colOff>
      <xdr:row>17</xdr:row>
      <xdr:rowOff>123825</xdr:rowOff>
    </xdr:to>
    <xdr:graphicFrame macro="">
      <xdr:nvGraphicFramePr>
        <xdr:cNvPr id="3" name="Chart 2">
          <a:extLst>
            <a:ext uri="{FF2B5EF4-FFF2-40B4-BE49-F238E27FC236}">
              <a16:creationId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885825</xdr:colOff>
      <xdr:row>10</xdr:row>
      <xdr:rowOff>314325</xdr:rowOff>
    </xdr:from>
    <xdr:to>
      <xdr:col>38</xdr:col>
      <xdr:colOff>304800</xdr:colOff>
      <xdr:row>24</xdr:row>
      <xdr:rowOff>114300</xdr:rowOff>
    </xdr:to>
    <xdr:graphicFrame macro="">
      <xdr:nvGraphicFramePr>
        <xdr:cNvPr id="4" name="Chart 5">
          <a:extLst>
            <a:ext uri="{FF2B5EF4-FFF2-40B4-BE49-F238E27FC236}">
              <a16:creationId xmlns:a16="http://schemas.microsoft.com/office/drawing/2014/main" id="{00000000-0008-0000-0A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566737</xdr:colOff>
      <xdr:row>46</xdr:row>
      <xdr:rowOff>11906</xdr:rowOff>
    </xdr:from>
    <xdr:to>
      <xdr:col>29</xdr:col>
      <xdr:colOff>448355</xdr:colOff>
      <xdr:row>46</xdr:row>
      <xdr:rowOff>560273</xdr:rowOff>
    </xdr:to>
    <xdr:sp macro="" textlink="">
      <xdr:nvSpPr>
        <xdr:cNvPr id="5" name="Text Box 6">
          <a:extLst>
            <a:ext uri="{FF2B5EF4-FFF2-40B4-BE49-F238E27FC236}">
              <a16:creationId xmlns:a16="http://schemas.microsoft.com/office/drawing/2014/main" id="{00000000-0008-0000-0A00-000005000000}"/>
            </a:ext>
          </a:extLst>
        </xdr:cNvPr>
        <xdr:cNvSpPr txBox="1">
          <a:spLocks noChangeArrowheads="1"/>
        </xdr:cNvSpPr>
      </xdr:nvSpPr>
      <xdr:spPr bwMode="auto">
        <a:xfrm>
          <a:off x="4281487" y="12994481"/>
          <a:ext cx="15855043" cy="548367"/>
        </a:xfrm>
        <a:prstGeom prst="rect">
          <a:avLst/>
        </a:prstGeom>
        <a:noFill/>
        <a:ln w="9525">
          <a:noFill/>
          <a:miter lim="800000"/>
          <a:headEnd/>
          <a:tailEnd/>
        </a:ln>
      </xdr:spPr>
      <xdr:txBody>
        <a:bodyPr vertOverflow="clip" wrap="square" lIns="36576" tIns="32004" rIns="36576" bIns="0" anchor="t" upright="1"/>
        <a:lstStyle/>
        <a:p>
          <a:pPr algn="ctr" rtl="0">
            <a:defRPr sz="1000"/>
          </a:pPr>
          <a:r>
            <a:rPr lang="en-US" sz="1600" b="1" i="0" u="sng" strike="noStrike" baseline="0">
              <a:solidFill>
                <a:srgbClr val="0066CC"/>
              </a:solidFill>
              <a:latin typeface="Arial"/>
              <a:cs typeface="Arial"/>
            </a:rPr>
            <a:t>1.Key Performance Indicator :  Availability%</a:t>
          </a:r>
        </a:p>
      </xdr:txBody>
    </xdr:sp>
    <xdr:clientData/>
  </xdr:twoCellAnchor>
  <xdr:twoCellAnchor>
    <xdr:from>
      <xdr:col>5</xdr:col>
      <xdr:colOff>438150</xdr:colOff>
      <xdr:row>46</xdr:row>
      <xdr:rowOff>276225</xdr:rowOff>
    </xdr:from>
    <xdr:to>
      <xdr:col>37</xdr:col>
      <xdr:colOff>457200</xdr:colOff>
      <xdr:row>67</xdr:row>
      <xdr:rowOff>104775</xdr:rowOff>
    </xdr:to>
    <xdr:graphicFrame macro="">
      <xdr:nvGraphicFramePr>
        <xdr:cNvPr id="6" name="Chart 5">
          <a:extLst>
            <a:ext uri="{FF2B5EF4-FFF2-40B4-BE49-F238E27FC236}">
              <a16:creationId xmlns:a16="http://schemas.microsoft.com/office/drawing/2014/main" id="{00000000-0008-0000-0A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123825</xdr:colOff>
      <xdr:row>48</xdr:row>
      <xdr:rowOff>19050</xdr:rowOff>
    </xdr:from>
    <xdr:to>
      <xdr:col>4</xdr:col>
      <xdr:colOff>533400</xdr:colOff>
      <xdr:row>64</xdr:row>
      <xdr:rowOff>247650</xdr:rowOff>
    </xdr:to>
    <xdr:graphicFrame macro="">
      <xdr:nvGraphicFramePr>
        <xdr:cNvPr id="7" name="Chart 2">
          <a:extLst>
            <a:ext uri="{FF2B5EF4-FFF2-40B4-BE49-F238E27FC236}">
              <a16:creationId xmlns:a16="http://schemas.microsoft.com/office/drawing/2014/main" id="{00000000-0008-0000-0A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66675</xdr:colOff>
      <xdr:row>82</xdr:row>
      <xdr:rowOff>123825</xdr:rowOff>
    </xdr:from>
    <xdr:to>
      <xdr:col>37</xdr:col>
      <xdr:colOff>104775</xdr:colOff>
      <xdr:row>103</xdr:row>
      <xdr:rowOff>190500</xdr:rowOff>
    </xdr:to>
    <xdr:graphicFrame macro="">
      <xdr:nvGraphicFramePr>
        <xdr:cNvPr id="8" name="Chart 5">
          <a:extLst>
            <a:ext uri="{FF2B5EF4-FFF2-40B4-BE49-F238E27FC236}">
              <a16:creationId xmlns:a16="http://schemas.microsoft.com/office/drawing/2014/main" id="{00000000-0008-0000-0A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47625</xdr:colOff>
      <xdr:row>83</xdr:row>
      <xdr:rowOff>152400</xdr:rowOff>
    </xdr:from>
    <xdr:to>
      <xdr:col>4</xdr:col>
      <xdr:colOff>504825</xdr:colOff>
      <xdr:row>99</xdr:row>
      <xdr:rowOff>114300</xdr:rowOff>
    </xdr:to>
    <xdr:graphicFrame macro="">
      <xdr:nvGraphicFramePr>
        <xdr:cNvPr id="9" name="Chart 2">
          <a:extLst>
            <a:ext uri="{FF2B5EF4-FFF2-40B4-BE49-F238E27FC236}">
              <a16:creationId xmlns:a16="http://schemas.microsoft.com/office/drawing/2014/main" id="{00000000-0008-0000-0A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21431</xdr:colOff>
      <xdr:row>80</xdr:row>
      <xdr:rowOff>404811</xdr:rowOff>
    </xdr:from>
    <xdr:to>
      <xdr:col>30</xdr:col>
      <xdr:colOff>1701</xdr:colOff>
      <xdr:row>81</xdr:row>
      <xdr:rowOff>522854</xdr:rowOff>
    </xdr:to>
    <xdr:sp macro="" textlink="">
      <xdr:nvSpPr>
        <xdr:cNvPr id="10" name="Text Box 6">
          <a:extLst>
            <a:ext uri="{FF2B5EF4-FFF2-40B4-BE49-F238E27FC236}">
              <a16:creationId xmlns:a16="http://schemas.microsoft.com/office/drawing/2014/main" id="{00000000-0008-0000-0A00-00000A000000}"/>
            </a:ext>
          </a:extLst>
        </xdr:cNvPr>
        <xdr:cNvSpPr txBox="1">
          <a:spLocks noChangeArrowheads="1"/>
        </xdr:cNvSpPr>
      </xdr:nvSpPr>
      <xdr:spPr bwMode="auto">
        <a:xfrm>
          <a:off x="4460081" y="21521736"/>
          <a:ext cx="15791770" cy="584768"/>
        </a:xfrm>
        <a:prstGeom prst="rect">
          <a:avLst/>
        </a:prstGeom>
        <a:noFill/>
        <a:ln w="9525">
          <a:noFill/>
          <a:miter lim="800000"/>
          <a:headEnd/>
          <a:tailEnd/>
        </a:ln>
      </xdr:spPr>
      <xdr:txBody>
        <a:bodyPr vertOverflow="clip" wrap="square" lIns="36576" tIns="32004" rIns="36576" bIns="0" anchor="t" upright="1"/>
        <a:lstStyle/>
        <a:p>
          <a:pPr algn="ctr" rtl="0">
            <a:defRPr sz="1000"/>
          </a:pPr>
          <a:r>
            <a:rPr lang="en-US" sz="1600" b="1" i="0" u="sng" strike="noStrike" baseline="0">
              <a:solidFill>
                <a:srgbClr val="0066CC"/>
              </a:solidFill>
              <a:latin typeface="Arial"/>
              <a:cs typeface="Arial"/>
            </a:rPr>
            <a:t>1.Key Performance Indicator :  APC%</a:t>
          </a:r>
        </a:p>
      </xdr:txBody>
    </xdr:sp>
    <xdr:clientData/>
  </xdr:twoCellAnchor>
  <xdr:twoCellAnchor>
    <xdr:from>
      <xdr:col>4</xdr:col>
      <xdr:colOff>642936</xdr:colOff>
      <xdr:row>114</xdr:row>
      <xdr:rowOff>95250</xdr:rowOff>
    </xdr:from>
    <xdr:to>
      <xdr:col>29</xdr:col>
      <xdr:colOff>466723</xdr:colOff>
      <xdr:row>116</xdr:row>
      <xdr:rowOff>195602</xdr:rowOff>
    </xdr:to>
    <xdr:sp macro="" textlink="">
      <xdr:nvSpPr>
        <xdr:cNvPr id="11" name="Text Box 6">
          <a:extLst>
            <a:ext uri="{FF2B5EF4-FFF2-40B4-BE49-F238E27FC236}">
              <a16:creationId xmlns:a16="http://schemas.microsoft.com/office/drawing/2014/main" id="{00000000-0008-0000-0A00-00000B000000}"/>
            </a:ext>
          </a:extLst>
        </xdr:cNvPr>
        <xdr:cNvSpPr txBox="1">
          <a:spLocks noChangeArrowheads="1"/>
        </xdr:cNvSpPr>
      </xdr:nvSpPr>
      <xdr:spPr bwMode="auto">
        <a:xfrm>
          <a:off x="4357686" y="29651325"/>
          <a:ext cx="15797212" cy="424202"/>
        </a:xfrm>
        <a:prstGeom prst="rect">
          <a:avLst/>
        </a:prstGeom>
        <a:noFill/>
        <a:ln w="9525">
          <a:noFill/>
          <a:miter lim="800000"/>
          <a:headEnd/>
          <a:tailEnd/>
        </a:ln>
      </xdr:spPr>
      <xdr:txBody>
        <a:bodyPr vertOverflow="clip" wrap="square" lIns="36576" tIns="32004" rIns="36576" bIns="0" anchor="t" upright="1"/>
        <a:lstStyle/>
        <a:p>
          <a:pPr algn="ctr" rtl="0">
            <a:defRPr sz="1000"/>
          </a:pPr>
          <a:r>
            <a:rPr lang="en-US" sz="1600" b="1" i="0" u="sng" strike="noStrike" baseline="0">
              <a:solidFill>
                <a:srgbClr val="0066CC"/>
              </a:solidFill>
              <a:latin typeface="Arial"/>
              <a:cs typeface="Arial"/>
            </a:rPr>
            <a:t>1.Key Performance Indicator :  DM Water Cons%</a:t>
          </a:r>
        </a:p>
      </xdr:txBody>
    </xdr:sp>
    <xdr:clientData/>
  </xdr:twoCellAnchor>
  <xdr:twoCellAnchor>
    <xdr:from>
      <xdr:col>5</xdr:col>
      <xdr:colOff>133350</xdr:colOff>
      <xdr:row>118</xdr:row>
      <xdr:rowOff>47625</xdr:rowOff>
    </xdr:from>
    <xdr:to>
      <xdr:col>36</xdr:col>
      <xdr:colOff>123825</xdr:colOff>
      <xdr:row>137</xdr:row>
      <xdr:rowOff>133350</xdr:rowOff>
    </xdr:to>
    <xdr:graphicFrame macro="">
      <xdr:nvGraphicFramePr>
        <xdr:cNvPr id="12" name="Chart 5">
          <a:extLst>
            <a:ext uri="{FF2B5EF4-FFF2-40B4-BE49-F238E27FC236}">
              <a16:creationId xmlns:a16="http://schemas.microsoft.com/office/drawing/2014/main" id="{00000000-0008-0000-0A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190500</xdr:colOff>
      <xdr:row>118</xdr:row>
      <xdr:rowOff>66675</xdr:rowOff>
    </xdr:from>
    <xdr:to>
      <xdr:col>4</xdr:col>
      <xdr:colOff>571500</xdr:colOff>
      <xdr:row>133</xdr:row>
      <xdr:rowOff>238125</xdr:rowOff>
    </xdr:to>
    <xdr:graphicFrame macro="">
      <xdr:nvGraphicFramePr>
        <xdr:cNvPr id="13" name="Chart 2">
          <a:extLst>
            <a:ext uri="{FF2B5EF4-FFF2-40B4-BE49-F238E27FC236}">
              <a16:creationId xmlns:a16="http://schemas.microsoft.com/office/drawing/2014/main" id="{00000000-0008-0000-0A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695324</xdr:colOff>
      <xdr:row>149</xdr:row>
      <xdr:rowOff>83343</xdr:rowOff>
    </xdr:from>
    <xdr:to>
      <xdr:col>29</xdr:col>
      <xdr:colOff>495299</xdr:colOff>
      <xdr:row>150</xdr:row>
      <xdr:rowOff>86745</xdr:rowOff>
    </xdr:to>
    <xdr:sp macro="" textlink="">
      <xdr:nvSpPr>
        <xdr:cNvPr id="14" name="Text Box 6">
          <a:extLst>
            <a:ext uri="{FF2B5EF4-FFF2-40B4-BE49-F238E27FC236}">
              <a16:creationId xmlns:a16="http://schemas.microsoft.com/office/drawing/2014/main" id="{00000000-0008-0000-0A00-00000E000000}"/>
            </a:ext>
          </a:extLst>
        </xdr:cNvPr>
        <xdr:cNvSpPr txBox="1">
          <a:spLocks noChangeArrowheads="1"/>
        </xdr:cNvSpPr>
      </xdr:nvSpPr>
      <xdr:spPr bwMode="auto">
        <a:xfrm>
          <a:off x="4410074" y="40802718"/>
          <a:ext cx="15773400" cy="317727"/>
        </a:xfrm>
        <a:prstGeom prst="rect">
          <a:avLst/>
        </a:prstGeom>
        <a:noFill/>
        <a:ln w="9525">
          <a:noFill/>
          <a:miter lim="800000"/>
          <a:headEnd/>
          <a:tailEnd/>
        </a:ln>
      </xdr:spPr>
      <xdr:txBody>
        <a:bodyPr vertOverflow="clip" wrap="square" lIns="36576" tIns="32004" rIns="36576" bIns="0" anchor="t" upright="1"/>
        <a:lstStyle/>
        <a:p>
          <a:pPr algn="ctr" rtl="0">
            <a:defRPr sz="1000"/>
          </a:pPr>
          <a:r>
            <a:rPr lang="en-US" sz="1600" b="1" i="0" u="sng" strike="noStrike" baseline="0">
              <a:solidFill>
                <a:srgbClr val="0066CC"/>
              </a:solidFill>
              <a:latin typeface="Arial"/>
              <a:cs typeface="Arial"/>
            </a:rPr>
            <a:t>1.Key Performance Indicator :  POwer Sales (MUs)</a:t>
          </a:r>
        </a:p>
        <a:p>
          <a:pPr algn="ctr" rtl="0">
            <a:defRPr sz="1000"/>
          </a:pPr>
          <a:endParaRPr lang="en-US" sz="1600" b="1" i="0" u="sng" strike="noStrike" baseline="0">
            <a:solidFill>
              <a:srgbClr val="0066CC"/>
            </a:solidFill>
            <a:latin typeface="Arial"/>
            <a:cs typeface="Arial"/>
          </a:endParaRPr>
        </a:p>
      </xdr:txBody>
    </xdr:sp>
    <xdr:clientData/>
  </xdr:twoCellAnchor>
  <xdr:twoCellAnchor>
    <xdr:from>
      <xdr:col>5</xdr:col>
      <xdr:colOff>704850</xdr:colOff>
      <xdr:row>152</xdr:row>
      <xdr:rowOff>85725</xdr:rowOff>
    </xdr:from>
    <xdr:to>
      <xdr:col>37</xdr:col>
      <xdr:colOff>95250</xdr:colOff>
      <xdr:row>171</xdr:row>
      <xdr:rowOff>47625</xdr:rowOff>
    </xdr:to>
    <xdr:graphicFrame macro="">
      <xdr:nvGraphicFramePr>
        <xdr:cNvPr id="15" name="Chart 5">
          <a:extLst>
            <a:ext uri="{FF2B5EF4-FFF2-40B4-BE49-F238E27FC236}">
              <a16:creationId xmlns:a16="http://schemas.microsoft.com/office/drawing/2014/main" id="{00000000-0008-0000-0A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238125</xdr:colOff>
      <xdr:row>152</xdr:row>
      <xdr:rowOff>85725</xdr:rowOff>
    </xdr:from>
    <xdr:to>
      <xdr:col>4</xdr:col>
      <xdr:colOff>485775</xdr:colOff>
      <xdr:row>167</xdr:row>
      <xdr:rowOff>266700</xdr:rowOff>
    </xdr:to>
    <xdr:graphicFrame macro="">
      <xdr:nvGraphicFramePr>
        <xdr:cNvPr id="16" name="Chart 2">
          <a:extLst>
            <a:ext uri="{FF2B5EF4-FFF2-40B4-BE49-F238E27FC236}">
              <a16:creationId xmlns:a16="http://schemas.microsoft.com/office/drawing/2014/main" id="{00000000-0008-0000-0A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90491</xdr:colOff>
      <xdr:row>182</xdr:row>
      <xdr:rowOff>190500</xdr:rowOff>
    </xdr:from>
    <xdr:to>
      <xdr:col>29</xdr:col>
      <xdr:colOff>384061</xdr:colOff>
      <xdr:row>183</xdr:row>
      <xdr:rowOff>187361</xdr:rowOff>
    </xdr:to>
    <xdr:sp macro="" textlink="">
      <xdr:nvSpPr>
        <xdr:cNvPr id="17" name="Text Box 6">
          <a:extLst>
            <a:ext uri="{FF2B5EF4-FFF2-40B4-BE49-F238E27FC236}">
              <a16:creationId xmlns:a16="http://schemas.microsoft.com/office/drawing/2014/main" id="{00000000-0008-0000-0A00-000011000000}"/>
            </a:ext>
          </a:extLst>
        </xdr:cNvPr>
        <xdr:cNvSpPr txBox="1">
          <a:spLocks noChangeArrowheads="1"/>
        </xdr:cNvSpPr>
      </xdr:nvSpPr>
      <xdr:spPr bwMode="auto">
        <a:xfrm>
          <a:off x="4529141" y="51282600"/>
          <a:ext cx="15543095" cy="311186"/>
        </a:xfrm>
        <a:prstGeom prst="rect">
          <a:avLst/>
        </a:prstGeom>
        <a:noFill/>
        <a:ln w="9525">
          <a:noFill/>
          <a:miter lim="800000"/>
          <a:headEnd/>
          <a:tailEnd/>
        </a:ln>
      </xdr:spPr>
      <xdr:txBody>
        <a:bodyPr vertOverflow="clip" wrap="square" lIns="36576" tIns="32004" rIns="36576" bIns="0" anchor="t" upright="1"/>
        <a:lstStyle/>
        <a:p>
          <a:pPr algn="ctr" rtl="0">
            <a:defRPr sz="1000"/>
          </a:pPr>
          <a:r>
            <a:rPr lang="en-US" sz="1600" b="1" i="0" u="sng" strike="noStrike" baseline="0">
              <a:solidFill>
                <a:srgbClr val="0066CC"/>
              </a:solidFill>
              <a:latin typeface="Arial"/>
              <a:cs typeface="Arial"/>
            </a:rPr>
            <a:t>1.Key Performance Indicator :  TPTCL Sales (MUs)</a:t>
          </a:r>
        </a:p>
        <a:p>
          <a:pPr algn="ctr" rtl="0">
            <a:defRPr sz="1000"/>
          </a:pPr>
          <a:endParaRPr lang="en-US" sz="1600" b="1" i="0" u="sng" strike="noStrike" baseline="0">
            <a:solidFill>
              <a:srgbClr val="0066CC"/>
            </a:solidFill>
            <a:latin typeface="Arial"/>
            <a:cs typeface="Arial"/>
          </a:endParaRPr>
        </a:p>
      </xdr:txBody>
    </xdr:sp>
    <xdr:clientData/>
  </xdr:twoCellAnchor>
  <xdr:twoCellAnchor>
    <xdr:from>
      <xdr:col>5</xdr:col>
      <xdr:colOff>219075</xdr:colOff>
      <xdr:row>184</xdr:row>
      <xdr:rowOff>47625</xdr:rowOff>
    </xdr:from>
    <xdr:to>
      <xdr:col>36</xdr:col>
      <xdr:colOff>133350</xdr:colOff>
      <xdr:row>203</xdr:row>
      <xdr:rowOff>190500</xdr:rowOff>
    </xdr:to>
    <xdr:graphicFrame macro="">
      <xdr:nvGraphicFramePr>
        <xdr:cNvPr id="18" name="Chart 5">
          <a:extLst>
            <a:ext uri="{FF2B5EF4-FFF2-40B4-BE49-F238E27FC236}">
              <a16:creationId xmlns:a16="http://schemas.microsoft.com/office/drawing/2014/main" id="{00000000-0008-0000-0A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133350</xdr:colOff>
      <xdr:row>185</xdr:row>
      <xdr:rowOff>190500</xdr:rowOff>
    </xdr:from>
    <xdr:to>
      <xdr:col>4</xdr:col>
      <xdr:colOff>333375</xdr:colOff>
      <xdr:row>200</xdr:row>
      <xdr:rowOff>38100</xdr:rowOff>
    </xdr:to>
    <xdr:graphicFrame macro="">
      <xdr:nvGraphicFramePr>
        <xdr:cNvPr id="19" name="Chart 2">
          <a:extLst>
            <a:ext uri="{FF2B5EF4-FFF2-40B4-BE49-F238E27FC236}">
              <a16:creationId xmlns:a16="http://schemas.microsoft.com/office/drawing/2014/main" id="{00000000-0008-0000-0A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85725</xdr:colOff>
      <xdr:row>0</xdr:row>
      <xdr:rowOff>0</xdr:rowOff>
    </xdr:from>
    <xdr:to>
      <xdr:col>10</xdr:col>
      <xdr:colOff>152400</xdr:colOff>
      <xdr:row>0</xdr:row>
      <xdr:rowOff>0</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257175</xdr:colOff>
      <xdr:row>0</xdr:row>
      <xdr:rowOff>0</xdr:rowOff>
    </xdr:from>
    <xdr:to>
      <xdr:col>21</xdr:col>
      <xdr:colOff>381000</xdr:colOff>
      <xdr:row>0</xdr:row>
      <xdr:rowOff>0</xdr:rowOff>
    </xdr:to>
    <xdr:graphicFrame macro="">
      <xdr:nvGraphicFramePr>
        <xdr:cNvPr id="3" name="Chart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161925</xdr:colOff>
      <xdr:row>0</xdr:row>
      <xdr:rowOff>0</xdr:rowOff>
    </xdr:from>
    <xdr:to>
      <xdr:col>10</xdr:col>
      <xdr:colOff>133350</xdr:colOff>
      <xdr:row>0</xdr:row>
      <xdr:rowOff>0</xdr:rowOff>
    </xdr:to>
    <xdr:graphicFrame macro="">
      <xdr:nvGraphicFramePr>
        <xdr:cNvPr id="4" name="Chart 3">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238125</xdr:colOff>
      <xdr:row>0</xdr:row>
      <xdr:rowOff>0</xdr:rowOff>
    </xdr:from>
    <xdr:to>
      <xdr:col>21</xdr:col>
      <xdr:colOff>371475</xdr:colOff>
      <xdr:row>0</xdr:row>
      <xdr:rowOff>0</xdr:rowOff>
    </xdr:to>
    <xdr:graphicFrame macro="">
      <xdr:nvGraphicFramePr>
        <xdr:cNvPr id="5" name="Chart 4">
          <a:extLst>
            <a:ext uri="{FF2B5EF4-FFF2-40B4-BE49-F238E27FC236}">
              <a16:creationId xmlns:a16="http://schemas.microsoft.com/office/drawing/2014/main" id="{00000000-0008-0000-09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amitsadhukhan_tatapower_com/Documents/Reports/FY%2022-23/May-22/Daily%20station%20report-May-2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Old%20System%20Drive%20E/Operation/DAILY%20REPORTS/FY%2017-18/March-18/Daily%20Station%20Report%20Haldia%20(March-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ION"/>
      <sheetName val="UNITS"/>
      <sheetName val="Totalizer"/>
      <sheetName val="BOILERS"/>
      <sheetName val="Variance"/>
      <sheetName val="EQUIPMENT outage"/>
      <sheetName val="ASSET outage"/>
      <sheetName val="Equipment Status"/>
      <sheetName val="GRAPHS"/>
      <sheetName val="KPI tracker"/>
      <sheetName val="KPI analysis"/>
      <sheetName val="REMARKS "/>
    </sheetNames>
    <sheetDataSet>
      <sheetData sheetId="0" refreshError="1">
        <row r="6">
          <cell r="B6" t="str">
            <v>Mus</v>
          </cell>
          <cell r="C6">
            <v>2.7959999999999994</v>
          </cell>
          <cell r="D6">
            <v>2.7090000000000001</v>
          </cell>
          <cell r="E6">
            <v>2.746</v>
          </cell>
          <cell r="F6">
            <v>2.694</v>
          </cell>
          <cell r="G6">
            <v>2.6479999999999997</v>
          </cell>
          <cell r="H6">
            <v>2.754</v>
          </cell>
          <cell r="I6">
            <v>2.726</v>
          </cell>
          <cell r="J6">
            <v>2.73</v>
          </cell>
          <cell r="K6">
            <v>2.7409999999999997</v>
          </cell>
          <cell r="L6">
            <v>2.738</v>
          </cell>
          <cell r="M6">
            <v>2.7249999999999996</v>
          </cell>
          <cell r="N6">
            <v>2.7320000000000002</v>
          </cell>
          <cell r="O6">
            <v>2.5140000000000002</v>
          </cell>
          <cell r="P6">
            <v>2.4539999999999997</v>
          </cell>
          <cell r="Q6">
            <v>2.5339999999999998</v>
          </cell>
          <cell r="R6">
            <v>2.524</v>
          </cell>
          <cell r="S6">
            <v>2.58</v>
          </cell>
          <cell r="T6">
            <v>2.6179999999999999</v>
          </cell>
          <cell r="U6">
            <v>2.6139999999999999</v>
          </cell>
          <cell r="V6">
            <v>2.512</v>
          </cell>
          <cell r="W6">
            <v>2.3719999999999999</v>
          </cell>
          <cell r="X6">
            <v>2.31</v>
          </cell>
          <cell r="Y6">
            <v>2.431</v>
          </cell>
          <cell r="Z6">
            <v>2.6</v>
          </cell>
          <cell r="AA6">
            <v>2.6449999999999996</v>
          </cell>
          <cell r="AB6">
            <v>2.7030000000000003</v>
          </cell>
          <cell r="AC6">
            <v>2.6519999999999997</v>
          </cell>
          <cell r="AD6">
            <v>2.6209999999999996</v>
          </cell>
          <cell r="AE6">
            <v>2.6269999999999998</v>
          </cell>
          <cell r="AF6">
            <v>2.65</v>
          </cell>
          <cell r="AG6">
            <v>2.641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ION"/>
      <sheetName val="UNITS"/>
      <sheetName val="Totalizer"/>
      <sheetName val="BOILERS"/>
      <sheetName val="EQUIPMENT outage"/>
      <sheetName val="Variance"/>
      <sheetName val="ASSET outage"/>
      <sheetName val="Equipment Status"/>
      <sheetName val="GRAPHS"/>
      <sheetName val="REMARKS"/>
      <sheetName val="KPI tracker"/>
      <sheetName val="KPI analysis"/>
    </sheetNames>
    <sheetDataSet>
      <sheetData sheetId="0"/>
      <sheetData sheetId="1"/>
      <sheetData sheetId="2"/>
      <sheetData sheetId="3">
        <row r="29">
          <cell r="D29">
            <v>29</v>
          </cell>
          <cell r="E29">
            <v>27.832263946533203</v>
          </cell>
          <cell r="F29">
            <v>25</v>
          </cell>
          <cell r="G29">
            <v>28</v>
          </cell>
          <cell r="H29">
            <v>31</v>
          </cell>
          <cell r="I29">
            <v>27.832263946533203</v>
          </cell>
          <cell r="J29">
            <v>29</v>
          </cell>
          <cell r="K29">
            <v>25</v>
          </cell>
          <cell r="L29">
            <v>33</v>
          </cell>
          <cell r="M29">
            <v>28.7</v>
          </cell>
          <cell r="N29">
            <v>30</v>
          </cell>
          <cell r="O29">
            <v>29</v>
          </cell>
          <cell r="P29">
            <v>30</v>
          </cell>
          <cell r="Q29">
            <v>27.832263946533203</v>
          </cell>
          <cell r="R29">
            <v>29</v>
          </cell>
          <cell r="S29">
            <v>30</v>
          </cell>
          <cell r="T29">
            <v>33</v>
          </cell>
          <cell r="U29">
            <v>31</v>
          </cell>
          <cell r="V29">
            <v>28</v>
          </cell>
          <cell r="W29">
            <v>30</v>
          </cell>
          <cell r="X29">
            <v>31</v>
          </cell>
          <cell r="Y29">
            <v>29</v>
          </cell>
          <cell r="Z29">
            <v>28</v>
          </cell>
          <cell r="AA29">
            <v>28.241119384765625</v>
          </cell>
          <cell r="AB29">
            <v>30</v>
          </cell>
          <cell r="AC29">
            <v>31</v>
          </cell>
          <cell r="AD29">
            <v>27</v>
          </cell>
          <cell r="AE29">
            <v>30</v>
          </cell>
          <cell r="AF29">
            <v>28.241119384765625</v>
          </cell>
          <cell r="AG29">
            <v>27.832263946533203</v>
          </cell>
        </row>
      </sheetData>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J77"/>
  <sheetViews>
    <sheetView tabSelected="1" zoomScale="80" zoomScaleNormal="80" workbookViewId="0">
      <pane xSplit="4" ySplit="1" topLeftCell="T36" activePane="bottomRight" state="frozen"/>
      <selection pane="topRight" activeCell="E1" sqref="E1"/>
      <selection pane="bottomLeft" activeCell="A2" sqref="A2"/>
      <selection pane="bottomRight" activeCell="AF7" sqref="AF7"/>
    </sheetView>
  </sheetViews>
  <sheetFormatPr defaultColWidth="9.140625" defaultRowHeight="12.75" x14ac:dyDescent="0.2"/>
  <cols>
    <col min="1" max="1" width="40.85546875" style="35" customWidth="1"/>
    <col min="2" max="2" width="11.7109375" style="35" customWidth="1"/>
    <col min="3" max="3" width="13.5703125" style="35" customWidth="1"/>
    <col min="4" max="4" width="11.7109375" style="35" customWidth="1"/>
    <col min="5" max="14" width="10.85546875" style="35" customWidth="1"/>
    <col min="15" max="15" width="10.85546875" style="191" customWidth="1"/>
    <col min="16" max="20" width="10.85546875" style="35" customWidth="1"/>
    <col min="21" max="22" width="10.85546875" style="31" customWidth="1"/>
    <col min="23" max="26" width="10.85546875" style="35" customWidth="1"/>
    <col min="27" max="27" width="11.42578125" style="35" customWidth="1"/>
    <col min="28" max="30" width="10.85546875" style="35" customWidth="1"/>
    <col min="31" max="31" width="11.28515625" style="35" customWidth="1"/>
    <col min="32" max="32" width="10.28515625" style="35" customWidth="1"/>
    <col min="33" max="33" width="10.140625" style="35" customWidth="1"/>
    <col min="34" max="34" width="15.140625" style="35" customWidth="1"/>
    <col min="35" max="35" width="9.140625" style="35"/>
    <col min="36" max="36" width="10.42578125" style="35" bestFit="1" customWidth="1"/>
    <col min="37" max="16384" width="9.140625" style="35"/>
  </cols>
  <sheetData>
    <row r="1" spans="1:62" ht="41.25" customHeight="1" x14ac:dyDescent="0.2">
      <c r="A1" s="188" t="s">
        <v>508</v>
      </c>
      <c r="B1" s="453" t="s">
        <v>509</v>
      </c>
      <c r="C1" s="454"/>
      <c r="D1" s="454"/>
      <c r="E1" s="454"/>
      <c r="F1" s="454"/>
      <c r="G1" s="454"/>
      <c r="H1" s="454"/>
      <c r="I1" s="454"/>
      <c r="J1" s="454"/>
      <c r="K1" s="454"/>
      <c r="L1" s="454"/>
      <c r="M1" s="454"/>
      <c r="N1" s="454"/>
      <c r="O1" s="454"/>
      <c r="P1" s="454"/>
      <c r="Q1" s="454"/>
      <c r="R1" s="454"/>
      <c r="S1" s="454"/>
      <c r="T1" s="454"/>
      <c r="U1" s="454"/>
      <c r="V1" s="454"/>
      <c r="W1" s="454"/>
      <c r="X1" s="454"/>
      <c r="Y1" s="454"/>
      <c r="Z1" s="454"/>
      <c r="AA1" s="454"/>
      <c r="AB1" s="454"/>
      <c r="AC1" s="454"/>
      <c r="AD1" s="454"/>
      <c r="AE1" s="454"/>
      <c r="AF1" s="454"/>
      <c r="AG1" s="253"/>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row>
    <row r="2" spans="1:62" s="63" customFormat="1" ht="14.45" customHeight="1" x14ac:dyDescent="0.2">
      <c r="A2" s="67" t="s">
        <v>0</v>
      </c>
      <c r="B2" s="65" t="s">
        <v>1</v>
      </c>
      <c r="C2" s="65">
        <v>1</v>
      </c>
      <c r="D2" s="65">
        <v>2</v>
      </c>
      <c r="E2" s="65">
        <v>3</v>
      </c>
      <c r="F2" s="65">
        <v>4</v>
      </c>
      <c r="G2" s="65">
        <v>5</v>
      </c>
      <c r="H2" s="65">
        <v>6</v>
      </c>
      <c r="I2" s="65">
        <v>7</v>
      </c>
      <c r="J2" s="65">
        <v>8</v>
      </c>
      <c r="K2" s="65">
        <v>9</v>
      </c>
      <c r="L2" s="65">
        <v>10</v>
      </c>
      <c r="M2" s="65">
        <v>11</v>
      </c>
      <c r="N2" s="65">
        <v>12</v>
      </c>
      <c r="O2" s="260">
        <v>13</v>
      </c>
      <c r="P2" s="65">
        <v>14</v>
      </c>
      <c r="Q2" s="65">
        <v>15</v>
      </c>
      <c r="R2" s="65">
        <v>16</v>
      </c>
      <c r="S2" s="65">
        <v>17</v>
      </c>
      <c r="T2" s="65">
        <v>18</v>
      </c>
      <c r="U2" s="65">
        <v>19</v>
      </c>
      <c r="V2" s="65">
        <v>20</v>
      </c>
      <c r="W2" s="65">
        <v>21</v>
      </c>
      <c r="X2" s="65">
        <v>22</v>
      </c>
      <c r="Y2" s="65">
        <v>23</v>
      </c>
      <c r="Z2" s="65">
        <v>24</v>
      </c>
      <c r="AA2" s="65">
        <v>25</v>
      </c>
      <c r="AB2" s="65">
        <v>26</v>
      </c>
      <c r="AC2" s="65">
        <v>27</v>
      </c>
      <c r="AD2" s="65">
        <v>28</v>
      </c>
      <c r="AE2" s="65">
        <v>29</v>
      </c>
      <c r="AF2" s="65">
        <v>30</v>
      </c>
      <c r="AG2" s="65">
        <v>31</v>
      </c>
    </row>
    <row r="3" spans="1:62" ht="24" customHeight="1" x14ac:dyDescent="0.2">
      <c r="A3" s="189"/>
      <c r="B3" s="190"/>
      <c r="C3" s="459" t="s">
        <v>2</v>
      </c>
      <c r="D3" s="460"/>
      <c r="E3" s="460"/>
      <c r="F3" s="460"/>
      <c r="G3" s="460"/>
      <c r="H3" s="460"/>
      <c r="I3" s="460"/>
      <c r="J3" s="460"/>
      <c r="K3" s="460"/>
      <c r="L3" s="460"/>
      <c r="M3" s="460"/>
      <c r="N3" s="460"/>
      <c r="O3" s="460"/>
      <c r="P3" s="460"/>
      <c r="Q3" s="460"/>
      <c r="R3" s="460"/>
      <c r="S3" s="460"/>
      <c r="T3" s="460"/>
      <c r="U3" s="460"/>
      <c r="V3" s="460"/>
      <c r="W3" s="460"/>
      <c r="X3" s="460"/>
      <c r="Y3" s="460"/>
      <c r="Z3" s="460"/>
      <c r="AA3" s="460"/>
      <c r="AB3" s="460"/>
      <c r="AC3" s="460"/>
      <c r="AD3" s="460"/>
      <c r="AE3" s="460"/>
      <c r="AF3" s="460"/>
      <c r="AG3" s="460"/>
    </row>
    <row r="4" spans="1:62" ht="30" customHeight="1" x14ac:dyDescent="0.2">
      <c r="A4" s="451" t="s">
        <v>3</v>
      </c>
      <c r="B4" s="452"/>
      <c r="C4" s="455" t="s">
        <v>510</v>
      </c>
      <c r="D4" s="456"/>
      <c r="E4" s="456"/>
      <c r="F4" s="456"/>
      <c r="G4" s="456"/>
      <c r="H4" s="456"/>
      <c r="I4" s="456"/>
      <c r="J4" s="456"/>
      <c r="K4" s="456"/>
      <c r="L4" s="456"/>
      <c r="M4" s="456"/>
      <c r="N4" s="456"/>
      <c r="O4" s="456"/>
      <c r="P4" s="456"/>
      <c r="Q4" s="456"/>
      <c r="R4" s="456"/>
      <c r="S4" s="456"/>
      <c r="T4" s="456"/>
      <c r="U4" s="456"/>
      <c r="V4" s="456"/>
      <c r="W4" s="456"/>
      <c r="X4" s="456"/>
      <c r="Y4" s="456"/>
      <c r="Z4" s="456"/>
      <c r="AA4" s="456"/>
      <c r="AB4" s="456"/>
      <c r="AC4" s="456"/>
      <c r="AD4" s="456"/>
      <c r="AE4" s="456"/>
      <c r="AF4" s="456"/>
      <c r="AG4" s="456"/>
    </row>
    <row r="5" spans="1:62" ht="30" customHeight="1" x14ac:dyDescent="0.2">
      <c r="A5" s="17" t="s">
        <v>4</v>
      </c>
      <c r="B5" s="18" t="s">
        <v>5</v>
      </c>
      <c r="C5" s="8">
        <f>UNITS!C6+UNITS!C33+UNITS!C60</f>
        <v>2.6059970000000003</v>
      </c>
      <c r="D5" s="8">
        <f>UNITS!D6+UNITS!D33+UNITS!D60</f>
        <v>2.5813680000000003</v>
      </c>
      <c r="E5" s="8">
        <f>UNITS!E6+UNITS!E33+UNITS!E60</f>
        <v>2.662166</v>
      </c>
      <c r="F5" s="8">
        <f>UNITS!F6+UNITS!F33+UNITS!F60</f>
        <v>2.7521193750000004</v>
      </c>
      <c r="G5" s="8">
        <f>UNITS!G6+UNITS!G33+UNITS!G60</f>
        <v>2.7507635624999995</v>
      </c>
      <c r="H5" s="8">
        <f>UNITS!H6+UNITS!H33+UNITS!H60</f>
        <v>2.6852830000000001</v>
      </c>
      <c r="I5" s="8">
        <f>UNITS!I6+UNITS!I33+UNITS!I60</f>
        <v>2.7590200000000005</v>
      </c>
      <c r="J5" s="8">
        <f>UNITS!J6+UNITS!J33+UNITS!J60</f>
        <v>2.7178969999999993</v>
      </c>
      <c r="K5" s="8">
        <f>UNITS!K6+UNITS!K33+UNITS!K60</f>
        <v>2.7768579999999998</v>
      </c>
      <c r="L5" s="8">
        <f>UNITS!L6+UNITS!L33+UNITS!L60</f>
        <v>2.79556</v>
      </c>
      <c r="M5" s="8">
        <f>UNITS!M6+UNITS!M33+UNITS!M60</f>
        <v>2.7191356250000003</v>
      </c>
      <c r="N5" s="8">
        <f>UNITS!N6+UNITS!N33+UNITS!N60</f>
        <v>2.7748227499999993</v>
      </c>
      <c r="O5" s="8">
        <f>UNITS!O6+UNITS!O33+UNITS!O60</f>
        <v>2.7006700000000001</v>
      </c>
      <c r="P5" s="8">
        <f>UNITS!P6+UNITS!P33+UNITS!P60</f>
        <v>2.6318790000000001</v>
      </c>
      <c r="Q5" s="8">
        <f>UNITS!Q6+UNITS!Q33+UNITS!Q60</f>
        <v>2.6217779999999999</v>
      </c>
      <c r="R5" s="8">
        <f>UNITS!R6+UNITS!R33+UNITS!R60</f>
        <v>2.6424880000000002</v>
      </c>
      <c r="S5" s="8">
        <f>UNITS!S6+UNITS!S33+UNITS!S60</f>
        <v>2.673899</v>
      </c>
      <c r="T5" s="8">
        <f>UNITS!T6+UNITS!T33+UNITS!T60</f>
        <v>2.7094567500000002</v>
      </c>
      <c r="U5" s="8">
        <f>UNITS!U6+UNITS!U33+UNITS!U60</f>
        <v>2.6171897500000005</v>
      </c>
      <c r="V5" s="8">
        <f>UNITS!V6+UNITS!V33+UNITS!V60</f>
        <v>2.5751249999999999</v>
      </c>
      <c r="W5" s="8">
        <f>UNITS!W6+UNITS!W33+UNITS!W60</f>
        <v>2.5526177499999996</v>
      </c>
      <c r="X5" s="8">
        <f>UNITS!X6+UNITS!X33+UNITS!X60</f>
        <v>2.7205840000000006</v>
      </c>
      <c r="Y5" s="8">
        <f>UNITS!Y6+UNITS!Y33+UNITS!Y60</f>
        <v>2.7950079999999997</v>
      </c>
      <c r="Z5" s="8">
        <f>UNITS!Z6+UNITS!Z33+UNITS!Z60</f>
        <v>2.8369065000000004</v>
      </c>
      <c r="AA5" s="8">
        <f>UNITS!AA6+UNITS!AA33+UNITS!AA60</f>
        <v>2.8509079999999996</v>
      </c>
      <c r="AB5" s="8">
        <f>UNITS!AB6+UNITS!AB33+UNITS!AB60</f>
        <v>2.5426850000000001</v>
      </c>
      <c r="AC5" s="8">
        <f>UNITS!AC6+UNITS!AC33+UNITS!AC60</f>
        <v>2.4854845000000001</v>
      </c>
      <c r="AD5" s="8">
        <f>UNITS!AD6+UNITS!AD33+UNITS!AD60</f>
        <v>2.5067599999999999</v>
      </c>
      <c r="AE5" s="8">
        <f>UNITS!AE6+UNITS!AE33+UNITS!AE60</f>
        <v>2.6648490000000002</v>
      </c>
      <c r="AF5" s="8">
        <f>UNITS!AF6+UNITS!AF33+UNITS!AF60</f>
        <v>2.8780199999999994</v>
      </c>
      <c r="AG5" s="8"/>
    </row>
    <row r="6" spans="1:62" ht="30" customHeight="1" x14ac:dyDescent="0.2">
      <c r="A6" s="17" t="s">
        <v>6</v>
      </c>
      <c r="B6" s="18" t="s">
        <v>5</v>
      </c>
      <c r="C6" s="8">
        <f>UNITS!C7+UNITS!C34+UNITS!C61</f>
        <v>2.5949999999999998</v>
      </c>
      <c r="D6" s="8">
        <f>UNITS!D7+UNITS!D34+UNITS!D61</f>
        <v>2.573</v>
      </c>
      <c r="E6" s="8">
        <f>UNITS!E7+UNITS!E34+UNITS!E61</f>
        <v>2.657</v>
      </c>
      <c r="F6" s="8">
        <f>UNITS!F7+UNITS!F34+UNITS!F61</f>
        <v>2.7469999999999999</v>
      </c>
      <c r="G6" s="8">
        <f>UNITS!G7+UNITS!G34+UNITS!G61</f>
        <v>2.7370000000000001</v>
      </c>
      <c r="H6" s="8">
        <f>UNITS!H7+UNITS!H34+UNITS!H61</f>
        <v>2.6819999999999999</v>
      </c>
      <c r="I6" s="8">
        <f>UNITS!I7+UNITS!I34+UNITS!I61</f>
        <v>2.7509999999999999</v>
      </c>
      <c r="J6" s="8">
        <f>UNITS!J7+UNITS!J34+UNITS!J61</f>
        <v>2.7090000000000001</v>
      </c>
      <c r="K6" s="8">
        <f>UNITS!K7+UNITS!K34+UNITS!K61</f>
        <v>2.766</v>
      </c>
      <c r="L6" s="8">
        <f>UNITS!L7+UNITS!L34+UNITS!L61</f>
        <v>2.79</v>
      </c>
      <c r="M6" s="8">
        <f>UNITS!M7+UNITS!M34+UNITS!M61</f>
        <v>2.7119999999999997</v>
      </c>
      <c r="N6" s="8">
        <f>UNITS!N7+UNITS!N34+UNITS!N61</f>
        <v>2.7640000000000002</v>
      </c>
      <c r="O6" s="8">
        <f>UNITS!O7+UNITS!O34+UNITS!O61</f>
        <v>2.6879999999999997</v>
      </c>
      <c r="P6" s="8">
        <f>UNITS!P7+UNITS!P34+UNITS!P61</f>
        <v>2.6280000000000001</v>
      </c>
      <c r="Q6" s="8">
        <f>UNITS!Q7+UNITS!Q34+UNITS!Q61</f>
        <v>2.6139999999999999</v>
      </c>
      <c r="R6" s="8">
        <f>UNITS!R7+UNITS!R34+UNITS!R61</f>
        <v>2.6379999999999999</v>
      </c>
      <c r="S6" s="8">
        <f>UNITS!S7+UNITS!S34+UNITS!S61</f>
        <v>2.67</v>
      </c>
      <c r="T6" s="8">
        <f>UNITS!T7+UNITS!T34+UNITS!T61</f>
        <v>2.7020000000000004</v>
      </c>
      <c r="U6" s="8">
        <f>UNITS!U7+UNITS!U34+UNITS!U61</f>
        <v>2.61</v>
      </c>
      <c r="V6" s="8">
        <f>UNITS!V7+UNITS!V34+UNITS!V61</f>
        <v>2.5659999999999998</v>
      </c>
      <c r="W6" s="8">
        <f>UNITS!W7+UNITS!W34+UNITS!W61</f>
        <v>2.5470000000000002</v>
      </c>
      <c r="X6" s="8">
        <f>UNITS!X7+UNITS!X34+UNITS!X61</f>
        <v>2.71</v>
      </c>
      <c r="Y6" s="8">
        <f>UNITS!Y7+UNITS!Y34+UNITS!Y61</f>
        <v>2.7880000000000003</v>
      </c>
      <c r="Z6" s="8">
        <f>UNITS!Z7+UNITS!Z34+UNITS!Z61</f>
        <v>2.8319999999999999</v>
      </c>
      <c r="AA6" s="8">
        <f>UNITS!AA7+UNITS!AA34+UNITS!AA61</f>
        <v>2.8380000000000001</v>
      </c>
      <c r="AB6" s="8">
        <f>UNITS!AB7+UNITS!AB34+UNITS!AB61</f>
        <v>2.5330000000000004</v>
      </c>
      <c r="AC6" s="8">
        <f>UNITS!AC7+UNITS!AC34+UNITS!AC61</f>
        <v>2.4670000000000001</v>
      </c>
      <c r="AD6" s="8">
        <f>UNITS!AD7+UNITS!AD34+UNITS!AD61</f>
        <v>2.5</v>
      </c>
      <c r="AE6" s="8">
        <f>UNITS!AE7+UNITS!AE34+UNITS!AE61</f>
        <v>2.657</v>
      </c>
      <c r="AF6" s="8">
        <f>UNITS!AF7+UNITS!AF34+UNITS!AF61</f>
        <v>2.8650000000000002</v>
      </c>
      <c r="AG6" s="8"/>
    </row>
    <row r="7" spans="1:62" ht="30" customHeight="1" x14ac:dyDescent="0.2">
      <c r="A7" s="17" t="s">
        <v>7</v>
      </c>
      <c r="B7" s="18" t="s">
        <v>5</v>
      </c>
      <c r="C7" s="3">
        <f>C5</f>
        <v>2.6059970000000003</v>
      </c>
      <c r="D7" s="3">
        <f t="shared" ref="D7:AE7" si="0">C7+D5</f>
        <v>5.1873650000000007</v>
      </c>
      <c r="E7" s="3">
        <f t="shared" si="0"/>
        <v>7.8495310000000007</v>
      </c>
      <c r="F7" s="3">
        <f t="shared" si="0"/>
        <v>10.601650375000002</v>
      </c>
      <c r="G7" s="3">
        <f t="shared" si="0"/>
        <v>13.352413937500001</v>
      </c>
      <c r="H7" s="3">
        <f t="shared" si="0"/>
        <v>16.037696937500002</v>
      </c>
      <c r="I7" s="3">
        <f t="shared" si="0"/>
        <v>18.796716937500001</v>
      </c>
      <c r="J7" s="3">
        <f t="shared" si="0"/>
        <v>21.514613937500002</v>
      </c>
      <c r="K7" s="3">
        <f t="shared" si="0"/>
        <v>24.291471937500003</v>
      </c>
      <c r="L7" s="3">
        <f t="shared" si="0"/>
        <v>27.087031937500001</v>
      </c>
      <c r="M7" s="3">
        <f t="shared" si="0"/>
        <v>29.806167562500001</v>
      </c>
      <c r="N7" s="3">
        <f t="shared" si="0"/>
        <v>32.580990312499999</v>
      </c>
      <c r="O7" s="3">
        <f t="shared" si="0"/>
        <v>35.281660312500001</v>
      </c>
      <c r="P7" s="3">
        <f t="shared" si="0"/>
        <v>37.913539312499999</v>
      </c>
      <c r="Q7" s="3">
        <f t="shared" si="0"/>
        <v>40.535317312499998</v>
      </c>
      <c r="R7" s="3">
        <f t="shared" si="0"/>
        <v>43.177805312499999</v>
      </c>
      <c r="S7" s="3">
        <f t="shared" si="0"/>
        <v>45.851704312499997</v>
      </c>
      <c r="T7" s="3">
        <f t="shared" si="0"/>
        <v>48.561161062499998</v>
      </c>
      <c r="U7" s="3">
        <f t="shared" si="0"/>
        <v>51.1783508125</v>
      </c>
      <c r="V7" s="3">
        <f t="shared" si="0"/>
        <v>53.7534758125</v>
      </c>
      <c r="W7" s="3">
        <f t="shared" si="0"/>
        <v>56.306093562499996</v>
      </c>
      <c r="X7" s="3">
        <f t="shared" si="0"/>
        <v>59.026677562499998</v>
      </c>
      <c r="Y7" s="3">
        <f t="shared" si="0"/>
        <v>61.821685562500001</v>
      </c>
      <c r="Z7" s="3">
        <f t="shared" si="0"/>
        <v>64.658592062500006</v>
      </c>
      <c r="AA7" s="3">
        <f t="shared" si="0"/>
        <v>67.50950006250001</v>
      </c>
      <c r="AB7" s="3">
        <f t="shared" si="0"/>
        <v>70.052185062500016</v>
      </c>
      <c r="AC7" s="3">
        <f t="shared" si="0"/>
        <v>72.537669562500014</v>
      </c>
      <c r="AD7" s="3">
        <f t="shared" si="0"/>
        <v>75.044429562500014</v>
      </c>
      <c r="AE7" s="3">
        <f t="shared" si="0"/>
        <v>77.709278562500018</v>
      </c>
      <c r="AF7" s="8">
        <f>AE7+AF5</f>
        <v>80.587298562500024</v>
      </c>
      <c r="AG7" s="3"/>
      <c r="AH7" s="68">
        <f>AF7-AF22</f>
        <v>74.947184000000021</v>
      </c>
      <c r="AJ7" s="287"/>
    </row>
    <row r="8" spans="1:62" ht="30" customHeight="1" x14ac:dyDescent="0.2">
      <c r="A8" s="17" t="s">
        <v>8</v>
      </c>
      <c r="B8" s="18" t="s">
        <v>5</v>
      </c>
      <c r="C8" s="267">
        <f t="shared" ref="C8:H8" si="1">165.968582461349+C7</f>
        <v>168.574579461349</v>
      </c>
      <c r="D8" s="267">
        <f t="shared" si="1"/>
        <v>171.155947461349</v>
      </c>
      <c r="E8" s="267">
        <f t="shared" si="1"/>
        <v>173.81811346134901</v>
      </c>
      <c r="F8" s="267">
        <f t="shared" si="1"/>
        <v>176.57023283634899</v>
      </c>
      <c r="G8" s="267">
        <f t="shared" si="1"/>
        <v>179.32099639884899</v>
      </c>
      <c r="H8" s="267">
        <f t="shared" si="1"/>
        <v>182.00627939884902</v>
      </c>
      <c r="I8" s="267">
        <f t="shared" ref="I8:J8" si="2">165.968582461349+I7</f>
        <v>184.76529939884901</v>
      </c>
      <c r="J8" s="267">
        <f t="shared" si="2"/>
        <v>187.483196398849</v>
      </c>
      <c r="K8" s="267">
        <f t="shared" ref="K8:L8" si="3">165.968582461349+K7</f>
        <v>190.26005439884901</v>
      </c>
      <c r="L8" s="267">
        <f t="shared" si="3"/>
        <v>193.055614398849</v>
      </c>
      <c r="M8" s="267">
        <f t="shared" ref="M8:N8" si="4">165.968582461349+M7</f>
        <v>195.77475002384901</v>
      </c>
      <c r="N8" s="267">
        <f t="shared" si="4"/>
        <v>198.54957277384901</v>
      </c>
      <c r="O8" s="267">
        <f t="shared" ref="O8:P8" si="5">165.968582461349+O7</f>
        <v>201.25024277384901</v>
      </c>
      <c r="P8" s="267">
        <f t="shared" si="5"/>
        <v>203.88212177384901</v>
      </c>
      <c r="Q8" s="267">
        <f t="shared" ref="Q8:R8" si="6">165.968582461349+Q7</f>
        <v>206.50389977384901</v>
      </c>
      <c r="R8" s="267">
        <f t="shared" si="6"/>
        <v>209.146387773849</v>
      </c>
      <c r="S8" s="267">
        <f t="shared" ref="S8:T8" si="7">165.968582461349+S7</f>
        <v>211.82028677384901</v>
      </c>
      <c r="T8" s="267">
        <f t="shared" si="7"/>
        <v>214.52974352384899</v>
      </c>
      <c r="U8" s="267">
        <f t="shared" ref="U8:V8" si="8">165.968582461349+U7</f>
        <v>217.14693327384902</v>
      </c>
      <c r="V8" s="267">
        <f t="shared" si="8"/>
        <v>219.722058273849</v>
      </c>
      <c r="W8" s="267">
        <f t="shared" ref="W8:X8" si="9">165.968582461349+W7</f>
        <v>222.274676023849</v>
      </c>
      <c r="X8" s="267">
        <f t="shared" si="9"/>
        <v>224.995260023849</v>
      </c>
      <c r="Y8" s="267">
        <f t="shared" ref="Y8:Z8" si="10">165.968582461349+Y7</f>
        <v>227.79026802384899</v>
      </c>
      <c r="Z8" s="267">
        <f t="shared" si="10"/>
        <v>230.62717452384902</v>
      </c>
      <c r="AA8" s="267">
        <f t="shared" ref="AA8:AB8" si="11">165.968582461349+AA7</f>
        <v>233.47808252384903</v>
      </c>
      <c r="AB8" s="267">
        <f t="shared" si="11"/>
        <v>236.02076752384903</v>
      </c>
      <c r="AC8" s="267">
        <f t="shared" ref="AC8" si="12">165.968582461349+AC7</f>
        <v>238.50625202384902</v>
      </c>
      <c r="AD8" s="267">
        <f t="shared" ref="AD8:AE8" si="13">165.968582461349+AD7</f>
        <v>241.013012023849</v>
      </c>
      <c r="AE8" s="267">
        <f t="shared" si="13"/>
        <v>243.677861023849</v>
      </c>
      <c r="AF8" s="267">
        <f t="shared" ref="AF8" si="14">165.968582461349+AF7</f>
        <v>246.55588102384903</v>
      </c>
      <c r="AG8" s="267"/>
    </row>
    <row r="9" spans="1:62" ht="30" customHeight="1" x14ac:dyDescent="0.2">
      <c r="A9" s="43" t="s">
        <v>9</v>
      </c>
      <c r="B9" s="44" t="s">
        <v>10</v>
      </c>
      <c r="C9" s="320">
        <f>(C5*1000)/24</f>
        <v>108.58320833333335</v>
      </c>
      <c r="D9" s="320">
        <f t="shared" ref="D9:E9" si="15">(D5*1000)/24</f>
        <v>107.55700000000002</v>
      </c>
      <c r="E9" s="320">
        <f t="shared" si="15"/>
        <v>110.92358333333334</v>
      </c>
      <c r="F9" s="320">
        <f t="shared" ref="F9:G9" si="16">(F5*1000)/24</f>
        <v>114.67164062500001</v>
      </c>
      <c r="G9" s="320">
        <f t="shared" si="16"/>
        <v>114.61514843749997</v>
      </c>
      <c r="H9" s="320">
        <f t="shared" ref="H9:I9" si="17">(H5*1000)/24</f>
        <v>111.88679166666667</v>
      </c>
      <c r="I9" s="320">
        <f t="shared" si="17"/>
        <v>114.95916666666669</v>
      </c>
      <c r="J9" s="320">
        <f t="shared" ref="J9:K9" si="18">(J5*1000)/24</f>
        <v>113.24570833333331</v>
      </c>
      <c r="K9" s="320">
        <f t="shared" si="18"/>
        <v>115.70241666666665</v>
      </c>
      <c r="L9" s="320">
        <f t="shared" ref="L9:M9" si="19">(L5*1000)/24</f>
        <v>116.48166666666667</v>
      </c>
      <c r="M9" s="320">
        <f t="shared" si="19"/>
        <v>113.29731770833335</v>
      </c>
      <c r="N9" s="320">
        <f t="shared" ref="N9:O9" si="20">(N5*1000)/24</f>
        <v>115.61761458333331</v>
      </c>
      <c r="O9" s="320">
        <f t="shared" si="20"/>
        <v>112.52791666666667</v>
      </c>
      <c r="P9" s="320">
        <f t="shared" ref="P9:Q9" si="21">(P5*1000)/24</f>
        <v>109.661625</v>
      </c>
      <c r="Q9" s="320">
        <f t="shared" si="21"/>
        <v>109.24074999999999</v>
      </c>
      <c r="R9" s="320">
        <f t="shared" ref="R9:S9" si="22">(R5*1000)/24</f>
        <v>110.10366666666668</v>
      </c>
      <c r="S9" s="320">
        <f t="shared" si="22"/>
        <v>111.41245833333333</v>
      </c>
      <c r="T9" s="320">
        <f t="shared" ref="T9:U9" si="23">(T5*1000)/24</f>
        <v>112.89403125000001</v>
      </c>
      <c r="U9" s="320">
        <f t="shared" si="23"/>
        <v>109.04957291666669</v>
      </c>
      <c r="V9" s="320">
        <f t="shared" ref="V9:W9" si="24">(V5*1000)/24</f>
        <v>107.296875</v>
      </c>
      <c r="W9" s="320">
        <f t="shared" si="24"/>
        <v>106.35907291666665</v>
      </c>
      <c r="X9" s="320">
        <f t="shared" ref="X9:Y9" si="25">(X5*1000)/24</f>
        <v>113.3576666666667</v>
      </c>
      <c r="Y9" s="320">
        <f t="shared" si="25"/>
        <v>116.45866666666666</v>
      </c>
      <c r="Z9" s="320">
        <f t="shared" ref="Z9:AA9" si="26">(Z5*1000)/24</f>
        <v>118.20443750000003</v>
      </c>
      <c r="AA9" s="320">
        <f t="shared" si="26"/>
        <v>118.78783333333331</v>
      </c>
      <c r="AB9" s="320">
        <f t="shared" ref="AB9:AC9" si="27">(AB5*1000)/24</f>
        <v>105.94520833333333</v>
      </c>
      <c r="AC9" s="320">
        <f t="shared" si="27"/>
        <v>103.56185416666666</v>
      </c>
      <c r="AD9" s="320">
        <f t="shared" ref="AD9:AE9" si="28">(AD5*1000)/24</f>
        <v>104.44833333333332</v>
      </c>
      <c r="AE9" s="320">
        <f t="shared" si="28"/>
        <v>111.035375</v>
      </c>
      <c r="AF9" s="320">
        <f t="shared" ref="AF9" si="29">(AF5*1000)/24</f>
        <v>119.91749999999998</v>
      </c>
      <c r="AG9" s="320"/>
      <c r="AI9" s="286"/>
    </row>
    <row r="10" spans="1:62" ht="30" customHeight="1" x14ac:dyDescent="0.2">
      <c r="A10" s="43" t="s">
        <v>482</v>
      </c>
      <c r="B10" s="44" t="s">
        <v>10</v>
      </c>
      <c r="C10" s="320">
        <v>111.61238861083984</v>
      </c>
      <c r="D10" s="320">
        <v>110.74484252929688</v>
      </c>
      <c r="E10" s="320">
        <v>113.92292022705078</v>
      </c>
      <c r="F10" s="320">
        <v>117.85543060302734</v>
      </c>
      <c r="G10" s="320">
        <v>117.66226196289063</v>
      </c>
      <c r="H10" s="320">
        <v>115.86550140380859</v>
      </c>
      <c r="I10" s="320">
        <v>118.65302276611328</v>
      </c>
      <c r="J10" s="320">
        <v>115.58744812011719</v>
      </c>
      <c r="K10" s="320">
        <v>118.43373870849609</v>
      </c>
      <c r="L10" s="320">
        <v>119.62953948974609</v>
      </c>
      <c r="M10" s="320">
        <v>115.82395935058594</v>
      </c>
      <c r="N10" s="320">
        <v>118.93501281738281</v>
      </c>
      <c r="O10" s="320">
        <v>118.93501281738281</v>
      </c>
      <c r="P10" s="320">
        <v>118.93501281738281</v>
      </c>
      <c r="Q10" s="320">
        <v>111.81303405761719</v>
      </c>
      <c r="R10" s="320">
        <v>113.23033142089844</v>
      </c>
      <c r="S10" s="320">
        <v>113.25531768798828</v>
      </c>
      <c r="T10" s="320">
        <v>115.4925537109375</v>
      </c>
      <c r="U10" s="320">
        <v>116.19660186767578</v>
      </c>
      <c r="V10" s="320">
        <v>116.19660186767578</v>
      </c>
      <c r="W10" s="320">
        <v>116.19660186767578</v>
      </c>
      <c r="X10" s="320">
        <v>115.20724487304688</v>
      </c>
      <c r="Y10" s="320">
        <v>120.12741851806641</v>
      </c>
      <c r="Z10" s="320">
        <v>120.04839324951172</v>
      </c>
      <c r="AA10" s="320">
        <v>121.64875793457031</v>
      </c>
      <c r="AB10" s="320">
        <v>119.98023986816406</v>
      </c>
      <c r="AC10" s="320">
        <v>106</v>
      </c>
      <c r="AD10" s="320">
        <v>107.30728149414063</v>
      </c>
      <c r="AE10" s="320">
        <v>123.39540100097656</v>
      </c>
      <c r="AF10" s="320">
        <v>123.12609100341797</v>
      </c>
      <c r="AG10" s="320"/>
      <c r="AI10" s="286"/>
    </row>
    <row r="11" spans="1:62" ht="30" customHeight="1" x14ac:dyDescent="0.2">
      <c r="A11" s="43" t="s">
        <v>483</v>
      </c>
      <c r="B11" s="44" t="s">
        <v>10</v>
      </c>
      <c r="C11" s="320">
        <v>107.05027008056641</v>
      </c>
      <c r="D11" s="320">
        <v>106.80231475830078</v>
      </c>
      <c r="E11" s="320">
        <v>109.09954071044922</v>
      </c>
      <c r="F11" s="320">
        <v>113.10137176513672</v>
      </c>
      <c r="G11" s="320">
        <v>111.34340667724609</v>
      </c>
      <c r="H11" s="320">
        <v>110.66693115234375</v>
      </c>
      <c r="I11" s="320">
        <v>112.94369506835938</v>
      </c>
      <c r="J11" s="320">
        <v>112.49518585205078</v>
      </c>
      <c r="K11" s="320">
        <v>114.77278137207031</v>
      </c>
      <c r="L11" s="320">
        <v>114.78826904296875</v>
      </c>
      <c r="M11" s="320">
        <v>109.6190185546875</v>
      </c>
      <c r="N11" s="320">
        <v>114.74549865722656</v>
      </c>
      <c r="O11" s="320">
        <v>114.74549865722656</v>
      </c>
      <c r="P11" s="320">
        <v>114.74549865722656</v>
      </c>
      <c r="Q11" s="320">
        <v>108.29311370849609</v>
      </c>
      <c r="R11" s="320">
        <v>109.18769073486328</v>
      </c>
      <c r="S11" s="320">
        <v>111.01348876953125</v>
      </c>
      <c r="T11" s="320">
        <v>112.42809295654297</v>
      </c>
      <c r="U11" s="320">
        <v>105.66511535644531</v>
      </c>
      <c r="V11" s="320">
        <v>105.66511535644531</v>
      </c>
      <c r="W11" s="320">
        <v>105.66511535644531</v>
      </c>
      <c r="X11" s="320">
        <v>112.95303344726563</v>
      </c>
      <c r="Y11" s="320">
        <v>114.28498840332031</v>
      </c>
      <c r="Z11" s="320">
        <v>117.86103820800781</v>
      </c>
      <c r="AA11" s="320">
        <v>117.83211517333984</v>
      </c>
      <c r="AB11" s="320">
        <v>103.10695648193359</v>
      </c>
      <c r="AC11" s="320">
        <v>98</v>
      </c>
      <c r="AD11" s="320">
        <v>101.98971557617188</v>
      </c>
      <c r="AE11" s="320">
        <v>101.16667175292969</v>
      </c>
      <c r="AF11" s="320">
        <v>118.07387542724609</v>
      </c>
      <c r="AG11" s="320"/>
      <c r="AI11" s="286"/>
    </row>
    <row r="12" spans="1:62" ht="30" customHeight="1" x14ac:dyDescent="0.2">
      <c r="A12" s="17" t="s">
        <v>11</v>
      </c>
      <c r="B12" s="18" t="s">
        <v>10</v>
      </c>
      <c r="C12" s="321">
        <f t="shared" ref="C12:H12" si="30">(78.968-C7)/(30-C2)*1000/24</f>
        <v>109.71552155172414</v>
      </c>
      <c r="D12" s="321">
        <f t="shared" si="30"/>
        <v>109.79261160714286</v>
      </c>
      <c r="E12" s="321">
        <f t="shared" si="30"/>
        <v>109.7507237654321</v>
      </c>
      <c r="F12" s="321">
        <f t="shared" si="30"/>
        <v>109.56145773237178</v>
      </c>
      <c r="G12" s="321">
        <f t="shared" si="30"/>
        <v>109.35931010416665</v>
      </c>
      <c r="H12" s="321">
        <f t="shared" si="30"/>
        <v>109.25399837239583</v>
      </c>
      <c r="I12" s="321">
        <f t="shared" ref="I12:J12" si="31">(78.968-I7)/(30-I2)*1000/24</f>
        <v>109.00594757699275</v>
      </c>
      <c r="J12" s="321">
        <f t="shared" si="31"/>
        <v>108.81323117897728</v>
      </c>
      <c r="K12" s="321">
        <f t="shared" ref="K12:L12" si="32">(78.968-K7)/(30-K2)*1000/24</f>
        <v>108.48517472718254</v>
      </c>
      <c r="L12" s="321">
        <f t="shared" si="32"/>
        <v>108.08535013020833</v>
      </c>
      <c r="M12" s="321">
        <f t="shared" ref="M12:N12" si="33">(78.968-M7)/(30-M2)*1000/24</f>
        <v>107.81103604714913</v>
      </c>
      <c r="N12" s="321">
        <f t="shared" si="33"/>
        <v>107.37733723958335</v>
      </c>
      <c r="O12" s="321">
        <f t="shared" ref="O12:P12" si="34">(78.968-O7)/(30-O2)*1000/24</f>
        <v>107.07436197916668</v>
      </c>
      <c r="P12" s="321">
        <f t="shared" si="34"/>
        <v>106.91265804036459</v>
      </c>
      <c r="Q12" s="321">
        <f t="shared" ref="Q12:R12" si="35">(78.968-Q7)/(30-Q2)*1000/24</f>
        <v>106.75745190972225</v>
      </c>
      <c r="R12" s="321">
        <f t="shared" si="35"/>
        <v>106.51843656994049</v>
      </c>
      <c r="S12" s="321">
        <f t="shared" ref="S12:T12" si="36">(78.968-S7)/(30-S2)*1000/24</f>
        <v>106.14197335737181</v>
      </c>
      <c r="T12" s="321">
        <f t="shared" si="36"/>
        <v>105.57930186631945</v>
      </c>
      <c r="U12" s="321">
        <f t="shared" ref="U12:V12" si="37">(78.968-U7)/(30-U2)*1000/24</f>
        <v>105.26382267992426</v>
      </c>
      <c r="V12" s="321">
        <f t="shared" si="37"/>
        <v>105.06051744791669</v>
      </c>
      <c r="W12" s="321">
        <f t="shared" ref="W12:X12" si="38">(78.968-W7)/(30-W2)*1000/24</f>
        <v>104.91623350694448</v>
      </c>
      <c r="X12" s="321">
        <f t="shared" si="38"/>
        <v>103.8610543619792</v>
      </c>
      <c r="Y12" s="321">
        <f t="shared" ref="Y12:Z12" si="39">(78.968-Y7)/(30-Y2)*1000/24</f>
        <v>102.06139546130954</v>
      </c>
      <c r="Z12" s="321">
        <f t="shared" si="39"/>
        <v>99.370888454861088</v>
      </c>
      <c r="AA12" s="321">
        <f t="shared" ref="AA12:AB12" si="40">(78.968-AA7)/(30-AA2)*1000/24</f>
        <v>95.487499479166615</v>
      </c>
      <c r="AB12" s="321">
        <f t="shared" si="40"/>
        <v>92.873072265624884</v>
      </c>
      <c r="AC12" s="321">
        <f t="shared" ref="AC12" si="41">(78.968-AC7)/(30-AC2)*1000/24</f>
        <v>89.31014496527763</v>
      </c>
      <c r="AD12" s="321">
        <f t="shared" ref="AD12:AF12" si="42">(78.968-AD7)/(30-AD2)*1000/24</f>
        <v>81.741050781249783</v>
      </c>
      <c r="AE12" s="321">
        <f t="shared" si="42"/>
        <v>52.446726562499414</v>
      </c>
      <c r="AF12" s="321" t="e">
        <f t="shared" si="42"/>
        <v>#DIV/0!</v>
      </c>
      <c r="AG12" s="321"/>
    </row>
    <row r="13" spans="1:62" ht="12" customHeight="1" x14ac:dyDescent="0.2">
      <c r="A13" s="457"/>
      <c r="B13" s="458"/>
      <c r="C13" s="458"/>
      <c r="D13" s="458"/>
      <c r="E13" s="458"/>
      <c r="F13" s="458"/>
      <c r="G13" s="458"/>
      <c r="H13" s="458"/>
      <c r="I13" s="458"/>
      <c r="J13" s="458"/>
      <c r="K13" s="458"/>
      <c r="L13" s="458"/>
      <c r="M13" s="458"/>
      <c r="N13" s="458"/>
      <c r="O13" s="458"/>
      <c r="P13" s="458"/>
      <c r="Q13" s="458"/>
      <c r="R13" s="458"/>
      <c r="S13" s="458"/>
      <c r="T13" s="458"/>
      <c r="U13" s="458"/>
      <c r="V13" s="458"/>
      <c r="W13" s="458"/>
      <c r="X13" s="458"/>
      <c r="Y13" s="458"/>
      <c r="Z13" s="458"/>
      <c r="AA13" s="458"/>
      <c r="AB13" s="458"/>
      <c r="AC13" s="458"/>
      <c r="AD13" s="458"/>
      <c r="AE13" s="458"/>
      <c r="AF13" s="458"/>
      <c r="AG13" s="458"/>
    </row>
    <row r="14" spans="1:62" ht="30" customHeight="1" x14ac:dyDescent="0.2">
      <c r="A14" s="449" t="s">
        <v>12</v>
      </c>
      <c r="B14" s="450"/>
      <c r="C14" s="455" t="s">
        <v>524</v>
      </c>
      <c r="D14" s="456"/>
      <c r="E14" s="456"/>
      <c r="F14" s="456"/>
      <c r="G14" s="456"/>
      <c r="H14" s="456"/>
      <c r="I14" s="456"/>
      <c r="J14" s="456"/>
      <c r="K14" s="456"/>
      <c r="L14" s="456"/>
      <c r="M14" s="456"/>
      <c r="N14" s="456"/>
      <c r="O14" s="456"/>
      <c r="P14" s="456"/>
      <c r="Q14" s="456"/>
      <c r="R14" s="456"/>
      <c r="S14" s="456"/>
      <c r="T14" s="456"/>
      <c r="U14" s="456"/>
      <c r="V14" s="456"/>
      <c r="W14" s="456"/>
      <c r="X14" s="456"/>
      <c r="Y14" s="456"/>
      <c r="Z14" s="456"/>
      <c r="AA14" s="456"/>
      <c r="AB14" s="456"/>
      <c r="AC14" s="456"/>
      <c r="AD14" s="456"/>
      <c r="AE14" s="456"/>
      <c r="AF14" s="456"/>
      <c r="AG14" s="456"/>
    </row>
    <row r="15" spans="1:62" ht="30" customHeight="1" x14ac:dyDescent="0.2">
      <c r="A15" s="17" t="s">
        <v>6</v>
      </c>
      <c r="B15" s="18" t="s">
        <v>13</v>
      </c>
      <c r="C15" s="3">
        <f>(C5*1000)/(112*24)%</f>
        <v>96.949293154761918</v>
      </c>
      <c r="D15" s="3">
        <f t="shared" ref="D15:E15" si="43">(D5*1000)/(112*24)%</f>
        <v>96.033035714285731</v>
      </c>
      <c r="E15" s="3">
        <f t="shared" si="43"/>
        <v>99.038913690476207</v>
      </c>
      <c r="F15" s="3">
        <f t="shared" ref="F15:G15" si="44">(F5*1000)/(112*24)%</f>
        <v>102.38539341517858</v>
      </c>
      <c r="G15" s="3">
        <f t="shared" si="44"/>
        <v>102.33495396205355</v>
      </c>
      <c r="H15" s="3">
        <f t="shared" ref="H15:I15" si="45">(H5*1000)/(112*24)%</f>
        <v>99.898921130952374</v>
      </c>
      <c r="I15" s="3">
        <f t="shared" si="45"/>
        <v>102.64211309523812</v>
      </c>
      <c r="J15" s="3">
        <f t="shared" ref="J15:K15" si="46">(J5*1000)/(112*24)%</f>
        <v>101.11223958333332</v>
      </c>
      <c r="K15" s="3">
        <f t="shared" si="46"/>
        <v>103.30572916666667</v>
      </c>
      <c r="L15" s="3">
        <f t="shared" ref="L15:M15" si="47">(L5*1000)/(112*24)%</f>
        <v>104.0014880952381</v>
      </c>
      <c r="M15" s="3">
        <f t="shared" si="47"/>
        <v>101.1583193824405</v>
      </c>
      <c r="N15" s="3">
        <f t="shared" ref="N15:O15" si="48">(N5*1000)/(112*24)%</f>
        <v>103.23001302083331</v>
      </c>
      <c r="O15" s="3">
        <f t="shared" si="48"/>
        <v>100.47135416666667</v>
      </c>
      <c r="P15" s="3">
        <f t="shared" ref="P15:Q15" si="49">(P5*1000)/(112*24)%</f>
        <v>97.912165178571428</v>
      </c>
      <c r="Q15" s="3">
        <f t="shared" si="49"/>
        <v>97.536383928571425</v>
      </c>
      <c r="R15" s="3">
        <f t="shared" ref="R15:S15" si="50">(R5*1000)/(112*24)%</f>
        <v>98.306845238095249</v>
      </c>
      <c r="S15" s="3">
        <f t="shared" si="50"/>
        <v>99.475409226190479</v>
      </c>
      <c r="T15" s="3">
        <f t="shared" ref="T15:U15" si="51">(T5*1000)/(112*24)%</f>
        <v>100.79824218750001</v>
      </c>
      <c r="U15" s="3">
        <f t="shared" si="51"/>
        <v>97.365690104166688</v>
      </c>
      <c r="V15" s="3">
        <f t="shared" ref="V15:W15" si="52">(V5*1000)/(112*24)%</f>
        <v>95.80078125</v>
      </c>
      <c r="W15" s="3">
        <f t="shared" si="52"/>
        <v>94.963457961309501</v>
      </c>
      <c r="X15" s="3">
        <f t="shared" ref="X15:Y15" si="53">(X5*1000)/(112*24)%</f>
        <v>101.21220238095242</v>
      </c>
      <c r="Y15" s="3">
        <f t="shared" si="53"/>
        <v>103.98095238095237</v>
      </c>
      <c r="Z15" s="3">
        <f t="shared" ref="Z15:AA15" si="54">(Z5*1000)/(112*24)%</f>
        <v>105.53967633928573</v>
      </c>
      <c r="AA15" s="3">
        <f t="shared" si="54"/>
        <v>106.06056547619046</v>
      </c>
      <c r="AB15" s="3">
        <f t="shared" ref="AB15:AC15" si="55">(AB5*1000)/(112*24)%</f>
        <v>94.593936011904759</v>
      </c>
      <c r="AC15" s="3">
        <f t="shared" si="55"/>
        <v>92.465941220238093</v>
      </c>
      <c r="AD15" s="3">
        <f t="shared" ref="AD15:AE15" si="56">(AD5*1000)/(112*24)%</f>
        <v>93.257440476190467</v>
      </c>
      <c r="AE15" s="3">
        <f t="shared" si="56"/>
        <v>99.138727678571442</v>
      </c>
      <c r="AF15" s="3">
        <f t="shared" ref="AF15" si="57">(AF5*1000)/(112*24)%</f>
        <v>107.06919642857142</v>
      </c>
      <c r="AG15" s="3"/>
    </row>
    <row r="16" spans="1:62" ht="30" customHeight="1" x14ac:dyDescent="0.2">
      <c r="A16" s="17" t="s">
        <v>7</v>
      </c>
      <c r="B16" s="18" t="s">
        <v>13</v>
      </c>
      <c r="C16" s="3">
        <f t="shared" ref="C16:D16" si="58">(C7*1000)/(112*24*C2)%</f>
        <v>96.949293154761918</v>
      </c>
      <c r="D16" s="3">
        <f t="shared" si="58"/>
        <v>96.491164434523824</v>
      </c>
      <c r="E16" s="3">
        <f t="shared" ref="E16:F16" si="59">(E7*1000)/(112*24*E2)%</f>
        <v>97.340414186507942</v>
      </c>
      <c r="F16" s="3">
        <f t="shared" si="59"/>
        <v>98.601658993675613</v>
      </c>
      <c r="G16" s="3">
        <f t="shared" ref="G16:H16" si="60">(G7*1000)/(112*24*G2)%</f>
        <v>99.348317987351194</v>
      </c>
      <c r="H16" s="3">
        <f t="shared" si="60"/>
        <v>99.440085177951389</v>
      </c>
      <c r="I16" s="3">
        <f t="shared" ref="I16:J16" si="61">(I7*1000)/(112*24*I2)%</f>
        <v>99.897517737563788</v>
      </c>
      <c r="J16" s="3">
        <f t="shared" si="61"/>
        <v>100.04935796828498</v>
      </c>
      <c r="K16" s="3">
        <f t="shared" ref="K16:L16" si="62">(K7*1000)/(112*24*K2)%</f>
        <v>100.41117699032739</v>
      </c>
      <c r="L16" s="3">
        <f t="shared" si="62"/>
        <v>100.77020810081845</v>
      </c>
      <c r="M16" s="3">
        <f t="shared" ref="M16:N16" si="63">(M7*1000)/(112*24*M2)%</f>
        <v>100.80549094460227</v>
      </c>
      <c r="N16" s="3">
        <f t="shared" si="63"/>
        <v>101.00753445095485</v>
      </c>
      <c r="O16" s="3">
        <f t="shared" ref="O16:P16" si="64">(O7*1000)/(112*24*O2)%</f>
        <v>100.96628981370193</v>
      </c>
      <c r="P16" s="3">
        <f t="shared" si="64"/>
        <v>100.74813805404973</v>
      </c>
      <c r="Q16" s="3">
        <f t="shared" ref="Q16:R16" si="65">(Q7*1000)/(112*24*Q2)%</f>
        <v>100.53402111235118</v>
      </c>
      <c r="R16" s="3">
        <f t="shared" si="65"/>
        <v>100.39482262021019</v>
      </c>
      <c r="S16" s="3">
        <f t="shared" ref="S16:T16" si="66">(S7*1000)/(112*24*S2)%</f>
        <v>100.3407394793855</v>
      </c>
      <c r="T16" s="3">
        <f t="shared" si="66"/>
        <v>100.36615629650298</v>
      </c>
      <c r="U16" s="3">
        <f t="shared" ref="U16:V16" si="67">(U7*1000)/(112*24*U2)%</f>
        <v>100.20823702322211</v>
      </c>
      <c r="V16" s="3">
        <f t="shared" si="67"/>
        <v>99.987864234561016</v>
      </c>
      <c r="W16" s="3">
        <f t="shared" ref="W16:X16" si="68">(W7*1000)/(112*24*W2)%</f>
        <v>99.748606792977597</v>
      </c>
      <c r="X16" s="3">
        <f t="shared" si="68"/>
        <v>99.815133865158273</v>
      </c>
      <c r="Y16" s="3">
        <f t="shared" ref="Y16:Z16" si="69">(Y7*1000)/(112*24*Y2)%</f>
        <v>99.996256409323237</v>
      </c>
      <c r="Z16" s="3">
        <f t="shared" si="69"/>
        <v>100.22723223973836</v>
      </c>
      <c r="AA16" s="3">
        <f t="shared" ref="AA16:AB16" si="70">(AA7*1000)/(112*24*AA2)%</f>
        <v>100.46056556919645</v>
      </c>
      <c r="AB16" s="3">
        <f t="shared" si="70"/>
        <v>100.23492597083909</v>
      </c>
      <c r="AC16" s="3">
        <f t="shared" ref="AC16:AD16" si="71">(AC7*1000)/(112*24*AC2)%</f>
        <v>99.947185794890899</v>
      </c>
      <c r="AD16" s="3">
        <f t="shared" si="71"/>
        <v>99.708266319223014</v>
      </c>
      <c r="AE16" s="3">
        <f t="shared" ref="AE16:AF16" si="72">(AE7*1000)/(112*24*AE2)%</f>
        <v>99.688627055752278</v>
      </c>
      <c r="AF16" s="3">
        <f t="shared" si="72"/>
        <v>99.934646034846267</v>
      </c>
      <c r="AG16" s="3"/>
    </row>
    <row r="17" spans="1:34" ht="30" customHeight="1" x14ac:dyDescent="0.2">
      <c r="A17" s="17" t="s">
        <v>8</v>
      </c>
      <c r="B17" s="18" t="s">
        <v>13</v>
      </c>
      <c r="C17" s="3">
        <f t="shared" ref="C17:H17" si="73">(C8*1000)/(112*24*(C2+30+31))%</f>
        <v>101.15122135497612</v>
      </c>
      <c r="D17" s="3">
        <f t="shared" si="73"/>
        <v>101.06998031306038</v>
      </c>
      <c r="E17" s="3">
        <f t="shared" si="73"/>
        <v>101.03824489708254</v>
      </c>
      <c r="F17" s="3">
        <f t="shared" si="73"/>
        <v>101.05897025889938</v>
      </c>
      <c r="G17" s="3">
        <f t="shared" si="73"/>
        <v>101.0783033453108</v>
      </c>
      <c r="H17" s="3">
        <f t="shared" si="73"/>
        <v>101.06070062569353</v>
      </c>
      <c r="I17" s="3">
        <f t="shared" ref="I17:J17" si="74">(I8*1000)/(112*24*(I2+30+31))%</f>
        <v>101.08395669142213</v>
      </c>
      <c r="J17" s="3">
        <f t="shared" si="74"/>
        <v>101.08436658840634</v>
      </c>
      <c r="K17" s="3">
        <f t="shared" ref="K17:L17" si="75">(K8*1000)/(112*24*(K2+30+31))%</f>
        <v>101.11610033952434</v>
      </c>
      <c r="L17" s="3">
        <f t="shared" si="75"/>
        <v>101.15673960368932</v>
      </c>
      <c r="M17" s="3">
        <f t="shared" ref="M17:N17" si="76">(M8*1000)/(112*24*(M2+30+31))%</f>
        <v>101.15676154506089</v>
      </c>
      <c r="N17" s="3">
        <f t="shared" si="76"/>
        <v>101.18516225020844</v>
      </c>
      <c r="O17" s="3">
        <f t="shared" ref="O17:P17" si="77">(O8*1000)/(112*24*(O2+30+31))%</f>
        <v>101.17551619502545</v>
      </c>
      <c r="P17" s="3">
        <f t="shared" si="77"/>
        <v>101.13200484813939</v>
      </c>
      <c r="Q17" s="3">
        <f t="shared" ref="Q17:R17" si="78">(Q8*1000)/(112*24*(Q2+30+31))%</f>
        <v>101.08469404656611</v>
      </c>
      <c r="R17" s="3">
        <f t="shared" si="78"/>
        <v>101.04861808801455</v>
      </c>
      <c r="S17" s="3">
        <f t="shared" ref="S17:T17" si="79">(S8*1000)/(112*24*(S2+30+31))%</f>
        <v>101.02844874363221</v>
      </c>
      <c r="T17" s="3">
        <f t="shared" si="79"/>
        <v>101.02553473659255</v>
      </c>
      <c r="U17" s="3">
        <f t="shared" ref="U17:V17" si="80">(U8*1000)/(112*24*(U2+30+31))%</f>
        <v>100.97978667868722</v>
      </c>
      <c r="V17" s="3">
        <f t="shared" si="80"/>
        <v>100.91584834006144</v>
      </c>
      <c r="W17" s="3">
        <f t="shared" ref="W17:X17" si="81">(W8*1000)/(112*24*(W2+30+31))%</f>
        <v>100.84325821349131</v>
      </c>
      <c r="X17" s="3">
        <f t="shared" si="81"/>
        <v>100.84770332394265</v>
      </c>
      <c r="Y17" s="3">
        <f t="shared" ref="Y17:Z17" si="82">(Y8*1000)/(112*24*(Y2+30+31))%</f>
        <v>100.88500390795467</v>
      </c>
      <c r="Z17" s="3">
        <f t="shared" si="82"/>
        <v>100.93976476008797</v>
      </c>
      <c r="AA17" s="3">
        <f t="shared" ref="AA17:AB17" si="83">(AA8*1000)/(112*24*(AA2+30+31))%</f>
        <v>100.99930895446128</v>
      </c>
      <c r="AB17" s="3">
        <f t="shared" si="83"/>
        <v>100.92568397811004</v>
      </c>
      <c r="AC17" s="3">
        <f t="shared" ref="AC17:AD17" si="84">(AC8*1000)/(112*24*(AC2+30+31))%</f>
        <v>100.82955053767968</v>
      </c>
      <c r="AD17" s="3">
        <f t="shared" si="84"/>
        <v>100.74447064934833</v>
      </c>
      <c r="AE17" s="3">
        <f t="shared" ref="AE17:AF17" si="85">(AE8*1000)/(112*24*(AE2+30+31))%</f>
        <v>100.72662906078415</v>
      </c>
      <c r="AF17" s="3">
        <f t="shared" si="85"/>
        <v>100.79632760328731</v>
      </c>
      <c r="AG17" s="3"/>
    </row>
    <row r="18" spans="1:34" ht="30" customHeight="1" x14ac:dyDescent="0.2">
      <c r="A18" s="445" t="s">
        <v>14</v>
      </c>
      <c r="B18" s="446"/>
      <c r="C18" s="447" t="s">
        <v>511</v>
      </c>
      <c r="D18" s="448"/>
      <c r="E18" s="448"/>
      <c r="F18" s="448"/>
      <c r="G18" s="448"/>
      <c r="H18" s="448"/>
      <c r="I18" s="448"/>
      <c r="J18" s="448"/>
      <c r="K18" s="448"/>
      <c r="L18" s="448"/>
      <c r="M18" s="448"/>
      <c r="N18" s="448"/>
      <c r="O18" s="448"/>
      <c r="P18" s="448"/>
      <c r="Q18" s="448"/>
      <c r="R18" s="448"/>
      <c r="S18" s="448"/>
      <c r="T18" s="448"/>
      <c r="U18" s="448"/>
      <c r="V18" s="448"/>
      <c r="W18" s="448"/>
      <c r="X18" s="448"/>
      <c r="Y18" s="448"/>
      <c r="Z18" s="448"/>
      <c r="AA18" s="448"/>
      <c r="AB18" s="448"/>
      <c r="AC18" s="448"/>
      <c r="AD18" s="448"/>
      <c r="AE18" s="448"/>
      <c r="AF18" s="448"/>
      <c r="AG18" s="448"/>
    </row>
    <row r="19" spans="1:34" ht="34.5" customHeight="1" x14ac:dyDescent="0.2">
      <c r="A19" s="17" t="s">
        <v>15</v>
      </c>
      <c r="B19" s="18" t="s">
        <v>5</v>
      </c>
      <c r="C19" s="257">
        <v>0.17241600000000012</v>
      </c>
      <c r="D19" s="257">
        <v>0.17899999999999983</v>
      </c>
      <c r="E19" s="257">
        <v>0.17469999999999999</v>
      </c>
      <c r="F19" s="257">
        <v>0.18905599999999989</v>
      </c>
      <c r="G19" s="257">
        <v>0.18690400000000018</v>
      </c>
      <c r="H19" s="257">
        <v>0.18870000000000001</v>
      </c>
      <c r="I19" s="257">
        <v>0.18103200000000008</v>
      </c>
      <c r="J19" s="257">
        <v>0.17611200000000027</v>
      </c>
      <c r="K19" s="257">
        <v>0.1799760000000008</v>
      </c>
      <c r="L19" s="257">
        <v>0.1827</v>
      </c>
      <c r="M19" s="257">
        <v>0.18465599999999993</v>
      </c>
      <c r="N19" s="257">
        <v>0.19453600000000026</v>
      </c>
      <c r="O19" s="257">
        <v>0.178728</v>
      </c>
      <c r="P19" s="257">
        <v>0.18352800000000036</v>
      </c>
      <c r="Q19" s="257">
        <v>0.18004000000000042</v>
      </c>
      <c r="R19" s="257">
        <v>0.18510399999999994</v>
      </c>
      <c r="S19" s="257">
        <v>0.17330000000000001</v>
      </c>
      <c r="T19" s="257">
        <v>0.185168</v>
      </c>
      <c r="U19" s="257">
        <v>0.18237600000000009</v>
      </c>
      <c r="V19" s="257">
        <v>0.17934399999999995</v>
      </c>
      <c r="W19" s="257">
        <v>0.16754399999999992</v>
      </c>
      <c r="X19" s="257">
        <v>0.1792720000000001</v>
      </c>
      <c r="Y19" s="257">
        <v>0.1857</v>
      </c>
      <c r="Z19" s="257">
        <v>0.18002400000000085</v>
      </c>
      <c r="AA19" s="257">
        <v>0.18220800000000015</v>
      </c>
      <c r="AB19" s="322">
        <v>0.16772800000000032</v>
      </c>
      <c r="AC19" s="322">
        <v>0.16264000000000056</v>
      </c>
      <c r="AD19" s="322">
        <v>0.17137600000000042</v>
      </c>
      <c r="AE19" s="322">
        <v>0.16752800000000034</v>
      </c>
      <c r="AF19" s="257">
        <v>0.18129999999999999</v>
      </c>
      <c r="AG19" s="257"/>
      <c r="AH19" s="341"/>
    </row>
    <row r="20" spans="1:34" ht="30" customHeight="1" x14ac:dyDescent="0.2">
      <c r="A20" s="17" t="s">
        <v>16</v>
      </c>
      <c r="B20" s="18" t="s">
        <v>5</v>
      </c>
      <c r="C20" s="257">
        <v>0.18550900000000001</v>
      </c>
      <c r="D20" s="257">
        <v>0.187776</v>
      </c>
      <c r="E20" s="257">
        <v>0.18882199999999999</v>
      </c>
      <c r="F20" s="257">
        <v>0.19059137500000001</v>
      </c>
      <c r="G20" s="257">
        <v>0.1912755625</v>
      </c>
      <c r="H20" s="257">
        <v>0.19243499999999999</v>
      </c>
      <c r="I20" s="257">
        <v>0.19006799999999999</v>
      </c>
      <c r="J20" s="257">
        <v>0.186969</v>
      </c>
      <c r="K20" s="257">
        <v>0.19037000000000001</v>
      </c>
      <c r="L20" s="257">
        <v>0.19500000000000001</v>
      </c>
      <c r="M20" s="257">
        <v>0.19281562499999999</v>
      </c>
      <c r="N20" s="257">
        <v>0.19291074999999999</v>
      </c>
      <c r="O20" s="257">
        <v>0.19384599999999999</v>
      </c>
      <c r="P20" s="257">
        <v>0.18715899999999999</v>
      </c>
      <c r="Q20" s="257">
        <v>0.18812200000000001</v>
      </c>
      <c r="R20" s="257">
        <v>0.18856000000000001</v>
      </c>
      <c r="S20" s="257">
        <v>0.19045899999999999</v>
      </c>
      <c r="T20" s="257">
        <v>0.19123275000000001</v>
      </c>
      <c r="U20" s="257">
        <v>0.18650975</v>
      </c>
      <c r="V20" s="257">
        <v>0.181973</v>
      </c>
      <c r="W20" s="257">
        <v>0.17696175</v>
      </c>
      <c r="X20" s="257">
        <v>0.190248</v>
      </c>
      <c r="Y20" s="257">
        <v>0.19192000000000001</v>
      </c>
      <c r="Z20" s="257">
        <v>0.19325049999999999</v>
      </c>
      <c r="AA20" s="257">
        <v>0.192772</v>
      </c>
      <c r="AB20" s="257">
        <v>0.17830099999999999</v>
      </c>
      <c r="AC20" s="257">
        <v>0.17540449999999999</v>
      </c>
      <c r="AD20" s="257">
        <v>0.172872</v>
      </c>
      <c r="AE20" s="257">
        <v>0.18412100000000001</v>
      </c>
      <c r="AF20" s="257">
        <v>0.19186</v>
      </c>
      <c r="AG20" s="257"/>
      <c r="AH20" s="341"/>
    </row>
    <row r="21" spans="1:34" ht="30" customHeight="1" x14ac:dyDescent="0.2">
      <c r="A21" s="17" t="s">
        <v>17</v>
      </c>
      <c r="B21" s="18" t="s">
        <v>13</v>
      </c>
      <c r="C21" s="289">
        <f>C20/C5*100</f>
        <v>7.1185423467486713</v>
      </c>
      <c r="D21" s="289">
        <f t="shared" ref="D21:E21" si="86">D20/D5*100</f>
        <v>7.274282473479178</v>
      </c>
      <c r="E21" s="289">
        <f t="shared" si="86"/>
        <v>7.0927958662232173</v>
      </c>
      <c r="F21" s="289">
        <f t="shared" ref="F21:G21" si="87">F20/F5*100</f>
        <v>6.9252582838998391</v>
      </c>
      <c r="G21" s="289">
        <f t="shared" si="87"/>
        <v>6.9535442852151723</v>
      </c>
      <c r="H21" s="289">
        <f t="shared" ref="H21:I21" si="88">H20/H5*100</f>
        <v>7.1662837771661314</v>
      </c>
      <c r="I21" s="289">
        <f t="shared" si="88"/>
        <v>6.8889678219077766</v>
      </c>
      <c r="J21" s="289">
        <f t="shared" ref="J21:K21" si="89">J20/J5*100</f>
        <v>6.8791790123025276</v>
      </c>
      <c r="K21" s="289">
        <f t="shared" si="89"/>
        <v>6.855590022968407</v>
      </c>
      <c r="L21" s="289">
        <f t="shared" ref="L21:M21" si="90">L20/L5*100</f>
        <v>6.975346621070555</v>
      </c>
      <c r="M21" s="289">
        <f t="shared" si="90"/>
        <v>7.0910631756369265</v>
      </c>
      <c r="N21" s="289">
        <f t="shared" ref="N21:O21" si="91">N20/N5*100</f>
        <v>6.9521828015861571</v>
      </c>
      <c r="O21" s="289">
        <f t="shared" si="91"/>
        <v>7.1777003484320545</v>
      </c>
      <c r="P21" s="289">
        <f t="shared" ref="P21:Q21" si="92">P20/P5*100</f>
        <v>7.1112311774211499</v>
      </c>
      <c r="Q21" s="289">
        <f t="shared" si="92"/>
        <v>7.1753596223631453</v>
      </c>
      <c r="R21" s="289">
        <f t="shared" ref="R21:S21" si="93">R20/R5*100</f>
        <v>7.1356993863359071</v>
      </c>
      <c r="S21" s="289">
        <f t="shared" si="93"/>
        <v>7.1228943202417145</v>
      </c>
      <c r="T21" s="289">
        <f t="shared" ref="T21:U21" si="94">T20/T5*100</f>
        <v>7.0579738908915957</v>
      </c>
      <c r="U21" s="289">
        <f t="shared" si="94"/>
        <v>7.1263365600449848</v>
      </c>
      <c r="V21" s="289">
        <f t="shared" ref="V21:W21" si="95">V20/V5*100</f>
        <v>7.0665695840007769</v>
      </c>
      <c r="W21" s="289">
        <f t="shared" si="95"/>
        <v>6.9325597222694242</v>
      </c>
      <c r="X21" s="289">
        <f t="shared" ref="X21:Y21" si="96">X20/X5*100</f>
        <v>6.9929103457198885</v>
      </c>
      <c r="Y21" s="289">
        <f t="shared" si="96"/>
        <v>6.8665277523355943</v>
      </c>
      <c r="Z21" s="289">
        <f t="shared" ref="Z21:AA21" si="97">Z20/Z5*100</f>
        <v>6.8120151298606411</v>
      </c>
      <c r="AA21" s="289">
        <f t="shared" si="97"/>
        <v>6.7617755465977867</v>
      </c>
      <c r="AB21" s="289">
        <f t="shared" ref="AB21:AC21" si="98">AB20/AB5*100</f>
        <v>7.0123117885227613</v>
      </c>
      <c r="AC21" s="289">
        <f t="shared" si="98"/>
        <v>7.0571552548406551</v>
      </c>
      <c r="AD21" s="289">
        <f t="shared" ref="AD21:AE21" si="99">AD20/AD5*100</f>
        <v>6.8962325870845236</v>
      </c>
      <c r="AE21" s="289">
        <f t="shared" si="99"/>
        <v>6.9092470154969376</v>
      </c>
      <c r="AF21" s="289">
        <f t="shared" ref="AF21" si="100">AF20/AF5*100</f>
        <v>6.6663886977852842</v>
      </c>
      <c r="AG21" s="289"/>
      <c r="AH21" s="341"/>
    </row>
    <row r="22" spans="1:34" ht="32.25" customHeight="1" x14ac:dyDescent="0.2">
      <c r="A22" s="17" t="s">
        <v>18</v>
      </c>
      <c r="B22" s="18" t="s">
        <v>5</v>
      </c>
      <c r="C22" s="8">
        <f>C20</f>
        <v>0.18550900000000001</v>
      </c>
      <c r="D22" s="8">
        <f t="shared" ref="D22:AC22" si="101">C22+D20</f>
        <v>0.37328499999999998</v>
      </c>
      <c r="E22" s="8">
        <f t="shared" si="101"/>
        <v>0.56210699999999991</v>
      </c>
      <c r="F22" s="8">
        <f t="shared" si="101"/>
        <v>0.75269837499999992</v>
      </c>
      <c r="G22" s="8">
        <f t="shared" si="101"/>
        <v>0.94397393749999992</v>
      </c>
      <c r="H22" s="8">
        <f t="shared" si="101"/>
        <v>1.1364089374999999</v>
      </c>
      <c r="I22" s="8">
        <f t="shared" si="101"/>
        <v>1.3264769374999998</v>
      </c>
      <c r="J22" s="8">
        <f t="shared" si="101"/>
        <v>1.5134459374999998</v>
      </c>
      <c r="K22" s="8">
        <f t="shared" si="101"/>
        <v>1.7038159374999997</v>
      </c>
      <c r="L22" s="8">
        <f t="shared" si="101"/>
        <v>1.8988159374999998</v>
      </c>
      <c r="M22" s="8">
        <f t="shared" si="101"/>
        <v>2.0916315624999999</v>
      </c>
      <c r="N22" s="8">
        <f t="shared" si="101"/>
        <v>2.2845423124999997</v>
      </c>
      <c r="O22" s="8">
        <f t="shared" si="101"/>
        <v>2.4783883124999999</v>
      </c>
      <c r="P22" s="8">
        <f t="shared" si="101"/>
        <v>2.6655473124999998</v>
      </c>
      <c r="Q22" s="8">
        <f t="shared" si="101"/>
        <v>2.8536693124999997</v>
      </c>
      <c r="R22" s="8">
        <f t="shared" si="101"/>
        <v>3.0422293124999995</v>
      </c>
      <c r="S22" s="8">
        <f t="shared" si="101"/>
        <v>3.2326883124999997</v>
      </c>
      <c r="T22" s="8">
        <f t="shared" si="101"/>
        <v>3.4239210624999998</v>
      </c>
      <c r="U22" s="8">
        <f t="shared" si="101"/>
        <v>3.6104308124999998</v>
      </c>
      <c r="V22" s="8">
        <f t="shared" si="101"/>
        <v>3.7924038124999999</v>
      </c>
      <c r="W22" s="8">
        <f t="shared" si="101"/>
        <v>3.9693655624999997</v>
      </c>
      <c r="X22" s="8">
        <f t="shared" si="101"/>
        <v>4.1596135624999997</v>
      </c>
      <c r="Y22" s="8">
        <f t="shared" si="101"/>
        <v>4.3515335624999993</v>
      </c>
      <c r="Z22" s="8">
        <f t="shared" si="101"/>
        <v>4.5447840624999998</v>
      </c>
      <c r="AA22" s="8">
        <f t="shared" si="101"/>
        <v>4.7375560624999995</v>
      </c>
      <c r="AB22" s="8">
        <f t="shared" si="101"/>
        <v>4.9158570624999998</v>
      </c>
      <c r="AC22" s="8">
        <f t="shared" si="101"/>
        <v>5.0912615624999997</v>
      </c>
      <c r="AD22" s="8">
        <f t="shared" ref="AD22:AF22" si="102">AC22+AD20</f>
        <v>5.2641335624999996</v>
      </c>
      <c r="AE22" s="8">
        <f t="shared" si="102"/>
        <v>5.4482545624999998</v>
      </c>
      <c r="AF22" s="8">
        <f t="shared" si="102"/>
        <v>5.6401145625</v>
      </c>
      <c r="AG22" s="8"/>
      <c r="AH22" s="341"/>
    </row>
    <row r="23" spans="1:34" ht="34.5" customHeight="1" x14ac:dyDescent="0.2">
      <c r="A23" s="17" t="s">
        <v>15</v>
      </c>
      <c r="B23" s="18" t="s">
        <v>13</v>
      </c>
      <c r="C23" s="3">
        <f>(C19/C6)*100</f>
        <v>6.6441618497109873</v>
      </c>
      <c r="D23" s="3">
        <f t="shared" ref="D23:E23" si="103">(D19/D6)*100</f>
        <v>6.9568596968519181</v>
      </c>
      <c r="E23" s="3">
        <f t="shared" si="103"/>
        <v>6.5750846819721485</v>
      </c>
      <c r="F23" s="3">
        <f t="shared" ref="F23:G23" si="104">(F19/F6)*100</f>
        <v>6.8822715689843426</v>
      </c>
      <c r="G23" s="3">
        <f t="shared" si="104"/>
        <v>6.8287906466934665</v>
      </c>
      <c r="H23" s="3">
        <f t="shared" ref="H23:I23" si="105">(H19/H6)*100</f>
        <v>7.0357941834451907</v>
      </c>
      <c r="I23" s="3">
        <f t="shared" si="105"/>
        <v>6.5805888767720866</v>
      </c>
      <c r="J23" s="3">
        <f t="shared" ref="J23:K23" si="106">(J19/J6)*100</f>
        <v>6.5009966777408739</v>
      </c>
      <c r="K23" s="3">
        <f t="shared" si="106"/>
        <v>6.5067245119306145</v>
      </c>
      <c r="L23" s="3">
        <f t="shared" ref="L23:M23" si="107">(L19/L6)*100</f>
        <v>6.5483870967741939</v>
      </c>
      <c r="M23" s="3">
        <f t="shared" si="107"/>
        <v>6.8088495575221213</v>
      </c>
      <c r="N23" s="3">
        <f t="shared" ref="N23:O23" si="108">(N19/N6)*100</f>
        <v>7.0382054992764207</v>
      </c>
      <c r="O23" s="3">
        <f t="shared" si="108"/>
        <v>6.6491071428571438</v>
      </c>
      <c r="P23" s="3">
        <f t="shared" ref="P23:Q23" si="109">(P19/P6)*100</f>
        <v>6.9835616438356301</v>
      </c>
      <c r="Q23" s="3">
        <f t="shared" si="109"/>
        <v>6.8875286916603065</v>
      </c>
      <c r="R23" s="3">
        <f t="shared" ref="R23:S23" si="110">(R19/R6)*100</f>
        <v>7.0168309325246385</v>
      </c>
      <c r="S23" s="3">
        <f t="shared" si="110"/>
        <v>6.4906367041198507</v>
      </c>
      <c r="T23" s="3">
        <f t="shared" ref="T23:U23" si="111">(T19/T6)*100</f>
        <v>6.8529977794226484</v>
      </c>
      <c r="U23" s="3">
        <f t="shared" si="111"/>
        <v>6.9875862068965553</v>
      </c>
      <c r="V23" s="3">
        <f t="shared" ref="V23:W23" si="112">(V19/V6)*100</f>
        <v>6.9892439594699898</v>
      </c>
      <c r="W23" s="3">
        <f t="shared" si="112"/>
        <v>6.5780918727915152</v>
      </c>
      <c r="X23" s="3">
        <f t="shared" ref="X23:Y23" si="113">(X19/X6)*100</f>
        <v>6.6152029520295237</v>
      </c>
      <c r="Y23" s="3">
        <f t="shared" si="113"/>
        <v>6.660688665710186</v>
      </c>
      <c r="Z23" s="3">
        <f t="shared" ref="Z23:AA23" si="114">(Z19/Z6)*100</f>
        <v>6.3567796610169802</v>
      </c>
      <c r="AA23" s="3">
        <f t="shared" si="114"/>
        <v>6.4202959830866853</v>
      </c>
      <c r="AB23" s="3">
        <f t="shared" ref="AB23:AC23" si="115">(AB19/AB6)*100</f>
        <v>6.6217133833399249</v>
      </c>
      <c r="AC23" s="3">
        <f t="shared" si="115"/>
        <v>6.5926226185650822</v>
      </c>
      <c r="AD23" s="3">
        <f t="shared" ref="AD23:AE23" si="116">(AD19/AD6)*100</f>
        <v>6.8550400000000167</v>
      </c>
      <c r="AE23" s="3">
        <f t="shared" si="116"/>
        <v>6.3051561911930882</v>
      </c>
      <c r="AF23" s="3">
        <f t="shared" ref="AF23" si="117">(AF19/AF6)*100</f>
        <v>6.328097731239092</v>
      </c>
      <c r="AG23" s="3"/>
      <c r="AH23" s="341"/>
    </row>
    <row r="24" spans="1:34" ht="30" customHeight="1" x14ac:dyDescent="0.2">
      <c r="A24" s="17" t="s">
        <v>19</v>
      </c>
      <c r="B24" s="18" t="s">
        <v>13</v>
      </c>
      <c r="C24" s="3">
        <f>C22/C7*100</f>
        <v>7.1185423467486713</v>
      </c>
      <c r="D24" s="3">
        <f t="shared" ref="D24:E24" si="118">D22/D7*100</f>
        <v>7.1960426921953617</v>
      </c>
      <c r="E24" s="3">
        <f t="shared" si="118"/>
        <v>7.1610265632430767</v>
      </c>
      <c r="F24" s="3">
        <f t="shared" ref="F24:G24" si="119">F22/F7*100</f>
        <v>7.0998226537912945</v>
      </c>
      <c r="G24" s="3">
        <f t="shared" si="119"/>
        <v>7.0696874881092997</v>
      </c>
      <c r="H24" s="3">
        <f t="shared" ref="H24:I24" si="120">H22/H7*100</f>
        <v>7.0858611553059214</v>
      </c>
      <c r="I24" s="3">
        <f t="shared" si="120"/>
        <v>7.0569607549584346</v>
      </c>
      <c r="J24" s="3">
        <f t="shared" ref="J24:K24" si="121">J22/J7*100</f>
        <v>7.0345019524708343</v>
      </c>
      <c r="K24" s="3">
        <f t="shared" si="121"/>
        <v>7.0140497944454774</v>
      </c>
      <c r="L24" s="3">
        <f t="shared" ref="L24:M24" si="122">L22/L7*100</f>
        <v>7.010055372184314</v>
      </c>
      <c r="M24" s="3">
        <f t="shared" si="122"/>
        <v>7.0174454938364565</v>
      </c>
      <c r="N24" s="3">
        <f t="shared" ref="N24:O24" si="123">N22/N7*100</f>
        <v>7.0118872710370441</v>
      </c>
      <c r="O24" s="3">
        <f t="shared" si="123"/>
        <v>7.0245795989989936</v>
      </c>
      <c r="P24" s="3">
        <f t="shared" ref="P24:Q24" si="124">P22/P7*100</f>
        <v>7.0305947712488432</v>
      </c>
      <c r="Q24" s="3">
        <f t="shared" si="124"/>
        <v>7.0399579963816015</v>
      </c>
      <c r="R24" s="3">
        <f t="shared" ref="R24:S24" si="125">R22/R7*100</f>
        <v>7.0458173834492515</v>
      </c>
      <c r="S24" s="3">
        <f t="shared" si="125"/>
        <v>7.0503122206053108</v>
      </c>
      <c r="T24" s="3">
        <f t="shared" ref="T24:U24" si="126">T22/T7*100</f>
        <v>7.0507397014113558</v>
      </c>
      <c r="U24" s="3">
        <f t="shared" si="126"/>
        <v>7.054605619722655</v>
      </c>
      <c r="V24" s="3">
        <f t="shared" ref="V24:W24" si="127">V22/V7*100</f>
        <v>7.0551787678409115</v>
      </c>
      <c r="W24" s="3">
        <f t="shared" si="127"/>
        <v>7.0496198747902614</v>
      </c>
      <c r="X24" s="3">
        <f t="shared" ref="X24:Y24" si="128">X22/X7*100</f>
        <v>7.0470060899084501</v>
      </c>
      <c r="Y24" s="3">
        <f t="shared" si="128"/>
        <v>7.0388465194801588</v>
      </c>
      <c r="Z24" s="3">
        <f t="shared" ref="Z24:AA24" si="129">Z22/Z7*100</f>
        <v>7.0288942544665067</v>
      </c>
      <c r="AA24" s="3">
        <f t="shared" si="129"/>
        <v>7.0176139033972849</v>
      </c>
      <c r="AB24" s="3">
        <f t="shared" ref="AB24:AC24" si="130">AB22/AB7*100</f>
        <v>7.0174214524701979</v>
      </c>
      <c r="AC24" s="3">
        <f t="shared" si="130"/>
        <v>7.0187829209391124</v>
      </c>
      <c r="AD24" s="3">
        <f t="shared" ref="AD24:AE24" si="131">AD22/AD7*100</f>
        <v>7.0146892889842247</v>
      </c>
      <c r="AE24" s="3">
        <f t="shared" si="131"/>
        <v>7.0110734049835211</v>
      </c>
      <c r="AF24" s="3">
        <f t="shared" ref="AF24" si="132">AF22/AF7*100</f>
        <v>6.9987636552002934</v>
      </c>
      <c r="AG24" s="3"/>
      <c r="AH24" s="341"/>
    </row>
    <row r="25" spans="1:34" ht="30" customHeight="1" x14ac:dyDescent="0.2">
      <c r="A25" s="17" t="s">
        <v>20</v>
      </c>
      <c r="B25" s="18" t="s">
        <v>13</v>
      </c>
      <c r="C25" s="3">
        <f t="shared" ref="C25:H25" si="133">(C22+5.73045+5.734286421875)/C8*100</f>
        <v>6.9110333593008795</v>
      </c>
      <c r="D25" s="3">
        <f t="shared" si="133"/>
        <v>6.9165118697077714</v>
      </c>
      <c r="E25" s="3">
        <f t="shared" si="133"/>
        <v>6.9192118027154539</v>
      </c>
      <c r="F25" s="3">
        <f t="shared" si="133"/>
        <v>6.9193060464492415</v>
      </c>
      <c r="G25" s="3">
        <f t="shared" si="133"/>
        <v>6.9198312571135414</v>
      </c>
      <c r="H25" s="3">
        <f t="shared" si="133"/>
        <v>6.9234673666180591</v>
      </c>
      <c r="I25" s="3">
        <f t="shared" ref="I25:J25" si="134">(I22+5.73045+5.734286421875)/I8*100</f>
        <v>6.9229521998948913</v>
      </c>
      <c r="J25" s="3">
        <f t="shared" si="134"/>
        <v>6.9223176309440584</v>
      </c>
      <c r="K25" s="3">
        <f t="shared" ref="K25:L25" si="135">(K22+5.73045+5.734286421875)/K8*100</f>
        <v>6.9213437371195576</v>
      </c>
      <c r="L25" s="3">
        <f t="shared" si="135"/>
        <v>6.9221257309648454</v>
      </c>
      <c r="M25" s="3">
        <f t="shared" ref="M25:N25" si="136">(M22+5.73045+5.734286421875)/M8*100</f>
        <v>6.9244721204974509</v>
      </c>
      <c r="N25" s="3">
        <f t="shared" si="136"/>
        <v>6.9248593901713589</v>
      </c>
      <c r="O25" s="3">
        <f t="shared" ref="O25:P25" si="137">(O22+5.73045+5.734286421875)/O8*100</f>
        <v>6.9282523798211315</v>
      </c>
      <c r="P25" s="3">
        <f t="shared" si="137"/>
        <v>6.9306144214295813</v>
      </c>
      <c r="Q25" s="3">
        <f t="shared" ref="Q25:R25" si="138">(Q22+5.73045+5.734286421875)/Q8*100</f>
        <v>6.9337217118202998</v>
      </c>
      <c r="R25" s="3">
        <f t="shared" si="138"/>
        <v>6.9362736257541542</v>
      </c>
      <c r="S25" s="3">
        <f t="shared" ref="S25:T25" si="139">(S22+5.73045+5.734286421875)/S8*100</f>
        <v>6.9386294194128713</v>
      </c>
      <c r="T25" s="3">
        <f t="shared" si="139"/>
        <v>6.9401367100967279</v>
      </c>
      <c r="U25" s="3">
        <f t="shared" ref="U25:V25" si="140">(U22+5.73045+5.734286421875)/U8*100</f>
        <v>6.9423809063715201</v>
      </c>
      <c r="V25" s="3">
        <f t="shared" si="140"/>
        <v>6.9438363877692115</v>
      </c>
      <c r="W25" s="3">
        <f t="shared" ref="W25:X25" si="141">(W22+5.73045+5.734286421875)/W8*100</f>
        <v>6.9437068857628184</v>
      </c>
      <c r="X25" s="3">
        <f t="shared" si="141"/>
        <v>6.9443018411671664</v>
      </c>
      <c r="Y25" s="3">
        <f t="shared" ref="Y25:Z25" si="142">(Y22+5.73045+5.734286421875)/Y8*100</f>
        <v>6.9433475457867582</v>
      </c>
      <c r="Z25" s="3">
        <f t="shared" si="142"/>
        <v>6.941732047590718</v>
      </c>
      <c r="AA25" s="3">
        <f t="shared" ref="AA25:AB25" si="143">(AA22+5.73045+5.734286421875)/AA8*100</f>
        <v>6.9395346703346297</v>
      </c>
      <c r="AB25" s="3">
        <f t="shared" si="143"/>
        <v>6.9403187084881415</v>
      </c>
      <c r="AC25" s="3">
        <f t="shared" ref="AC25:AD25" si="144">(AC22+5.73045+5.734286421875)/AC8*100</f>
        <v>6.9415362674516006</v>
      </c>
      <c r="AD25" s="3">
        <f t="shared" si="144"/>
        <v>6.941065066943203</v>
      </c>
      <c r="AE25" s="3">
        <f t="shared" ref="AE25:AF25" si="145">(AE22+5.73045+5.734286421875)/AE8*100</f>
        <v>6.9407171063109869</v>
      </c>
      <c r="AF25" s="3">
        <f t="shared" si="145"/>
        <v>6.9375149006161676</v>
      </c>
      <c r="AG25" s="3"/>
      <c r="AH25" s="341"/>
    </row>
    <row r="26" spans="1:34" ht="31.5" customHeight="1" x14ac:dyDescent="0.2">
      <c r="A26" s="445" t="s">
        <v>488</v>
      </c>
      <c r="B26" s="446"/>
      <c r="C26" s="447" t="s">
        <v>512</v>
      </c>
      <c r="D26" s="448"/>
      <c r="E26" s="448"/>
      <c r="F26" s="448"/>
      <c r="G26" s="448"/>
      <c r="H26" s="448"/>
      <c r="I26" s="448"/>
      <c r="J26" s="448"/>
      <c r="K26" s="448"/>
      <c r="L26" s="448"/>
      <c r="M26" s="448"/>
      <c r="N26" s="448"/>
      <c r="O26" s="448"/>
      <c r="P26" s="448"/>
      <c r="Q26" s="448"/>
      <c r="R26" s="448"/>
      <c r="S26" s="448"/>
      <c r="T26" s="448"/>
      <c r="U26" s="448"/>
      <c r="V26" s="448"/>
      <c r="W26" s="448"/>
      <c r="X26" s="448"/>
      <c r="Y26" s="448"/>
      <c r="Z26" s="448"/>
      <c r="AA26" s="448"/>
      <c r="AB26" s="448"/>
      <c r="AC26" s="448"/>
      <c r="AD26" s="448"/>
      <c r="AE26" s="448"/>
      <c r="AF26" s="448"/>
      <c r="AG26" s="448"/>
    </row>
    <row r="27" spans="1:34" ht="31.5" customHeight="1" x14ac:dyDescent="0.2">
      <c r="A27" s="17" t="s">
        <v>6</v>
      </c>
      <c r="B27" s="18" t="s">
        <v>13</v>
      </c>
      <c r="C27" s="3">
        <f t="shared" ref="C27:D27" si="146">MIN(C31,C35)</f>
        <v>100</v>
      </c>
      <c r="D27" s="3">
        <f t="shared" si="146"/>
        <v>100</v>
      </c>
      <c r="E27" s="3">
        <f t="shared" ref="E27:F27" si="147">MIN(E31,E35)</f>
        <v>100</v>
      </c>
      <c r="F27" s="3">
        <f t="shared" si="147"/>
        <v>100</v>
      </c>
      <c r="G27" s="3">
        <f t="shared" ref="G27:H27" si="148">MIN(G31,G35)</f>
        <v>100</v>
      </c>
      <c r="H27" s="3">
        <f t="shared" si="148"/>
        <v>100</v>
      </c>
      <c r="I27" s="3">
        <f t="shared" ref="I27:J27" si="149">MIN(I31,I35)</f>
        <v>100</v>
      </c>
      <c r="J27" s="3">
        <f t="shared" si="149"/>
        <v>100</v>
      </c>
      <c r="K27" s="3">
        <f t="shared" ref="K27:L27" si="150">MIN(K31,K35)</f>
        <v>100</v>
      </c>
      <c r="L27" s="3">
        <f t="shared" si="150"/>
        <v>100</v>
      </c>
      <c r="M27" s="3">
        <f t="shared" ref="M27:N27" si="151">MIN(M31,M35)</f>
        <v>100</v>
      </c>
      <c r="N27" s="3">
        <f t="shared" si="151"/>
        <v>100</v>
      </c>
      <c r="O27" s="3">
        <f t="shared" ref="O27:P27" si="152">MIN(O31,O35)</f>
        <v>100</v>
      </c>
      <c r="P27" s="3">
        <f t="shared" si="152"/>
        <v>100</v>
      </c>
      <c r="Q27" s="3">
        <f t="shared" ref="Q27:R27" si="153">MIN(Q31,Q35)</f>
        <v>100</v>
      </c>
      <c r="R27" s="3">
        <f t="shared" si="153"/>
        <v>100</v>
      </c>
      <c r="S27" s="3">
        <f t="shared" ref="S27:T27" si="154">MIN(S31,S35)</f>
        <v>100</v>
      </c>
      <c r="T27" s="3">
        <f t="shared" si="154"/>
        <v>100</v>
      </c>
      <c r="U27" s="3">
        <f t="shared" ref="U27:V27" si="155">MIN(U31,U35)</f>
        <v>95.442708333333343</v>
      </c>
      <c r="V27" s="3">
        <f t="shared" si="155"/>
        <v>93.75</v>
      </c>
      <c r="W27" s="3">
        <f t="shared" ref="W27:X27" si="156">MIN(W31,W35)</f>
        <v>94.434895833333329</v>
      </c>
      <c r="X27" s="3">
        <f t="shared" si="156"/>
        <v>100</v>
      </c>
      <c r="Y27" s="3">
        <f t="shared" ref="Y27:Z27" si="157">MIN(Y31,Y35)</f>
        <v>100</v>
      </c>
      <c r="Z27" s="3">
        <f t="shared" si="157"/>
        <v>100</v>
      </c>
      <c r="AA27" s="3">
        <f t="shared" ref="AA27:AB27" si="158">MIN(AA31,AA35)</f>
        <v>100</v>
      </c>
      <c r="AB27" s="3">
        <f t="shared" si="158"/>
        <v>89.0625</v>
      </c>
      <c r="AC27" s="3">
        <f t="shared" ref="AC27:AD27" si="159">MIN(AC31,AC35)</f>
        <v>87.5</v>
      </c>
      <c r="AD27" s="3">
        <f t="shared" si="159"/>
        <v>87.5</v>
      </c>
      <c r="AE27" s="3">
        <f t="shared" ref="AE27:AF27" si="160">MIN(AE31,AE35)</f>
        <v>95.791666666666657</v>
      </c>
      <c r="AF27" s="3">
        <f t="shared" si="160"/>
        <v>100</v>
      </c>
      <c r="AG27" s="3"/>
    </row>
    <row r="28" spans="1:34" ht="31.5" customHeight="1" x14ac:dyDescent="0.2">
      <c r="A28" s="17" t="s">
        <v>7</v>
      </c>
      <c r="B28" s="18" t="s">
        <v>13</v>
      </c>
      <c r="C28" s="3">
        <f>C27</f>
        <v>100</v>
      </c>
      <c r="D28" s="3">
        <f>AVERAGE($C27:D27)</f>
        <v>100</v>
      </c>
      <c r="E28" s="3">
        <f>AVERAGE($C27:E27)</f>
        <v>100</v>
      </c>
      <c r="F28" s="3">
        <f>AVERAGE($C27:F27)</f>
        <v>100</v>
      </c>
      <c r="G28" s="3">
        <f>AVERAGE($C27:G27)</f>
        <v>100</v>
      </c>
      <c r="H28" s="3">
        <f>AVERAGE($C27:H27)</f>
        <v>100</v>
      </c>
      <c r="I28" s="3">
        <f>AVERAGE($C27:I27)</f>
        <v>100</v>
      </c>
      <c r="J28" s="3">
        <f>AVERAGE($C27:J27)</f>
        <v>100</v>
      </c>
      <c r="K28" s="3">
        <f>AVERAGE($C27:K27)</f>
        <v>100</v>
      </c>
      <c r="L28" s="3">
        <f>AVERAGE($C27:L27)</f>
        <v>100</v>
      </c>
      <c r="M28" s="3">
        <f>AVERAGE($C27:M27)</f>
        <v>100</v>
      </c>
      <c r="N28" s="3">
        <f>AVERAGE($C27:N27)</f>
        <v>100</v>
      </c>
      <c r="O28" s="3">
        <f>AVERAGE($C27:O27)</f>
        <v>100</v>
      </c>
      <c r="P28" s="3">
        <f>AVERAGE($C27:P27)</f>
        <v>100</v>
      </c>
      <c r="Q28" s="3">
        <f>AVERAGE($C27:Q27)</f>
        <v>100</v>
      </c>
      <c r="R28" s="3">
        <f>AVERAGE($C27:R27)</f>
        <v>100</v>
      </c>
      <c r="S28" s="3">
        <f>AVERAGE($C27:S27)</f>
        <v>100</v>
      </c>
      <c r="T28" s="3">
        <f>AVERAGE($C27:T27)</f>
        <v>100</v>
      </c>
      <c r="U28" s="3">
        <f>AVERAGE($C27:U27)</f>
        <v>99.760142543859644</v>
      </c>
      <c r="V28" s="3">
        <f>AVERAGE($C27:V27)</f>
        <v>99.459635416666657</v>
      </c>
      <c r="W28" s="3">
        <f>AVERAGE($C27:W27)</f>
        <v>99.220362103174594</v>
      </c>
      <c r="X28" s="3">
        <f>AVERAGE($C27:X27)</f>
        <v>99.255800189393938</v>
      </c>
      <c r="Y28" s="3">
        <f>AVERAGE($C27:Y27)</f>
        <v>99.288156702898547</v>
      </c>
      <c r="Z28" s="3">
        <f>AVERAGE($C27:Z27)</f>
        <v>99.317816840277771</v>
      </c>
      <c r="AA28" s="3">
        <f>AVERAGE($C27:AA27)</f>
        <v>99.345104166666658</v>
      </c>
      <c r="AB28" s="3">
        <f>AVERAGE($C27:AB27)</f>
        <v>98.949619391025635</v>
      </c>
      <c r="AC28" s="3">
        <f>AVERAGE($C27:AC27)</f>
        <v>98.52555941358024</v>
      </c>
      <c r="AD28" s="3">
        <f>AVERAGE($C27:AD27)</f>
        <v>98.13178943452381</v>
      </c>
      <c r="AE28" s="3">
        <f>AVERAGE($C27:AE27)</f>
        <v>98.051095545977006</v>
      </c>
      <c r="AF28" s="3">
        <f>AVERAGE($C27:AF27)</f>
        <v>98.116059027777766</v>
      </c>
      <c r="AG28" s="3"/>
    </row>
    <row r="29" spans="1:34" ht="31.5" customHeight="1" x14ac:dyDescent="0.2">
      <c r="A29" s="17" t="s">
        <v>8</v>
      </c>
      <c r="B29" s="18" t="s">
        <v>13</v>
      </c>
      <c r="C29" s="3">
        <f t="shared" ref="C29:H29" si="161">((99.9946*30+98.4624495967742*31+C2*C28))/(C2+30+31)</f>
        <v>99.228611895161308</v>
      </c>
      <c r="D29" s="3">
        <f t="shared" si="161"/>
        <v>99.240856150793661</v>
      </c>
      <c r="E29" s="3">
        <f t="shared" si="161"/>
        <v>99.25271777343751</v>
      </c>
      <c r="F29" s="3">
        <f t="shared" si="161"/>
        <v>99.264214423076936</v>
      </c>
      <c r="G29" s="3">
        <f t="shared" si="161"/>
        <v>99.275362689393944</v>
      </c>
      <c r="H29" s="3">
        <f t="shared" si="161"/>
        <v>99.286178171641794</v>
      </c>
      <c r="I29" s="3">
        <f t="shared" ref="I29:J29" si="162">((99.9946*30+98.4624495967742*31+I2*I28))/(I2+30+31)</f>
        <v>99.296675551470599</v>
      </c>
      <c r="J29" s="3">
        <f t="shared" si="162"/>
        <v>99.306868659420303</v>
      </c>
      <c r="K29" s="3">
        <f t="shared" ref="K29:L29" si="163">((99.9946*30+98.4624495967742*31+K2*K28))/(K2+30+31)</f>
        <v>99.316770535714298</v>
      </c>
      <c r="L29" s="3">
        <f t="shared" si="163"/>
        <v>99.326393485915503</v>
      </c>
      <c r="M29" s="3">
        <f t="shared" ref="M29:N29" si="164">((99.9946*30+98.4624495967742*31+M2*M28))/(M2+30+31)</f>
        <v>99.335749131944453</v>
      </c>
      <c r="N29" s="3">
        <f t="shared" si="164"/>
        <v>99.344848458904124</v>
      </c>
      <c r="O29" s="3">
        <f t="shared" ref="O29:P29" si="165">((99.9946*30+98.4624495967742*31+O2*O28))/(O2+30+31)</f>
        <v>99.35370185810811</v>
      </c>
      <c r="P29" s="3">
        <f t="shared" si="165"/>
        <v>99.36231916666668</v>
      </c>
      <c r="Q29" s="3">
        <f t="shared" ref="Q29:R29" si="166">((99.9946*30+98.4624495967742*31+Q2*Q28))/(Q2+30+31)</f>
        <v>99.370709703947384</v>
      </c>
      <c r="R29" s="3">
        <f t="shared" si="166"/>
        <v>99.378882305194807</v>
      </c>
      <c r="S29" s="3">
        <f t="shared" ref="S29:T29" si="167">((99.9946*30+98.4624495967742*31+S2*S28))/(S2+30+31)</f>
        <v>99.386845352564109</v>
      </c>
      <c r="T29" s="3">
        <f t="shared" si="167"/>
        <v>99.394606803797473</v>
      </c>
      <c r="U29" s="3">
        <f t="shared" ref="U29:V29" si="168">((99.9946*30+98.4624495967742*31+U2*U28))/(U2+30+31)</f>
        <v>99.345208072916677</v>
      </c>
      <c r="V29" s="3">
        <f t="shared" si="168"/>
        <v>99.276131430041161</v>
      </c>
      <c r="W29" s="3">
        <f t="shared" ref="W29:X29" si="169">((99.9946*30+98.4624495967742*31+W2*W28))/(W2+30+31)</f>
        <v>99.217091971544733</v>
      </c>
      <c r="X29" s="3">
        <f t="shared" si="169"/>
        <v>99.226524598393581</v>
      </c>
      <c r="Y29" s="3">
        <f t="shared" ref="Y29:Z29" si="170">((99.9946*30+98.4624495967742*31+Y2*Y28))/(Y2+30+31)</f>
        <v>99.235732638888905</v>
      </c>
      <c r="Z29" s="3">
        <f t="shared" si="170"/>
        <v>99.244724019607858</v>
      </c>
      <c r="AA29" s="3">
        <f t="shared" ref="AA29:AB29" si="171">((99.9946*30+98.4624495967742*31+AA2*AA28))/(AA2+30+31)</f>
        <v>99.253506298449622</v>
      </c>
      <c r="AB29" s="3">
        <f t="shared" si="171"/>
        <v>99.136368295019167</v>
      </c>
      <c r="AC29" s="3">
        <f t="shared" ref="AC29:AD29" si="172">((99.9946*30+98.4624495967742*31+AC2*AC28))/(AC2+30+31)</f>
        <v>99.004136837121223</v>
      </c>
      <c r="AD29" s="3">
        <f t="shared" si="172"/>
        <v>98.874876872659186</v>
      </c>
      <c r="AE29" s="3">
        <f t="shared" ref="AE29:AF29" si="173">((99.9946*30+98.4624495967742*31+AE2*AE28))/(AE2+30+31)</f>
        <v>98.840618981481484</v>
      </c>
      <c r="AF29" s="3">
        <f t="shared" si="173"/>
        <v>98.853359432234441</v>
      </c>
      <c r="AG29" s="3"/>
    </row>
    <row r="30" spans="1:34" ht="31.5" customHeight="1" x14ac:dyDescent="0.2">
      <c r="A30" s="445" t="s">
        <v>487</v>
      </c>
      <c r="B30" s="446"/>
      <c r="C30" s="447"/>
      <c r="D30" s="448"/>
      <c r="E30" s="448"/>
      <c r="F30" s="448"/>
      <c r="G30" s="448"/>
      <c r="H30" s="448"/>
      <c r="I30" s="448"/>
      <c r="J30" s="448"/>
      <c r="K30" s="448"/>
      <c r="L30" s="448"/>
      <c r="M30" s="448"/>
      <c r="N30" s="448"/>
      <c r="O30" s="448"/>
      <c r="P30" s="448"/>
      <c r="Q30" s="448"/>
      <c r="R30" s="448"/>
      <c r="S30" s="448"/>
      <c r="T30" s="448"/>
      <c r="U30" s="448"/>
      <c r="V30" s="448"/>
      <c r="W30" s="448"/>
      <c r="X30" s="448"/>
      <c r="Y30" s="448"/>
      <c r="Z30" s="448"/>
      <c r="AA30" s="448"/>
      <c r="AB30" s="448"/>
      <c r="AC30" s="448"/>
      <c r="AD30" s="448"/>
      <c r="AE30" s="448"/>
      <c r="AF30" s="448"/>
      <c r="AG30" s="448"/>
    </row>
    <row r="31" spans="1:34" ht="30" customHeight="1" x14ac:dyDescent="0.2">
      <c r="A31" s="17" t="s">
        <v>6</v>
      </c>
      <c r="B31" s="18" t="s">
        <v>13</v>
      </c>
      <c r="C31" s="3">
        <f>(((42*UNITS!C17)+(42*UNITS!C44)+(28*UNITS!C71))*100)/(24*112)</f>
        <v>100</v>
      </c>
      <c r="D31" s="3">
        <f>(((42*UNITS!D17)+(42*UNITS!D44)+(28*UNITS!D71))*100)/(24*112)</f>
        <v>100</v>
      </c>
      <c r="E31" s="3">
        <f>(((42*UNITS!E17)+(42*UNITS!E44)+(28*UNITS!E71))*100)/(24*112)</f>
        <v>100</v>
      </c>
      <c r="F31" s="3">
        <f>(((42*UNITS!F17)+(42*UNITS!F44)+(28*UNITS!F71))*100)/(24*112)</f>
        <v>100</v>
      </c>
      <c r="G31" s="3">
        <f>(((42*UNITS!G17)+(42*UNITS!G44)+(28*UNITS!G71))*100)/(24*112)</f>
        <v>100</v>
      </c>
      <c r="H31" s="3">
        <f>(((42*UNITS!H17)+(42*UNITS!H44)+(28*UNITS!H71))*100)/(24*112)</f>
        <v>100</v>
      </c>
      <c r="I31" s="3">
        <f>(((42*UNITS!I17)+(42*UNITS!I44)+(28*UNITS!I71))*100)/(24*112)</f>
        <v>100</v>
      </c>
      <c r="J31" s="3">
        <f>(((42*UNITS!J17)+(42*UNITS!J44)+(28*UNITS!J71))*100)/(24*112)</f>
        <v>100</v>
      </c>
      <c r="K31" s="3">
        <f>(((42*UNITS!K17)+(42*UNITS!K44)+(28*UNITS!K71))*100)/(24*112)</f>
        <v>100</v>
      </c>
      <c r="L31" s="3">
        <f>(((42*UNITS!L17)+(42*UNITS!L44)+(28*UNITS!L71))*100)/(24*112)</f>
        <v>100</v>
      </c>
      <c r="M31" s="3">
        <f>(((42*UNITS!M17)+(42*UNITS!M44)+(28*UNITS!M71))*100)/(24*112)</f>
        <v>100</v>
      </c>
      <c r="N31" s="3">
        <f>(((42*UNITS!N17)+(42*UNITS!N44)+(28*UNITS!N71))*100)/(24*112)</f>
        <v>100</v>
      </c>
      <c r="O31" s="3">
        <f>(((42*UNITS!O17)+(42*UNITS!O44)+(28*UNITS!O71))*100)/(24*112)</f>
        <v>100</v>
      </c>
      <c r="P31" s="3">
        <f>(((42*UNITS!P17)+(42*UNITS!P44)+(28*UNITS!P71))*100)/(24*112)</f>
        <v>100</v>
      </c>
      <c r="Q31" s="3">
        <f>(((42*UNITS!Q17)+(42*UNITS!Q44)+(28*UNITS!Q71))*100)/(24*112)</f>
        <v>100</v>
      </c>
      <c r="R31" s="3">
        <f>(((42*UNITS!R17)+(42*UNITS!R44)+(28*UNITS!R71))*100)/(24*112)</f>
        <v>100</v>
      </c>
      <c r="S31" s="3">
        <f>(((42*UNITS!S17)+(42*UNITS!S44)+(28*UNITS!S71))*100)/(24*112)</f>
        <v>100</v>
      </c>
      <c r="T31" s="3">
        <f>(((42*UNITS!T17)+(42*UNITS!T44)+(28*UNITS!T71))*100)/(24*112)</f>
        <v>100</v>
      </c>
      <c r="U31" s="3">
        <f>(((42*UNITS!U17)+(42*UNITS!U44)+(28*UNITS!U71))*100)/(24*112)</f>
        <v>100</v>
      </c>
      <c r="V31" s="3">
        <f>(((42*UNITS!V17)+(42*UNITS!V44)+(28*UNITS!V71))*100)/(24*112)</f>
        <v>100</v>
      </c>
      <c r="W31" s="3">
        <f>(((42*UNITS!W17)+(42*UNITS!W44)+(28*UNITS!W71))*100)/(24*112)</f>
        <v>100</v>
      </c>
      <c r="X31" s="3">
        <f>(((42*UNITS!X17)+(42*UNITS!X44)+(28*UNITS!X71))*100)/(24*112)</f>
        <v>100</v>
      </c>
      <c r="Y31" s="3">
        <f>(((42*UNITS!Y17)+(42*UNITS!Y44)+(28*UNITS!Y71))*100)/(24*112)</f>
        <v>100</v>
      </c>
      <c r="Z31" s="3">
        <f>(((42*UNITS!Z17)+(42*UNITS!Z44)+(28*UNITS!Z71))*100)/(24*112)</f>
        <v>100</v>
      </c>
      <c r="AA31" s="3">
        <f>(((42*UNITS!AA17)+(42*UNITS!AA44)+(28*UNITS!AA71))*100)/(24*112)</f>
        <v>100</v>
      </c>
      <c r="AB31" s="3">
        <f>(((42*UNITS!AB17)+(42*UNITS!AB44)+(28*UNITS!AB71))*100)/(24*112)</f>
        <v>100</v>
      </c>
      <c r="AC31" s="3">
        <f>(((42*UNITS!AC17)+(42*UNITS!AC44)+(28*UNITS!AC71))*100)/(24*112)</f>
        <v>100</v>
      </c>
      <c r="AD31" s="3">
        <f>(((42*UNITS!AD17)+(42*UNITS!AD44)+(28*UNITS!AD71))*100)/(24*112)</f>
        <v>100</v>
      </c>
      <c r="AE31" s="3">
        <f>(((42*UNITS!AE17)+(42*UNITS!AE44)+(28*UNITS!AE71))*100)/(24*112)</f>
        <v>100</v>
      </c>
      <c r="AF31" s="3">
        <f>(((42*UNITS!AF17)+(42*UNITS!AF44)+(28*UNITS!AF71))*100)/(24*112)</f>
        <v>100</v>
      </c>
      <c r="AG31" s="3"/>
      <c r="AH31" s="58"/>
    </row>
    <row r="32" spans="1:34" ht="30" customHeight="1" x14ac:dyDescent="0.2">
      <c r="A32" s="17" t="s">
        <v>7</v>
      </c>
      <c r="B32" s="18" t="s">
        <v>13</v>
      </c>
      <c r="C32" s="3">
        <f>C31</f>
        <v>100</v>
      </c>
      <c r="D32" s="3">
        <f>AVERAGE($C31:D31)</f>
        <v>100</v>
      </c>
      <c r="E32" s="3">
        <f>AVERAGE($C31:E31)</f>
        <v>100</v>
      </c>
      <c r="F32" s="3">
        <f>AVERAGE($C31:F31)</f>
        <v>100</v>
      </c>
      <c r="G32" s="3">
        <f>AVERAGE($C31:G31)</f>
        <v>100</v>
      </c>
      <c r="H32" s="3">
        <f>AVERAGE($C31:H31)</f>
        <v>100</v>
      </c>
      <c r="I32" s="3">
        <f>AVERAGE($C31:I31)</f>
        <v>100</v>
      </c>
      <c r="J32" s="3">
        <f>AVERAGE($C31:J31)</f>
        <v>100</v>
      </c>
      <c r="K32" s="3">
        <f>AVERAGE($C31:K31)</f>
        <v>100</v>
      </c>
      <c r="L32" s="3">
        <f>AVERAGE($C31:L31)</f>
        <v>100</v>
      </c>
      <c r="M32" s="3">
        <f>AVERAGE($C31:M31)</f>
        <v>100</v>
      </c>
      <c r="N32" s="3">
        <f>AVERAGE($C31:N31)</f>
        <v>100</v>
      </c>
      <c r="O32" s="3">
        <f>AVERAGE($C31:O31)</f>
        <v>100</v>
      </c>
      <c r="P32" s="3">
        <f>AVERAGE($C31:P31)</f>
        <v>100</v>
      </c>
      <c r="Q32" s="3">
        <f>AVERAGE($C31:Q31)</f>
        <v>100</v>
      </c>
      <c r="R32" s="3">
        <f>AVERAGE($C31:R31)</f>
        <v>100</v>
      </c>
      <c r="S32" s="3">
        <f>AVERAGE($C31:S31)</f>
        <v>100</v>
      </c>
      <c r="T32" s="3">
        <f>AVERAGE($C31:T31)</f>
        <v>100</v>
      </c>
      <c r="U32" s="3">
        <f>AVERAGE($C31:U31)</f>
        <v>100</v>
      </c>
      <c r="V32" s="3">
        <f>AVERAGE($C31:V31)</f>
        <v>100</v>
      </c>
      <c r="W32" s="3">
        <f>AVERAGE($C31:W31)</f>
        <v>100</v>
      </c>
      <c r="X32" s="3">
        <f>AVERAGE($C31:X31)</f>
        <v>100</v>
      </c>
      <c r="Y32" s="3">
        <f>AVERAGE($C31:Y31)</f>
        <v>100</v>
      </c>
      <c r="Z32" s="3">
        <f>AVERAGE($C31:Z31)</f>
        <v>100</v>
      </c>
      <c r="AA32" s="3">
        <f>AVERAGE($C31:AA31)</f>
        <v>100</v>
      </c>
      <c r="AB32" s="3">
        <f>AVERAGE($C31:AB31)</f>
        <v>100</v>
      </c>
      <c r="AC32" s="3">
        <f>AVERAGE($C31:AC31)</f>
        <v>100</v>
      </c>
      <c r="AD32" s="3">
        <f>AVERAGE($C31:AD31)</f>
        <v>100</v>
      </c>
      <c r="AE32" s="3">
        <f>AVERAGE($C31:AE31)</f>
        <v>100</v>
      </c>
      <c r="AF32" s="3">
        <f>AVERAGE($C31:AF31)</f>
        <v>100</v>
      </c>
      <c r="AG32" s="3"/>
      <c r="AH32" s="58"/>
    </row>
    <row r="33" spans="1:36" ht="30" customHeight="1" x14ac:dyDescent="0.2">
      <c r="A33" s="17" t="s">
        <v>8</v>
      </c>
      <c r="B33" s="18" t="s">
        <v>13</v>
      </c>
      <c r="C33" s="3">
        <f t="shared" ref="C33:H33" si="174">((100*30+98.4771337365591*31+C2*C32))/(C2+30+31)</f>
        <v>99.238566868279548</v>
      </c>
      <c r="D33" s="3">
        <f t="shared" si="174"/>
        <v>99.250653108465585</v>
      </c>
      <c r="E33" s="3">
        <f t="shared" si="174"/>
        <v>99.262361653645812</v>
      </c>
      <c r="F33" s="3">
        <f t="shared" si="174"/>
        <v>99.273709935897415</v>
      </c>
      <c r="G33" s="3">
        <f t="shared" si="174"/>
        <v>99.284714330808058</v>
      </c>
      <c r="H33" s="3">
        <f t="shared" si="174"/>
        <v>99.295390236318383</v>
      </c>
      <c r="I33" s="3">
        <f t="shared" ref="I33:J33" si="175">((100*30+98.4771337365591*31+I2*I32))/(I2+30+31)</f>
        <v>99.305752144607823</v>
      </c>
      <c r="J33" s="3">
        <f t="shared" si="175"/>
        <v>99.315813707729447</v>
      </c>
      <c r="K33" s="3">
        <f t="shared" ref="K33:L33" si="176">((100*30+98.4771337365591*31+K2*K32))/(K2+30+31)</f>
        <v>99.325587797619022</v>
      </c>
      <c r="L33" s="3">
        <f t="shared" si="176"/>
        <v>99.335086561032838</v>
      </c>
      <c r="M33" s="3">
        <f t="shared" ref="M33:N33" si="177">((100*30+98.4771337365591*31+M2*M32))/(M2+30+31)</f>
        <v>99.344321469907385</v>
      </c>
      <c r="N33" s="3">
        <f t="shared" si="177"/>
        <v>99.353303367579883</v>
      </c>
      <c r="O33" s="3">
        <f t="shared" ref="O33:P33" si="178">((100*30+98.4771337365591*31+O2*O32))/(O2+30+31)</f>
        <v>99.362042511261237</v>
      </c>
      <c r="P33" s="3">
        <f t="shared" si="178"/>
        <v>99.37054861111109</v>
      </c>
      <c r="Q33" s="3">
        <f t="shared" ref="Q33:R33" si="179">((100*30+98.4771337365591*31+Q2*Q32))/(Q2+30+31)</f>
        <v>99.378830866228057</v>
      </c>
      <c r="R33" s="3">
        <f t="shared" si="179"/>
        <v>99.386897997835476</v>
      </c>
      <c r="S33" s="3">
        <f t="shared" ref="S33:T33" si="180">((100*30+98.4771337365591*31+S2*S32))/(S2+30+31)</f>
        <v>99.394758279914512</v>
      </c>
      <c r="T33" s="3">
        <f t="shared" si="180"/>
        <v>99.402419567510535</v>
      </c>
      <c r="U33" s="3">
        <f t="shared" ref="U33:V33" si="181">((100*30+98.4771337365591*31+U2*U32))/(U2+30+31)</f>
        <v>99.409889322916655</v>
      </c>
      <c r="V33" s="3">
        <f t="shared" si="181"/>
        <v>99.417174639917675</v>
      </c>
      <c r="W33" s="3">
        <f t="shared" ref="W33:X33" si="182">((100*30+98.4771337365591*31+W2*W32))/(W2+30+31)</f>
        <v>99.42428226626015</v>
      </c>
      <c r="X33" s="3">
        <f t="shared" si="182"/>
        <v>99.431218624497987</v>
      </c>
      <c r="Y33" s="3">
        <f t="shared" ref="Y33:Z33" si="183">((100*30+98.4771337365591*31+Y2*Y32))/(Y2+30+31)</f>
        <v>99.437989831349199</v>
      </c>
      <c r="Z33" s="3">
        <f t="shared" si="183"/>
        <v>99.444601715686275</v>
      </c>
      <c r="AA33" s="3">
        <f t="shared" ref="AA33:AB33" si="184">((100*30+98.4771337365591*31+AA2*AA32))/(AA2+30+31)</f>
        <v>99.451059835271309</v>
      </c>
      <c r="AB33" s="3">
        <f t="shared" si="184"/>
        <v>99.457369492337165</v>
      </c>
      <c r="AC33" s="3">
        <f t="shared" ref="AC33:AD33" si="185">((100*30+98.4771337365591*31+AC2*AC32))/(AC2+30+31)</f>
        <v>99.463535748106054</v>
      </c>
      <c r="AD33" s="3">
        <f t="shared" si="185"/>
        <v>99.46956343632958</v>
      </c>
      <c r="AE33" s="3">
        <f t="shared" ref="AE33:AF33" si="186">((100*30+98.4771337365591*31+AE2*AE32))/(AE2+30+31)</f>
        <v>99.475457175925925</v>
      </c>
      <c r="AF33" s="3">
        <f t="shared" si="186"/>
        <v>99.481221382783872</v>
      </c>
      <c r="AG33" s="3"/>
      <c r="AH33" s="58"/>
      <c r="AI33" s="58"/>
    </row>
    <row r="34" spans="1:36" ht="30" customHeight="1" x14ac:dyDescent="0.2">
      <c r="A34" s="445" t="s">
        <v>21</v>
      </c>
      <c r="B34" s="446"/>
      <c r="C34" s="447"/>
      <c r="D34" s="448"/>
      <c r="E34" s="448"/>
      <c r="F34" s="448"/>
      <c r="G34" s="448"/>
      <c r="H34" s="448"/>
      <c r="I34" s="448"/>
      <c r="J34" s="448"/>
      <c r="K34" s="448"/>
      <c r="L34" s="448"/>
      <c r="M34" s="448"/>
      <c r="N34" s="448"/>
      <c r="O34" s="448"/>
      <c r="P34" s="448"/>
      <c r="Q34" s="448"/>
      <c r="R34" s="448"/>
      <c r="S34" s="448"/>
      <c r="T34" s="448"/>
      <c r="U34" s="448"/>
      <c r="V34" s="448"/>
      <c r="W34" s="448"/>
      <c r="X34" s="448"/>
      <c r="Y34" s="448"/>
      <c r="Z34" s="448"/>
      <c r="AA34" s="448"/>
      <c r="AB34" s="448"/>
      <c r="AC34" s="448"/>
      <c r="AD34" s="448"/>
      <c r="AE34" s="448"/>
      <c r="AF34" s="448"/>
      <c r="AG34" s="448"/>
      <c r="AH34" s="94" t="s">
        <v>484</v>
      </c>
    </row>
    <row r="35" spans="1:36" ht="30" customHeight="1" x14ac:dyDescent="0.2">
      <c r="A35" s="17" t="s">
        <v>21</v>
      </c>
      <c r="B35" s="18" t="s">
        <v>13</v>
      </c>
      <c r="C35" s="3">
        <f>((BOILERS!D68*24)+(BOILERS!D69*BOILERS!D70))/(16*24)*100</f>
        <v>100</v>
      </c>
      <c r="D35" s="3">
        <f>BOILERS!E71/16*100</f>
        <v>100</v>
      </c>
      <c r="E35" s="3">
        <f>BOILERS!F71/16*100</f>
        <v>100</v>
      </c>
      <c r="F35" s="3">
        <f>BOILERS!G71/16*100</f>
        <v>100</v>
      </c>
      <c r="G35" s="3">
        <f>BOILERS!H71/16*100</f>
        <v>100</v>
      </c>
      <c r="H35" s="3">
        <f>BOILERS!I71/16*100</f>
        <v>100</v>
      </c>
      <c r="I35" s="3">
        <f>BOILERS!J71/16*100</f>
        <v>100</v>
      </c>
      <c r="J35" s="3">
        <f>BOILERS!K71/16*100</f>
        <v>100</v>
      </c>
      <c r="K35" s="3">
        <f>BOILERS!L71/16*100</f>
        <v>100</v>
      </c>
      <c r="L35" s="3">
        <f>BOILERS!M71/16*100</f>
        <v>100</v>
      </c>
      <c r="M35" s="3">
        <f>BOILERS!N71/16*100</f>
        <v>100</v>
      </c>
      <c r="N35" s="3">
        <f>BOILERS!O71/16*100</f>
        <v>100</v>
      </c>
      <c r="O35" s="3">
        <f>BOILERS!P71/16*100</f>
        <v>100</v>
      </c>
      <c r="P35" s="3">
        <f>BOILERS!Q71/16*100</f>
        <v>100</v>
      </c>
      <c r="Q35" s="3">
        <f>BOILERS!R71/16*100</f>
        <v>100</v>
      </c>
      <c r="R35" s="3">
        <f>BOILERS!S71/16*100</f>
        <v>100</v>
      </c>
      <c r="S35" s="3">
        <f>BOILERS!T71/16*100</f>
        <v>100</v>
      </c>
      <c r="T35" s="3">
        <f>BOILERS!U71/16*100</f>
        <v>100</v>
      </c>
      <c r="U35" s="3">
        <f>BOILERS!V71/16*100</f>
        <v>95.442708333333343</v>
      </c>
      <c r="V35" s="3">
        <f>BOILERS!W71/16*100</f>
        <v>93.75</v>
      </c>
      <c r="W35" s="3">
        <f>BOILERS!X71/16*100</f>
        <v>94.434895833333329</v>
      </c>
      <c r="X35" s="3">
        <f>BOILERS!Y71/16*100</f>
        <v>100</v>
      </c>
      <c r="Y35" s="3">
        <f>BOILERS!Z71/16*100</f>
        <v>100</v>
      </c>
      <c r="Z35" s="3">
        <f>BOILERS!AA71/16*100</f>
        <v>100</v>
      </c>
      <c r="AA35" s="3">
        <f>BOILERS!AB71/16*100</f>
        <v>100</v>
      </c>
      <c r="AB35" s="3">
        <f>BOILERS!AC71/16*100</f>
        <v>89.0625</v>
      </c>
      <c r="AC35" s="3">
        <f>BOILERS!AD71/16*100</f>
        <v>87.5</v>
      </c>
      <c r="AD35" s="3">
        <f>BOILERS!AE71/16*100</f>
        <v>87.5</v>
      </c>
      <c r="AE35" s="3">
        <f>BOILERS!AF71/16*100</f>
        <v>95.791666666666657</v>
      </c>
      <c r="AF35" s="3">
        <f>BOILERS!AG71/16*100</f>
        <v>100</v>
      </c>
      <c r="AG35" s="3"/>
    </row>
    <row r="36" spans="1:36" ht="30" customHeight="1" x14ac:dyDescent="0.2">
      <c r="A36" s="17" t="s">
        <v>22</v>
      </c>
      <c r="B36" s="18" t="s">
        <v>13</v>
      </c>
      <c r="C36" s="3">
        <f>C35</f>
        <v>100</v>
      </c>
      <c r="D36" s="3">
        <f>AVERAGE($C35:D35)</f>
        <v>100</v>
      </c>
      <c r="E36" s="3">
        <f>AVERAGE($C35:E35)</f>
        <v>100</v>
      </c>
      <c r="F36" s="3">
        <f>AVERAGE($C35:F35)</f>
        <v>100</v>
      </c>
      <c r="G36" s="3">
        <f>AVERAGE($C35:G35)</f>
        <v>100</v>
      </c>
      <c r="H36" s="3">
        <f>AVERAGE($C35:H35)</f>
        <v>100</v>
      </c>
      <c r="I36" s="3">
        <f>AVERAGE($C35:I35)</f>
        <v>100</v>
      </c>
      <c r="J36" s="3">
        <f>AVERAGE($C35:J35)</f>
        <v>100</v>
      </c>
      <c r="K36" s="3">
        <f>AVERAGE($C35:K35)</f>
        <v>100</v>
      </c>
      <c r="L36" s="3">
        <f>AVERAGE($C35:L35)</f>
        <v>100</v>
      </c>
      <c r="M36" s="3">
        <f>AVERAGE($C35:M35)</f>
        <v>100</v>
      </c>
      <c r="N36" s="3">
        <f>AVERAGE($C35:N35)</f>
        <v>100</v>
      </c>
      <c r="O36" s="3">
        <f>AVERAGE($C35:O35)</f>
        <v>100</v>
      </c>
      <c r="P36" s="3">
        <f>AVERAGE($C35:P35)</f>
        <v>100</v>
      </c>
      <c r="Q36" s="3">
        <f>AVERAGE($C35:Q35)</f>
        <v>100</v>
      </c>
      <c r="R36" s="3">
        <f>AVERAGE($C35:R35)</f>
        <v>100</v>
      </c>
      <c r="S36" s="3">
        <f>AVERAGE($C35:S35)</f>
        <v>100</v>
      </c>
      <c r="T36" s="3">
        <f>AVERAGE($C35:T35)</f>
        <v>100</v>
      </c>
      <c r="U36" s="3">
        <f>AVERAGE($C35:U35)</f>
        <v>99.760142543859644</v>
      </c>
      <c r="V36" s="3">
        <f>AVERAGE($C35:V35)</f>
        <v>99.459635416666657</v>
      </c>
      <c r="W36" s="3">
        <f>AVERAGE($C35:W35)</f>
        <v>99.220362103174594</v>
      </c>
      <c r="X36" s="3">
        <f>AVERAGE($C35:X35)</f>
        <v>99.255800189393938</v>
      </c>
      <c r="Y36" s="3">
        <f>AVERAGE($C35:Y35)</f>
        <v>99.288156702898547</v>
      </c>
      <c r="Z36" s="3">
        <f>AVERAGE($C35:Z35)</f>
        <v>99.317816840277771</v>
      </c>
      <c r="AA36" s="3">
        <f>AVERAGE($C35:AA35)</f>
        <v>99.345104166666658</v>
      </c>
      <c r="AB36" s="3">
        <f>AVERAGE($C35:AB35)</f>
        <v>98.949619391025635</v>
      </c>
      <c r="AC36" s="3">
        <f>AVERAGE($C35:AC35)</f>
        <v>98.52555941358024</v>
      </c>
      <c r="AD36" s="3">
        <f>AVERAGE($C35:AD35)</f>
        <v>98.13178943452381</v>
      </c>
      <c r="AE36" s="3">
        <f>AVERAGE($C35:AE35)</f>
        <v>98.051095545977006</v>
      </c>
      <c r="AF36" s="3">
        <f>AVERAGE($C35:AF35)</f>
        <v>98.116059027777766</v>
      </c>
      <c r="AG36" s="3"/>
    </row>
    <row r="37" spans="1:36" ht="30" customHeight="1" x14ac:dyDescent="0.2">
      <c r="A37" s="45" t="s">
        <v>23</v>
      </c>
      <c r="B37" s="18" t="s">
        <v>13</v>
      </c>
      <c r="C37" s="3">
        <f t="shared" ref="C37:H37" si="187">(99.995*30+98.5334341397849*31+C2*C36)/(C2+30+31)</f>
        <v>99.264297715053743</v>
      </c>
      <c r="D37" s="3">
        <f t="shared" si="187"/>
        <v>99.275975529100521</v>
      </c>
      <c r="E37" s="3">
        <f t="shared" si="187"/>
        <v>99.28728841145832</v>
      </c>
      <c r="F37" s="3">
        <f t="shared" si="187"/>
        <v>99.298253205128191</v>
      </c>
      <c r="G37" s="3">
        <f t="shared" si="187"/>
        <v>99.308885732323219</v>
      </c>
      <c r="H37" s="3">
        <f t="shared" si="187"/>
        <v>99.319200870646753</v>
      </c>
      <c r="I37" s="3">
        <f t="shared" ref="I37:J37" si="188">(99.995*30+98.5334341397849*31+I2*I36)/(I2+30+31)</f>
        <v>99.329212622549008</v>
      </c>
      <c r="J37" s="3">
        <f t="shared" si="188"/>
        <v>99.338934178743955</v>
      </c>
      <c r="K37" s="3">
        <f t="shared" ref="K37:L37" si="189">(99.995*30+98.5334341397849*31+K2*K36)/(K2+30+31)</f>
        <v>99.348377976190463</v>
      </c>
      <c r="L37" s="3">
        <f t="shared" si="189"/>
        <v>99.357555751173692</v>
      </c>
      <c r="M37" s="3">
        <f t="shared" ref="M37:N37" si="190">(99.995*30+98.5334341397849*31+M2*M36)/(M2+30+31)</f>
        <v>99.366478587962945</v>
      </c>
      <c r="N37" s="3">
        <f t="shared" si="190"/>
        <v>99.375156963470303</v>
      </c>
      <c r="O37" s="3">
        <f t="shared" ref="O37:P37" si="191">(99.995*30+98.5334341397849*31+O2*O36)/(O2+30+31)</f>
        <v>99.383600788288277</v>
      </c>
      <c r="P37" s="3">
        <f t="shared" si="191"/>
        <v>99.391819444444437</v>
      </c>
      <c r="Q37" s="3">
        <f t="shared" ref="Q37:R37" si="192">(99.995*30+98.5334341397849*31+Q2*Q36)/(Q2+30+31)</f>
        <v>99.399821820175433</v>
      </c>
      <c r="R37" s="3">
        <f t="shared" si="192"/>
        <v>99.407616341991329</v>
      </c>
      <c r="S37" s="3">
        <f t="shared" ref="S37:T37" si="193">(99.995*30+98.5334341397849*31+S2*S36)/(S2+30+31)</f>
        <v>99.415211004273488</v>
      </c>
      <c r="T37" s="3">
        <f t="shared" si="193"/>
        <v>99.422613396624456</v>
      </c>
      <c r="U37" s="3">
        <f t="shared" ref="U37:V37" si="194">(99.995*30+98.5334341397849*31+U2*U36)/(U2+30+31)</f>
        <v>99.372864583333325</v>
      </c>
      <c r="V37" s="3">
        <f t="shared" si="194"/>
        <v>99.303446502057596</v>
      </c>
      <c r="W37" s="3">
        <f t="shared" ref="W37:X37" si="195">(99.995*30+98.5334341397849*31+W2*W36)/(W2+30+31)</f>
        <v>99.24407393292681</v>
      </c>
      <c r="X37" s="3">
        <f t="shared" si="195"/>
        <v>99.253181475903602</v>
      </c>
      <c r="Y37" s="3">
        <f t="shared" ref="Y37:Z37" si="196">(99.995*30+98.5334341397849*31+Y2*Y36)/(Y2+30+31)</f>
        <v>99.262072172619028</v>
      </c>
      <c r="Z37" s="3">
        <f t="shared" si="196"/>
        <v>99.270753676470576</v>
      </c>
      <c r="AA37" s="3">
        <f t="shared" ref="AA37:AB37" si="197">(99.995*30+98.5334341397849*31+AA2*AA36)/(AA2+30+31)</f>
        <v>99.279233284883702</v>
      </c>
      <c r="AB37" s="3">
        <f t="shared" si="197"/>
        <v>99.161799568965506</v>
      </c>
      <c r="AC37" s="3">
        <f t="shared" ref="AC37:AD37" si="198">(99.995*30+98.5334341397849*31+AC2*AC36)/(AC2+30+31)</f>
        <v>99.029279119318161</v>
      </c>
      <c r="AD37" s="3">
        <f t="shared" si="198"/>
        <v>98.89973665730335</v>
      </c>
      <c r="AE37" s="3">
        <f t="shared" ref="AE37:AF37" si="199">(99.995*30+98.5334341397849*31+AE2*AE36)/(AE2+30+31)</f>
        <v>98.865202546296288</v>
      </c>
      <c r="AF37" s="3">
        <f t="shared" si="199"/>
        <v>98.877672847985352</v>
      </c>
      <c r="AG37" s="3"/>
      <c r="AH37" s="68"/>
    </row>
    <row r="38" spans="1:36" ht="30" customHeight="1" x14ac:dyDescent="0.2">
      <c r="A38" s="46" t="s">
        <v>24</v>
      </c>
      <c r="B38" s="18" t="s">
        <v>25</v>
      </c>
      <c r="C38" s="214">
        <v>957</v>
      </c>
      <c r="D38" s="214">
        <v>947</v>
      </c>
      <c r="E38" s="214">
        <v>962</v>
      </c>
      <c r="F38" s="214">
        <v>981</v>
      </c>
      <c r="G38" s="214">
        <v>978</v>
      </c>
      <c r="H38" s="214">
        <v>964</v>
      </c>
      <c r="I38" s="214">
        <v>990</v>
      </c>
      <c r="J38" s="214">
        <v>993</v>
      </c>
      <c r="K38" s="214">
        <v>994</v>
      </c>
      <c r="L38" s="214">
        <v>994</v>
      </c>
      <c r="M38" s="214">
        <v>977</v>
      </c>
      <c r="N38" s="214">
        <v>987</v>
      </c>
      <c r="O38" s="214">
        <v>973</v>
      </c>
      <c r="P38" s="214">
        <v>964</v>
      </c>
      <c r="Q38" s="214">
        <v>967</v>
      </c>
      <c r="R38" s="214">
        <v>969</v>
      </c>
      <c r="S38" s="214">
        <v>971</v>
      </c>
      <c r="T38" s="214">
        <v>979</v>
      </c>
      <c r="U38" s="214">
        <v>985</v>
      </c>
      <c r="V38" s="214">
        <v>988</v>
      </c>
      <c r="W38" s="214">
        <v>978</v>
      </c>
      <c r="X38" s="214">
        <v>985</v>
      </c>
      <c r="Y38" s="214">
        <v>990</v>
      </c>
      <c r="Z38" s="214">
        <v>1000</v>
      </c>
      <c r="AA38" s="214">
        <v>1006</v>
      </c>
      <c r="AB38" s="214">
        <v>1004</v>
      </c>
      <c r="AC38" s="214">
        <v>1000</v>
      </c>
      <c r="AD38" s="214">
        <v>1006</v>
      </c>
      <c r="AE38" s="214">
        <v>1022</v>
      </c>
      <c r="AF38" s="214">
        <v>1014</v>
      </c>
      <c r="AG38" s="214"/>
    </row>
    <row r="39" spans="1:36" ht="35.25" customHeight="1" x14ac:dyDescent="0.2">
      <c r="A39" s="445" t="s">
        <v>26</v>
      </c>
      <c r="B39" s="446"/>
      <c r="C39" s="447" t="s">
        <v>513</v>
      </c>
      <c r="D39" s="448"/>
      <c r="E39" s="448"/>
      <c r="F39" s="448"/>
      <c r="G39" s="448"/>
      <c r="H39" s="448"/>
      <c r="I39" s="448"/>
      <c r="J39" s="448"/>
      <c r="K39" s="448"/>
      <c r="L39" s="448"/>
      <c r="M39" s="448"/>
      <c r="N39" s="448"/>
      <c r="O39" s="448"/>
      <c r="P39" s="448"/>
      <c r="Q39" s="448"/>
      <c r="R39" s="448"/>
      <c r="S39" s="448"/>
      <c r="T39" s="448"/>
      <c r="U39" s="448"/>
      <c r="V39" s="448"/>
      <c r="W39" s="448"/>
      <c r="X39" s="448"/>
      <c r="Y39" s="448"/>
      <c r="Z39" s="448"/>
      <c r="AA39" s="448"/>
      <c r="AB39" s="448"/>
      <c r="AC39" s="448"/>
      <c r="AD39" s="448"/>
      <c r="AE39" s="448"/>
      <c r="AF39" s="448"/>
      <c r="AG39" s="448"/>
    </row>
    <row r="40" spans="1:36" ht="27.75" customHeight="1" x14ac:dyDescent="0.2">
      <c r="A40" s="17" t="s">
        <v>6</v>
      </c>
      <c r="B40" s="18" t="s">
        <v>5</v>
      </c>
      <c r="C40" s="8">
        <v>2.3784200000000002</v>
      </c>
      <c r="D40" s="8">
        <v>2.3952100000000001</v>
      </c>
      <c r="E40" s="8">
        <v>2.4068200000000002</v>
      </c>
      <c r="F40" s="8">
        <v>2.5015399999999999</v>
      </c>
      <c r="G40" s="8">
        <v>2.5185399999999998</v>
      </c>
      <c r="H40" s="8">
        <v>2.4899300000000002</v>
      </c>
      <c r="I40" s="8">
        <v>2.48861</v>
      </c>
      <c r="J40" s="8">
        <v>2.4523700000000002</v>
      </c>
      <c r="K40" s="8">
        <v>2.5040200000000001</v>
      </c>
      <c r="L40" s="8">
        <v>2.5394700000000001</v>
      </c>
      <c r="M40" s="8">
        <v>2.5165099999999998</v>
      </c>
      <c r="N40" s="8">
        <v>2.4936099999999999</v>
      </c>
      <c r="O40" s="8">
        <v>2.4675500000000001</v>
      </c>
      <c r="P40" s="8">
        <v>2.3702200000000002</v>
      </c>
      <c r="Q40" s="8">
        <v>2.3856199999999999</v>
      </c>
      <c r="R40" s="8">
        <v>2.39737</v>
      </c>
      <c r="S40" s="8">
        <v>2.4313400000000001</v>
      </c>
      <c r="T40" s="8">
        <v>2.4270399999999999</v>
      </c>
      <c r="U40" s="8">
        <v>2.3576700000000002</v>
      </c>
      <c r="V40" s="8">
        <v>2.3359000000000001</v>
      </c>
      <c r="W40" s="8">
        <v>2.30463</v>
      </c>
      <c r="X40" s="8">
        <v>2.44651</v>
      </c>
      <c r="Y40" s="8">
        <v>2.51695</v>
      </c>
      <c r="Z40" s="8">
        <v>2.56785</v>
      </c>
      <c r="AA40" s="8">
        <v>2.5918999999999999</v>
      </c>
      <c r="AB40" s="8">
        <v>2.3065500000000001</v>
      </c>
      <c r="AC40" s="8">
        <v>2.2482600000000001</v>
      </c>
      <c r="AD40" s="8">
        <v>2.2524899999999999</v>
      </c>
      <c r="AE40" s="8">
        <v>2.33392</v>
      </c>
      <c r="AF40" s="8">
        <v>2.5643199999999999</v>
      </c>
      <c r="AG40" s="8"/>
    </row>
    <row r="41" spans="1:36" ht="27.75" customHeight="1" x14ac:dyDescent="0.2">
      <c r="A41" s="17" t="s">
        <v>7</v>
      </c>
      <c r="B41" s="18" t="s">
        <v>5</v>
      </c>
      <c r="C41" s="8">
        <f>C40</f>
        <v>2.3784200000000002</v>
      </c>
      <c r="D41" s="8">
        <f t="shared" ref="D41:AF41" si="200">C41+D40</f>
        <v>4.7736300000000007</v>
      </c>
      <c r="E41" s="8">
        <f t="shared" si="200"/>
        <v>7.1804500000000004</v>
      </c>
      <c r="F41" s="8">
        <f t="shared" si="200"/>
        <v>9.6819900000000008</v>
      </c>
      <c r="G41" s="8">
        <f t="shared" si="200"/>
        <v>12.200530000000001</v>
      </c>
      <c r="H41" s="8">
        <f t="shared" si="200"/>
        <v>14.690460000000002</v>
      </c>
      <c r="I41" s="8">
        <f t="shared" si="200"/>
        <v>17.179070000000003</v>
      </c>
      <c r="J41" s="8">
        <f t="shared" si="200"/>
        <v>19.631440000000005</v>
      </c>
      <c r="K41" s="8">
        <f t="shared" si="200"/>
        <v>22.135460000000005</v>
      </c>
      <c r="L41" s="8">
        <f t="shared" si="200"/>
        <v>24.674930000000007</v>
      </c>
      <c r="M41" s="8">
        <f t="shared" si="200"/>
        <v>27.191440000000007</v>
      </c>
      <c r="N41" s="8">
        <f t="shared" si="200"/>
        <v>29.685050000000007</v>
      </c>
      <c r="O41" s="8">
        <f t="shared" si="200"/>
        <v>32.152600000000007</v>
      </c>
      <c r="P41" s="8">
        <f t="shared" si="200"/>
        <v>34.52282000000001</v>
      </c>
      <c r="Q41" s="8">
        <f t="shared" si="200"/>
        <v>36.908440000000013</v>
      </c>
      <c r="R41" s="8">
        <f t="shared" si="200"/>
        <v>39.305810000000015</v>
      </c>
      <c r="S41" s="8">
        <f t="shared" si="200"/>
        <v>41.737150000000014</v>
      </c>
      <c r="T41" s="8">
        <f t="shared" si="200"/>
        <v>44.164190000000012</v>
      </c>
      <c r="U41" s="8">
        <f t="shared" si="200"/>
        <v>46.521860000000011</v>
      </c>
      <c r="V41" s="8">
        <f t="shared" si="200"/>
        <v>48.857760000000013</v>
      </c>
      <c r="W41" s="8">
        <f t="shared" si="200"/>
        <v>51.162390000000016</v>
      </c>
      <c r="X41" s="8">
        <f t="shared" si="200"/>
        <v>53.60890000000002</v>
      </c>
      <c r="Y41" s="8">
        <f t="shared" si="200"/>
        <v>56.125850000000021</v>
      </c>
      <c r="Z41" s="8">
        <f t="shared" si="200"/>
        <v>58.693700000000021</v>
      </c>
      <c r="AA41" s="8">
        <f t="shared" si="200"/>
        <v>61.285600000000024</v>
      </c>
      <c r="AB41" s="8">
        <f t="shared" si="200"/>
        <v>63.592150000000025</v>
      </c>
      <c r="AC41" s="8">
        <f t="shared" si="200"/>
        <v>65.84041000000002</v>
      </c>
      <c r="AD41" s="8">
        <f t="shared" si="200"/>
        <v>68.092900000000014</v>
      </c>
      <c r="AE41" s="8">
        <f t="shared" si="200"/>
        <v>70.426820000000021</v>
      </c>
      <c r="AF41" s="8">
        <f t="shared" si="200"/>
        <v>72.991140000000016</v>
      </c>
      <c r="AG41" s="8"/>
      <c r="AH41" s="68"/>
      <c r="AI41" s="68"/>
      <c r="AJ41" s="68"/>
    </row>
    <row r="42" spans="1:36" ht="27.75" customHeight="1" x14ac:dyDescent="0.2">
      <c r="A42" s="17" t="s">
        <v>27</v>
      </c>
      <c r="B42" s="18" t="s">
        <v>5</v>
      </c>
      <c r="C42" s="267">
        <f t="shared" ref="C42:H42" si="201">150.98642+C41</f>
        <v>153.36484000000002</v>
      </c>
      <c r="D42" s="267">
        <f t="shared" si="201"/>
        <v>155.76005000000001</v>
      </c>
      <c r="E42" s="267">
        <f t="shared" si="201"/>
        <v>158.16687000000002</v>
      </c>
      <c r="F42" s="267">
        <f t="shared" si="201"/>
        <v>160.66841000000002</v>
      </c>
      <c r="G42" s="267">
        <f t="shared" si="201"/>
        <v>163.18695000000002</v>
      </c>
      <c r="H42" s="267">
        <f t="shared" si="201"/>
        <v>165.67688000000001</v>
      </c>
      <c r="I42" s="267">
        <f t="shared" ref="I42:J42" si="202">150.98642+I41</f>
        <v>168.16549000000001</v>
      </c>
      <c r="J42" s="267">
        <f t="shared" si="202"/>
        <v>170.61786000000001</v>
      </c>
      <c r="K42" s="267">
        <f t="shared" ref="K42:L42" si="203">150.98642+K41</f>
        <v>173.12188</v>
      </c>
      <c r="L42" s="267">
        <f t="shared" si="203"/>
        <v>175.66135000000003</v>
      </c>
      <c r="M42" s="267">
        <f t="shared" ref="M42:N42" si="204">150.98642+M41</f>
        <v>178.17786000000001</v>
      </c>
      <c r="N42" s="267">
        <f t="shared" si="204"/>
        <v>180.67147000000003</v>
      </c>
      <c r="O42" s="267">
        <f t="shared" ref="O42:P42" si="205">150.98642+O41</f>
        <v>183.13902000000002</v>
      </c>
      <c r="P42" s="267">
        <f t="shared" si="205"/>
        <v>185.50924000000003</v>
      </c>
      <c r="Q42" s="267">
        <f t="shared" ref="Q42:R42" si="206">150.98642+Q41</f>
        <v>187.89486000000002</v>
      </c>
      <c r="R42" s="267">
        <f t="shared" si="206"/>
        <v>190.29223000000002</v>
      </c>
      <c r="S42" s="267">
        <f t="shared" ref="S42:T42" si="207">150.98642+S41</f>
        <v>192.72357000000002</v>
      </c>
      <c r="T42" s="267">
        <f t="shared" si="207"/>
        <v>195.15061000000003</v>
      </c>
      <c r="U42" s="267">
        <f t="shared" ref="U42:V42" si="208">150.98642+U41</f>
        <v>197.50828000000001</v>
      </c>
      <c r="V42" s="267">
        <f t="shared" si="208"/>
        <v>199.84418000000002</v>
      </c>
      <c r="W42" s="267">
        <f t="shared" ref="W42:X42" si="209">150.98642+W41</f>
        <v>202.14881000000003</v>
      </c>
      <c r="X42" s="267">
        <f t="shared" si="209"/>
        <v>204.59532000000002</v>
      </c>
      <c r="Y42" s="267">
        <f t="shared" ref="Y42:Z42" si="210">150.98642+Y41</f>
        <v>207.11227000000002</v>
      </c>
      <c r="Z42" s="267">
        <f t="shared" si="210"/>
        <v>209.68012000000004</v>
      </c>
      <c r="AA42" s="267">
        <f t="shared" ref="AA42:AB42" si="211">150.98642+AA41</f>
        <v>212.27202000000003</v>
      </c>
      <c r="AB42" s="267">
        <f t="shared" si="211"/>
        <v>214.57857000000004</v>
      </c>
      <c r="AC42" s="267">
        <f t="shared" ref="AC42" si="212">150.98642+AC41</f>
        <v>216.82683000000003</v>
      </c>
      <c r="AD42" s="267">
        <f t="shared" ref="AD42:AE42" si="213">150.98642+AD41</f>
        <v>219.07932000000002</v>
      </c>
      <c r="AE42" s="267">
        <f t="shared" si="213"/>
        <v>221.41324000000003</v>
      </c>
      <c r="AF42" s="267">
        <f t="shared" ref="AF42" si="214">150.98642+AF41</f>
        <v>223.97756000000004</v>
      </c>
      <c r="AG42" s="267"/>
    </row>
    <row r="43" spans="1:36" ht="27.75" customHeight="1" x14ac:dyDescent="0.2">
      <c r="A43" s="21" t="s">
        <v>28</v>
      </c>
      <c r="B43" s="16" t="s">
        <v>5</v>
      </c>
      <c r="C43" s="23">
        <f>C40</f>
        <v>2.3784200000000002</v>
      </c>
      <c r="D43" s="23">
        <f t="shared" ref="D43:E43" si="215">D40</f>
        <v>2.3952100000000001</v>
      </c>
      <c r="E43" s="23">
        <f t="shared" si="215"/>
        <v>2.4068200000000002</v>
      </c>
      <c r="F43" s="23">
        <f t="shared" ref="F43:G43" si="216">F40</f>
        <v>2.5015399999999999</v>
      </c>
      <c r="G43" s="23">
        <f t="shared" si="216"/>
        <v>2.5185399999999998</v>
      </c>
      <c r="H43" s="23">
        <f t="shared" ref="H43:I43" si="217">H40</f>
        <v>2.4899300000000002</v>
      </c>
      <c r="I43" s="23">
        <f t="shared" si="217"/>
        <v>2.48861</v>
      </c>
      <c r="J43" s="23">
        <f t="shared" ref="J43:K43" si="218">J40</f>
        <v>2.4523700000000002</v>
      </c>
      <c r="K43" s="23">
        <f t="shared" si="218"/>
        <v>2.5040200000000001</v>
      </c>
      <c r="L43" s="23">
        <f t="shared" ref="L43:M43" si="219">L40</f>
        <v>2.5394700000000001</v>
      </c>
      <c r="M43" s="23">
        <f t="shared" si="219"/>
        <v>2.5165099999999998</v>
      </c>
      <c r="N43" s="23">
        <f t="shared" ref="N43:O43" si="220">N40</f>
        <v>2.4936099999999999</v>
      </c>
      <c r="O43" s="23">
        <f t="shared" si="220"/>
        <v>2.4675500000000001</v>
      </c>
      <c r="P43" s="23">
        <f t="shared" ref="P43:Q43" si="221">P40</f>
        <v>2.3702200000000002</v>
      </c>
      <c r="Q43" s="23">
        <f t="shared" si="221"/>
        <v>2.3856199999999999</v>
      </c>
      <c r="R43" s="23">
        <f t="shared" ref="R43:S43" si="222">R40</f>
        <v>2.39737</v>
      </c>
      <c r="S43" s="23">
        <f t="shared" si="222"/>
        <v>2.4313400000000001</v>
      </c>
      <c r="T43" s="23">
        <f t="shared" ref="T43:U43" si="223">T40</f>
        <v>2.4270399999999999</v>
      </c>
      <c r="U43" s="23">
        <f t="shared" si="223"/>
        <v>2.3576700000000002</v>
      </c>
      <c r="V43" s="23">
        <f t="shared" ref="V43:W43" si="224">V40</f>
        <v>2.3359000000000001</v>
      </c>
      <c r="W43" s="23">
        <f t="shared" si="224"/>
        <v>2.30463</v>
      </c>
      <c r="X43" s="23">
        <f t="shared" ref="X43:Y43" si="225">X40</f>
        <v>2.44651</v>
      </c>
      <c r="Y43" s="23">
        <f t="shared" si="225"/>
        <v>2.51695</v>
      </c>
      <c r="Z43" s="23">
        <f t="shared" ref="Z43:AA43" si="226">Z40</f>
        <v>2.56785</v>
      </c>
      <c r="AA43" s="23">
        <f t="shared" si="226"/>
        <v>2.5918999999999999</v>
      </c>
      <c r="AB43" s="23">
        <f t="shared" ref="AB43:AC43" si="227">AB40</f>
        <v>2.3065500000000001</v>
      </c>
      <c r="AC43" s="23">
        <f t="shared" si="227"/>
        <v>2.2482600000000001</v>
      </c>
      <c r="AD43" s="23">
        <f t="shared" ref="AD43:AE43" si="228">AD40</f>
        <v>2.2524899999999999</v>
      </c>
      <c r="AE43" s="23">
        <f t="shared" si="228"/>
        <v>2.33392</v>
      </c>
      <c r="AF43" s="23">
        <f t="shared" ref="AF43" si="229">AF40</f>
        <v>2.5643199999999999</v>
      </c>
      <c r="AG43" s="23"/>
    </row>
    <row r="44" spans="1:36" ht="27.75" customHeight="1" x14ac:dyDescent="0.2">
      <c r="A44" s="21" t="s">
        <v>29</v>
      </c>
      <c r="B44" s="16" t="s">
        <v>5</v>
      </c>
      <c r="C44" s="255">
        <f>C42</f>
        <v>153.36484000000002</v>
      </c>
      <c r="D44" s="255">
        <f t="shared" ref="D44:AF44" si="230">C44+D43</f>
        <v>155.76005000000001</v>
      </c>
      <c r="E44" s="255">
        <f t="shared" si="230"/>
        <v>158.16687000000002</v>
      </c>
      <c r="F44" s="255">
        <f t="shared" si="230"/>
        <v>160.66841000000002</v>
      </c>
      <c r="G44" s="255">
        <f t="shared" si="230"/>
        <v>163.18695000000002</v>
      </c>
      <c r="H44" s="255">
        <f t="shared" si="230"/>
        <v>165.67688000000001</v>
      </c>
      <c r="I44" s="255">
        <f t="shared" si="230"/>
        <v>168.16549000000001</v>
      </c>
      <c r="J44" s="255">
        <f t="shared" si="230"/>
        <v>170.61786000000001</v>
      </c>
      <c r="K44" s="255">
        <f t="shared" si="230"/>
        <v>173.12188</v>
      </c>
      <c r="L44" s="255">
        <f t="shared" si="230"/>
        <v>175.66135</v>
      </c>
      <c r="M44" s="255">
        <f t="shared" si="230"/>
        <v>178.17786000000001</v>
      </c>
      <c r="N44" s="255">
        <f t="shared" si="230"/>
        <v>180.67147</v>
      </c>
      <c r="O44" s="255">
        <f t="shared" si="230"/>
        <v>183.13901999999999</v>
      </c>
      <c r="P44" s="255">
        <f t="shared" si="230"/>
        <v>185.50923999999998</v>
      </c>
      <c r="Q44" s="255">
        <f t="shared" si="230"/>
        <v>187.89485999999997</v>
      </c>
      <c r="R44" s="255">
        <f t="shared" si="230"/>
        <v>190.29222999999996</v>
      </c>
      <c r="S44" s="255">
        <f t="shared" si="230"/>
        <v>192.72356999999997</v>
      </c>
      <c r="T44" s="255">
        <f t="shared" si="230"/>
        <v>195.15060999999997</v>
      </c>
      <c r="U44" s="255">
        <f t="shared" si="230"/>
        <v>197.50827999999998</v>
      </c>
      <c r="V44" s="255">
        <f t="shared" si="230"/>
        <v>199.84417999999999</v>
      </c>
      <c r="W44" s="255">
        <f t="shared" si="230"/>
        <v>202.14881</v>
      </c>
      <c r="X44" s="255">
        <f t="shared" si="230"/>
        <v>204.59531999999999</v>
      </c>
      <c r="Y44" s="255">
        <f t="shared" si="230"/>
        <v>207.11227</v>
      </c>
      <c r="Z44" s="255">
        <f t="shared" si="230"/>
        <v>209.68011999999999</v>
      </c>
      <c r="AA44" s="255">
        <f t="shared" si="230"/>
        <v>212.27202</v>
      </c>
      <c r="AB44" s="255">
        <f t="shared" si="230"/>
        <v>214.57856999999998</v>
      </c>
      <c r="AC44" s="255">
        <f t="shared" si="230"/>
        <v>216.82682999999997</v>
      </c>
      <c r="AD44" s="255">
        <f t="shared" si="230"/>
        <v>219.07931999999997</v>
      </c>
      <c r="AE44" s="255">
        <f t="shared" si="230"/>
        <v>221.41323999999997</v>
      </c>
      <c r="AF44" s="255">
        <f t="shared" si="230"/>
        <v>223.97755999999998</v>
      </c>
      <c r="AG44" s="255"/>
    </row>
    <row r="45" spans="1:36" ht="27.75" customHeight="1" x14ac:dyDescent="0.2">
      <c r="A45" s="21" t="s">
        <v>30</v>
      </c>
      <c r="B45" s="16" t="s">
        <v>5</v>
      </c>
      <c r="C45" s="23">
        <v>4.2067999999999994E-2</v>
      </c>
      <c r="D45" s="23">
        <v>-1.6180000000001193E-3</v>
      </c>
      <c r="E45" s="23">
        <v>6.7000000000000004E-2</v>
      </c>
      <c r="F45" s="23">
        <v>5.9988000000000152E-2</v>
      </c>
      <c r="G45" s="23">
        <v>4.0948000000000206E-2</v>
      </c>
      <c r="H45" s="23">
        <v>3.0000000000000001E-3</v>
      </c>
      <c r="I45" s="23">
        <v>8.0341999999999913E-2</v>
      </c>
      <c r="J45" s="23">
        <v>7.8557999999999684E-2</v>
      </c>
      <c r="K45" s="23">
        <v>8.2467999999999986E-2</v>
      </c>
      <c r="L45" s="23">
        <v>6.0999999999999999E-2</v>
      </c>
      <c r="M45" s="23">
        <v>9.8099999999998744E-3</v>
      </c>
      <c r="N45" s="23">
        <v>8.8302000000000103E-2</v>
      </c>
      <c r="O45" s="23">
        <v>3.9273999999999809E-2</v>
      </c>
      <c r="P45" s="23">
        <v>7.4499999999999567E-2</v>
      </c>
      <c r="Q45" s="23">
        <v>4.803600000000019E-2</v>
      </c>
      <c r="R45" s="23">
        <v>5.6557999999999886E-2</v>
      </c>
      <c r="S45" s="23">
        <v>5.1999999999999998E-2</v>
      </c>
      <c r="T45" s="23">
        <v>9.1184000000000154E-2</v>
      </c>
      <c r="U45" s="23">
        <v>7.3010000000000019E-2</v>
      </c>
      <c r="V45" s="23">
        <v>5.7252000000000081E-2</v>
      </c>
      <c r="W45" s="23">
        <v>7.1026000000000256E-2</v>
      </c>
      <c r="X45" s="23">
        <v>8.3826000000000178E-2</v>
      </c>
      <c r="Y45" s="23">
        <v>8.5999999999999993E-2</v>
      </c>
      <c r="Z45" s="23">
        <v>7.580600000000004E-2</v>
      </c>
      <c r="AA45" s="23">
        <v>6.6235999999999962E-2</v>
      </c>
      <c r="AB45" s="23">
        <v>5.7833999999999719E-2</v>
      </c>
      <c r="AC45" s="23">
        <v>6.1819999999999986E-2</v>
      </c>
      <c r="AD45" s="23">
        <v>8.1398000000000081E-2</v>
      </c>
      <c r="AE45" s="23">
        <v>0.14680800000000005</v>
      </c>
      <c r="AF45" s="23">
        <v>0.122</v>
      </c>
      <c r="AG45" s="23"/>
    </row>
    <row r="46" spans="1:36" ht="27.75" customHeight="1" x14ac:dyDescent="0.2">
      <c r="A46" s="21" t="s">
        <v>31</v>
      </c>
      <c r="B46" s="16" t="s">
        <v>5</v>
      </c>
      <c r="C46" s="23">
        <f>C45</f>
        <v>4.2067999999999994E-2</v>
      </c>
      <c r="D46" s="23">
        <f t="shared" ref="D46:AF46" si="231">C46+D45</f>
        <v>4.0449999999999875E-2</v>
      </c>
      <c r="E46" s="23">
        <f t="shared" si="231"/>
        <v>0.10744999999999988</v>
      </c>
      <c r="F46" s="23">
        <f t="shared" si="231"/>
        <v>0.16743800000000003</v>
      </c>
      <c r="G46" s="23">
        <f t="shared" si="231"/>
        <v>0.20838600000000024</v>
      </c>
      <c r="H46" s="23">
        <f t="shared" si="231"/>
        <v>0.21138600000000024</v>
      </c>
      <c r="I46" s="23">
        <f t="shared" si="231"/>
        <v>0.29172800000000015</v>
      </c>
      <c r="J46" s="23">
        <f t="shared" si="231"/>
        <v>0.37028599999999984</v>
      </c>
      <c r="K46" s="23">
        <f t="shared" si="231"/>
        <v>0.45275399999999982</v>
      </c>
      <c r="L46" s="23">
        <f t="shared" si="231"/>
        <v>0.51375399999999982</v>
      </c>
      <c r="M46" s="23">
        <f t="shared" si="231"/>
        <v>0.5235639999999997</v>
      </c>
      <c r="N46" s="23">
        <f t="shared" si="231"/>
        <v>0.6118659999999998</v>
      </c>
      <c r="O46" s="23">
        <f t="shared" si="231"/>
        <v>0.65113999999999961</v>
      </c>
      <c r="P46" s="23">
        <f t="shared" si="231"/>
        <v>0.72563999999999917</v>
      </c>
      <c r="Q46" s="23">
        <f t="shared" si="231"/>
        <v>0.77367599999999936</v>
      </c>
      <c r="R46" s="23">
        <f t="shared" si="231"/>
        <v>0.83023399999999925</v>
      </c>
      <c r="S46" s="23">
        <f t="shared" si="231"/>
        <v>0.8822339999999993</v>
      </c>
      <c r="T46" s="23">
        <f t="shared" si="231"/>
        <v>0.97341799999999945</v>
      </c>
      <c r="U46" s="23">
        <f t="shared" si="231"/>
        <v>1.0464279999999995</v>
      </c>
      <c r="V46" s="23">
        <f t="shared" si="231"/>
        <v>1.1036799999999996</v>
      </c>
      <c r="W46" s="23">
        <f t="shared" si="231"/>
        <v>1.1747059999999998</v>
      </c>
      <c r="X46" s="23">
        <f t="shared" si="231"/>
        <v>1.258532</v>
      </c>
      <c r="Y46" s="23">
        <f t="shared" si="231"/>
        <v>1.3445320000000001</v>
      </c>
      <c r="Z46" s="23">
        <f t="shared" si="231"/>
        <v>1.4203380000000001</v>
      </c>
      <c r="AA46" s="23">
        <f t="shared" si="231"/>
        <v>1.4865740000000001</v>
      </c>
      <c r="AB46" s="23">
        <f t="shared" si="231"/>
        <v>1.5444079999999998</v>
      </c>
      <c r="AC46" s="23">
        <f t="shared" si="231"/>
        <v>1.6062279999999998</v>
      </c>
      <c r="AD46" s="23">
        <f t="shared" si="231"/>
        <v>1.6876259999999998</v>
      </c>
      <c r="AE46" s="23">
        <f t="shared" si="231"/>
        <v>1.8344339999999999</v>
      </c>
      <c r="AF46" s="23">
        <f t="shared" si="231"/>
        <v>1.9564339999999998</v>
      </c>
      <c r="AG46" s="23"/>
      <c r="AH46" s="68"/>
      <c r="AI46" s="68"/>
      <c r="AJ46" s="68"/>
    </row>
    <row r="47" spans="1:36" ht="27.75" customHeight="1" x14ac:dyDescent="0.2">
      <c r="A47" s="21" t="s">
        <v>32</v>
      </c>
      <c r="B47" s="16" t="s">
        <v>5</v>
      </c>
      <c r="C47" s="256">
        <f t="shared" ref="C47:H47" si="232">3.797226+C46</f>
        <v>3.8392940000000002</v>
      </c>
      <c r="D47" s="256">
        <f t="shared" si="232"/>
        <v>3.8376760000000001</v>
      </c>
      <c r="E47" s="256">
        <f t="shared" si="232"/>
        <v>3.9046760000000003</v>
      </c>
      <c r="F47" s="256">
        <f t="shared" si="232"/>
        <v>3.9646640000000004</v>
      </c>
      <c r="G47" s="256">
        <f t="shared" si="232"/>
        <v>4.0056120000000002</v>
      </c>
      <c r="H47" s="256">
        <f t="shared" si="232"/>
        <v>4.0086120000000003</v>
      </c>
      <c r="I47" s="256">
        <f t="shared" ref="I47:J47" si="233">3.797226+I46</f>
        <v>4.0889540000000002</v>
      </c>
      <c r="J47" s="256">
        <f t="shared" si="233"/>
        <v>4.1675120000000003</v>
      </c>
      <c r="K47" s="256">
        <f t="shared" ref="K47:L47" si="234">3.797226+K46</f>
        <v>4.2499799999999999</v>
      </c>
      <c r="L47" s="256">
        <f t="shared" si="234"/>
        <v>4.3109799999999998</v>
      </c>
      <c r="M47" s="256">
        <f t="shared" ref="M47:N47" si="235">3.797226+M46</f>
        <v>4.3207899999999997</v>
      </c>
      <c r="N47" s="256">
        <f t="shared" si="235"/>
        <v>4.4090920000000002</v>
      </c>
      <c r="O47" s="256">
        <f t="shared" ref="O47:P47" si="236">3.797226+O46</f>
        <v>4.448366</v>
      </c>
      <c r="P47" s="256">
        <f t="shared" si="236"/>
        <v>4.5228659999999996</v>
      </c>
      <c r="Q47" s="256">
        <f t="shared" ref="Q47:R47" si="237">3.797226+Q46</f>
        <v>4.5709019999999994</v>
      </c>
      <c r="R47" s="256">
        <f t="shared" si="237"/>
        <v>4.6274599999999992</v>
      </c>
      <c r="S47" s="256">
        <f t="shared" ref="S47:T47" si="238">3.797226+S46</f>
        <v>4.6794599999999997</v>
      </c>
      <c r="T47" s="256">
        <f t="shared" si="238"/>
        <v>4.7706439999999999</v>
      </c>
      <c r="U47" s="256">
        <f t="shared" ref="U47:V47" si="239">3.797226+U46</f>
        <v>4.8436539999999999</v>
      </c>
      <c r="V47" s="256">
        <f t="shared" si="239"/>
        <v>4.900906</v>
      </c>
      <c r="W47" s="256">
        <f t="shared" ref="W47:X47" si="240">3.797226+W46</f>
        <v>4.9719319999999998</v>
      </c>
      <c r="X47" s="256">
        <f t="shared" si="240"/>
        <v>5.055758</v>
      </c>
      <c r="Y47" s="256">
        <f t="shared" ref="Y47:Z47" si="241">3.797226+Y46</f>
        <v>5.1417580000000003</v>
      </c>
      <c r="Z47" s="256">
        <f t="shared" si="241"/>
        <v>5.2175640000000003</v>
      </c>
      <c r="AA47" s="256">
        <f t="shared" ref="AA47:AB47" si="242">3.797226+AA46</f>
        <v>5.2838000000000003</v>
      </c>
      <c r="AB47" s="256">
        <f t="shared" si="242"/>
        <v>5.341634</v>
      </c>
      <c r="AC47" s="256">
        <f t="shared" ref="AC47:AD47" si="243">3.797226+AC46</f>
        <v>5.403454</v>
      </c>
      <c r="AD47" s="256">
        <f t="shared" si="243"/>
        <v>5.4848520000000001</v>
      </c>
      <c r="AE47" s="256">
        <f t="shared" ref="AE47:AF47" si="244">3.797226+AE46</f>
        <v>5.6316600000000001</v>
      </c>
      <c r="AF47" s="256">
        <f t="shared" si="244"/>
        <v>5.75366</v>
      </c>
      <c r="AG47" s="256"/>
      <c r="AH47" s="68"/>
      <c r="AI47" s="68"/>
      <c r="AJ47" s="68"/>
    </row>
    <row r="48" spans="1:36" ht="27.75" customHeight="1" x14ac:dyDescent="0.2">
      <c r="A48" s="21" t="s">
        <v>33</v>
      </c>
      <c r="B48" s="16" t="s">
        <v>34</v>
      </c>
      <c r="C48" s="80">
        <v>123880.6</v>
      </c>
      <c r="D48" s="80">
        <v>-22354</v>
      </c>
      <c r="E48" s="80">
        <v>191053</v>
      </c>
      <c r="F48" s="80">
        <v>155245</v>
      </c>
      <c r="G48" s="80">
        <v>98718</v>
      </c>
      <c r="H48" s="80">
        <v>6710</v>
      </c>
      <c r="I48" s="80">
        <v>222617.04</v>
      </c>
      <c r="J48" s="80">
        <v>230525</v>
      </c>
      <c r="K48" s="80">
        <v>221914.2</v>
      </c>
      <c r="L48" s="80">
        <v>168114</v>
      </c>
      <c r="M48" s="80">
        <v>27046</v>
      </c>
      <c r="N48" s="80">
        <v>246539</v>
      </c>
      <c r="O48" s="80">
        <v>100681</v>
      </c>
      <c r="P48" s="80">
        <v>181950</v>
      </c>
      <c r="Q48" s="80">
        <v>154259</v>
      </c>
      <c r="R48" s="80">
        <v>169529</v>
      </c>
      <c r="S48" s="80">
        <v>158960</v>
      </c>
      <c r="T48" s="80">
        <v>91292</v>
      </c>
      <c r="U48" s="80">
        <v>143132</v>
      </c>
      <c r="V48" s="80">
        <v>138240</v>
      </c>
      <c r="W48" s="80">
        <v>193393.49</v>
      </c>
      <c r="X48" s="80">
        <v>204980</v>
      </c>
      <c r="Y48" s="80">
        <v>226302</v>
      </c>
      <c r="Z48" s="80">
        <v>217307.06</v>
      </c>
      <c r="AA48" s="80">
        <v>188666</v>
      </c>
      <c r="AB48" s="80">
        <v>153493</v>
      </c>
      <c r="AC48" s="80">
        <v>168341.23</v>
      </c>
      <c r="AD48" s="80">
        <v>222911.65</v>
      </c>
      <c r="AE48" s="80">
        <v>255910</v>
      </c>
      <c r="AF48" s="80">
        <v>250446</v>
      </c>
      <c r="AG48" s="80"/>
    </row>
    <row r="49" spans="1:34" ht="27.75" customHeight="1" x14ac:dyDescent="0.2">
      <c r="A49" s="21" t="s">
        <v>33</v>
      </c>
      <c r="B49" s="16" t="s">
        <v>35</v>
      </c>
      <c r="C49" s="275">
        <f>C48/10^5</f>
        <v>1.2388060000000001</v>
      </c>
      <c r="D49" s="275">
        <f t="shared" ref="D49:E49" si="245">D48/10^5</f>
        <v>-0.22353999999999999</v>
      </c>
      <c r="E49" s="275">
        <f t="shared" si="245"/>
        <v>1.9105300000000001</v>
      </c>
      <c r="F49" s="275">
        <f t="shared" ref="F49:G49" si="246">F48/10^5</f>
        <v>1.5524500000000001</v>
      </c>
      <c r="G49" s="275">
        <f t="shared" si="246"/>
        <v>0.98717999999999995</v>
      </c>
      <c r="H49" s="275">
        <f t="shared" ref="H49:I49" si="247">H48/10^5</f>
        <v>6.7100000000000007E-2</v>
      </c>
      <c r="I49" s="275">
        <f t="shared" si="247"/>
        <v>2.2261704</v>
      </c>
      <c r="J49" s="275">
        <f t="shared" ref="J49:K49" si="248">J48/10^5</f>
        <v>2.30525</v>
      </c>
      <c r="K49" s="275">
        <f t="shared" si="248"/>
        <v>2.2191420000000002</v>
      </c>
      <c r="L49" s="275">
        <f t="shared" ref="L49:M49" si="249">L48/10^5</f>
        <v>1.6811400000000001</v>
      </c>
      <c r="M49" s="275">
        <f t="shared" si="249"/>
        <v>0.27045999999999998</v>
      </c>
      <c r="N49" s="275">
        <f t="shared" ref="N49:O49" si="250">N48/10^5</f>
        <v>2.4653900000000002</v>
      </c>
      <c r="O49" s="275">
        <f t="shared" si="250"/>
        <v>1.00681</v>
      </c>
      <c r="P49" s="275">
        <f t="shared" ref="P49:Q49" si="251">P48/10^5</f>
        <v>1.8194999999999999</v>
      </c>
      <c r="Q49" s="275">
        <f t="shared" si="251"/>
        <v>1.5425899999999999</v>
      </c>
      <c r="R49" s="275">
        <f t="shared" ref="R49:S49" si="252">R48/10^5</f>
        <v>1.69529</v>
      </c>
      <c r="S49" s="275">
        <f t="shared" si="252"/>
        <v>1.5895999999999999</v>
      </c>
      <c r="T49" s="275">
        <f t="shared" ref="T49:U49" si="253">T48/10^5</f>
        <v>0.91291999999999995</v>
      </c>
      <c r="U49" s="275">
        <f t="shared" si="253"/>
        <v>1.4313199999999999</v>
      </c>
      <c r="V49" s="275">
        <f t="shared" ref="V49:W49" si="254">V48/10^5</f>
        <v>1.3824000000000001</v>
      </c>
      <c r="W49" s="275">
        <f t="shared" si="254"/>
        <v>1.9339348999999999</v>
      </c>
      <c r="X49" s="275">
        <f t="shared" ref="X49:Y49" si="255">X48/10^5</f>
        <v>2.0497999999999998</v>
      </c>
      <c r="Y49" s="275">
        <f t="shared" si="255"/>
        <v>2.26302</v>
      </c>
      <c r="Z49" s="275">
        <f t="shared" ref="Z49:AA49" si="256">Z48/10^5</f>
        <v>2.1730706</v>
      </c>
      <c r="AA49" s="275">
        <f t="shared" si="256"/>
        <v>1.88666</v>
      </c>
      <c r="AB49" s="275">
        <f t="shared" ref="AB49:AC49" si="257">AB48/10^5</f>
        <v>1.5349299999999999</v>
      </c>
      <c r="AC49" s="275">
        <f t="shared" si="257"/>
        <v>1.6834123000000001</v>
      </c>
      <c r="AD49" s="275">
        <f t="shared" ref="AD49:AE49" si="258">AD48/10^5</f>
        <v>2.2291164999999999</v>
      </c>
      <c r="AE49" s="275">
        <f t="shared" si="258"/>
        <v>2.5590999999999999</v>
      </c>
      <c r="AF49" s="275">
        <f t="shared" ref="AF49" si="259">AF48/10^5</f>
        <v>2.5044599999999999</v>
      </c>
      <c r="AG49" s="275"/>
    </row>
    <row r="50" spans="1:34" ht="27.75" customHeight="1" x14ac:dyDescent="0.2">
      <c r="A50" s="276" t="s">
        <v>36</v>
      </c>
      <c r="B50" s="16" t="s">
        <v>35</v>
      </c>
      <c r="C50" s="275">
        <f>C49</f>
        <v>1.2388060000000001</v>
      </c>
      <c r="D50" s="275">
        <f t="shared" ref="D50:AF50" si="260">D49+C50</f>
        <v>1.015266</v>
      </c>
      <c r="E50" s="275">
        <f t="shared" si="260"/>
        <v>2.9257960000000001</v>
      </c>
      <c r="F50" s="275">
        <f t="shared" si="260"/>
        <v>4.4782460000000004</v>
      </c>
      <c r="G50" s="275">
        <f t="shared" si="260"/>
        <v>5.4654260000000008</v>
      </c>
      <c r="H50" s="275">
        <f t="shared" si="260"/>
        <v>5.5325260000000007</v>
      </c>
      <c r="I50" s="275">
        <f t="shared" si="260"/>
        <v>7.7586964000000007</v>
      </c>
      <c r="J50" s="275">
        <f t="shared" si="260"/>
        <v>10.063946400000001</v>
      </c>
      <c r="K50" s="275">
        <f t="shared" si="260"/>
        <v>12.2830884</v>
      </c>
      <c r="L50" s="275">
        <f t="shared" si="260"/>
        <v>13.9642284</v>
      </c>
      <c r="M50" s="275">
        <f t="shared" si="260"/>
        <v>14.2346884</v>
      </c>
      <c r="N50" s="275">
        <f t="shared" si="260"/>
        <v>16.700078399999999</v>
      </c>
      <c r="O50" s="275">
        <f t="shared" si="260"/>
        <v>17.7068884</v>
      </c>
      <c r="P50" s="275">
        <f t="shared" si="260"/>
        <v>19.526388400000002</v>
      </c>
      <c r="Q50" s="275">
        <f t="shared" si="260"/>
        <v>21.068978400000002</v>
      </c>
      <c r="R50" s="275">
        <f t="shared" si="260"/>
        <v>22.764268400000002</v>
      </c>
      <c r="S50" s="275">
        <f t="shared" si="260"/>
        <v>24.353868400000003</v>
      </c>
      <c r="T50" s="275">
        <f t="shared" si="260"/>
        <v>25.266788400000003</v>
      </c>
      <c r="U50" s="275">
        <f t="shared" si="260"/>
        <v>26.698108400000002</v>
      </c>
      <c r="V50" s="275">
        <f t="shared" si="260"/>
        <v>28.080508400000003</v>
      </c>
      <c r="W50" s="275">
        <f t="shared" si="260"/>
        <v>30.014443300000003</v>
      </c>
      <c r="X50" s="275">
        <f t="shared" si="260"/>
        <v>32.064243300000001</v>
      </c>
      <c r="Y50" s="275">
        <f t="shared" si="260"/>
        <v>34.327263299999998</v>
      </c>
      <c r="Z50" s="275">
        <f t="shared" si="260"/>
        <v>36.500333900000001</v>
      </c>
      <c r="AA50" s="275">
        <f t="shared" si="260"/>
        <v>38.3869939</v>
      </c>
      <c r="AB50" s="275">
        <f t="shared" si="260"/>
        <v>39.921923900000003</v>
      </c>
      <c r="AC50" s="275">
        <f t="shared" si="260"/>
        <v>41.605336200000004</v>
      </c>
      <c r="AD50" s="275">
        <f t="shared" si="260"/>
        <v>43.8344527</v>
      </c>
      <c r="AE50" s="275">
        <f t="shared" si="260"/>
        <v>46.393552700000001</v>
      </c>
      <c r="AF50" s="275">
        <f t="shared" si="260"/>
        <v>48.898012700000002</v>
      </c>
      <c r="AG50" s="275"/>
    </row>
    <row r="51" spans="1:34" ht="34.5" customHeight="1" x14ac:dyDescent="0.2">
      <c r="A51" s="20" t="s">
        <v>37</v>
      </c>
      <c r="B51" s="18" t="s">
        <v>13</v>
      </c>
      <c r="C51" s="3">
        <f>C53/(UNITS!C28+UNITS!C55+UNITS!C82)*100</f>
        <v>1.8492879746835444</v>
      </c>
      <c r="D51" s="3">
        <f>D53/(UNITS!D28+UNITS!D55+UNITS!D82)*100</f>
        <v>1.9426092101370676</v>
      </c>
      <c r="E51" s="3">
        <f>E53/(UNITS!E28+UNITS!E55+UNITS!E82)*100</f>
        <v>1.6681214237222384</v>
      </c>
      <c r="F51" s="3">
        <f>F53/(UNITS!F28+UNITS!F55+UNITS!F82)*100</f>
        <v>1.836521077171948</v>
      </c>
      <c r="G51" s="3">
        <f>G53/(UNITS!G28+UNITS!G55+UNITS!G82)*100</f>
        <v>2.165823871767961</v>
      </c>
      <c r="H51" s="3">
        <f>H53/(UNITS!H28+UNITS!H55+UNITS!H82)*100</f>
        <v>1.9119351100811124</v>
      </c>
      <c r="I51" s="3">
        <f>I53/(UNITS!I28+UNITS!I55+UNITS!I82)*100</f>
        <v>1.9010317157050056</v>
      </c>
      <c r="J51" s="3">
        <f>J53/(UNITS!J28+UNITS!J55+UNITS!J82)*100</f>
        <v>1.9391363153318519</v>
      </c>
      <c r="K51" s="3">
        <f>K53/(UNITS!K28+UNITS!K55+UNITS!K82)*100</f>
        <v>1.8981631293423431</v>
      </c>
      <c r="L51" s="3">
        <f>L53/(UNITS!L28+UNITS!L55+UNITS!L82)*100</f>
        <v>1.8928639030853682</v>
      </c>
      <c r="M51" s="3">
        <f>M53/(UNITS!M28+UNITS!M55+UNITS!M82)*100</f>
        <v>1.8718833908707326</v>
      </c>
      <c r="N51" s="3">
        <f>N53/(UNITS!N28+UNITS!N55+UNITS!N82)*100</f>
        <v>1.9304682368396358</v>
      </c>
      <c r="O51" s="3">
        <f>O53/(UNITS!O28+UNITS!O55+UNITS!O82)*100</f>
        <v>1.7725177645477244</v>
      </c>
      <c r="P51" s="3">
        <f>P53/(UNITS!P28+UNITS!P55+UNITS!P82)*100</f>
        <v>1.7690646775934831</v>
      </c>
      <c r="Q51" s="3">
        <f>Q53/(UNITS!Q28+UNITS!Q55+UNITS!Q82)*100</f>
        <v>1.9160942100098135</v>
      </c>
      <c r="R51" s="3">
        <f>R53/(UNITS!R28+UNITS!R55+UNITS!R82)*100</f>
        <v>2.030090563832895</v>
      </c>
      <c r="S51" s="3">
        <f>S53/(UNITS!S28+UNITS!S55+UNITS!S82)*100</f>
        <v>1.8353078267624783</v>
      </c>
      <c r="T51" s="3">
        <f>T53/(UNITS!T28+UNITS!T55+UNITS!T82)*100</f>
        <v>1.9556451612903223</v>
      </c>
      <c r="U51" s="3">
        <f>U53/(UNITS!U28+UNITS!U55+UNITS!U82)*100</f>
        <v>1.7836142689141514</v>
      </c>
      <c r="V51" s="3">
        <f>V53/(UNITS!V28+UNITS!V55+UNITS!V82)*100</f>
        <v>2.0614851485148513</v>
      </c>
      <c r="W51" s="3">
        <f>W53/(UNITS!W28+UNITS!W55+UNITS!W82)*100</f>
        <v>1.9661773457647291</v>
      </c>
      <c r="X51" s="3">
        <f>X53/(UNITS!X28+UNITS!X55+UNITS!X82)*100</f>
        <v>1.9359785317232128</v>
      </c>
      <c r="Y51" s="3">
        <f>Y53/(UNITS!Y28+UNITS!Y55+UNITS!Y82)*100</f>
        <v>1.8122065727699528</v>
      </c>
      <c r="Z51" s="3">
        <f>Z53/(UNITS!Z28+UNITS!Z55+UNITS!Z82)*100</f>
        <v>1.7873018850229765</v>
      </c>
      <c r="AA51" s="3">
        <f>AA53/(UNITS!AA28+UNITS!AA55+UNITS!AA82)*100</f>
        <v>1.8498459239891678</v>
      </c>
      <c r="AB51" s="3">
        <f>AB53/(UNITS!AB28+UNITS!AB55+UNITS!AB82)*100</f>
        <v>2.3729033546325877</v>
      </c>
      <c r="AC51" s="3">
        <f>AC53/(UNITS!AC28+UNITS!AC55+UNITS!AC82)*100</f>
        <v>2.5484427310540734</v>
      </c>
      <c r="AD51" s="3">
        <f>AD53/(UNITS!AD28+UNITS!AD55+UNITS!AD82)*100</f>
        <v>2.0893719806763285</v>
      </c>
      <c r="AE51" s="3">
        <f>AE53/(UNITS!AE28+UNITS!AE55+UNITS!AE82)*100</f>
        <v>2.0652069065303365</v>
      </c>
      <c r="AF51" s="3">
        <f>AF53/(UNITS!AF28+UNITS!AF55+UNITS!AF82)*100</f>
        <v>1.9174041297935103</v>
      </c>
      <c r="AG51" s="3"/>
    </row>
    <row r="52" spans="1:34" ht="30" customHeight="1" x14ac:dyDescent="0.2">
      <c r="A52" s="19" t="s">
        <v>38</v>
      </c>
      <c r="B52" s="18" t="s">
        <v>39</v>
      </c>
      <c r="C52" s="3">
        <v>189</v>
      </c>
      <c r="D52" s="3">
        <v>207</v>
      </c>
      <c r="E52" s="3">
        <v>172</v>
      </c>
      <c r="F52" s="3">
        <v>196</v>
      </c>
      <c r="G52" s="3">
        <v>243</v>
      </c>
      <c r="H52" s="3">
        <v>214</v>
      </c>
      <c r="I52" s="3">
        <v>204</v>
      </c>
      <c r="J52" s="3">
        <v>202</v>
      </c>
      <c r="K52" s="3">
        <v>210</v>
      </c>
      <c r="L52" s="3">
        <v>203</v>
      </c>
      <c r="M52" s="3">
        <v>198</v>
      </c>
      <c r="N52" s="3">
        <v>202</v>
      </c>
      <c r="O52" s="3">
        <v>191</v>
      </c>
      <c r="P52" s="3">
        <v>182</v>
      </c>
      <c r="Q52" s="3">
        <v>210</v>
      </c>
      <c r="R52" s="3">
        <v>203</v>
      </c>
      <c r="S52" s="3">
        <v>191</v>
      </c>
      <c r="T52" s="3">
        <v>210</v>
      </c>
      <c r="U52" s="3">
        <v>166</v>
      </c>
      <c r="V52" s="3">
        <v>210</v>
      </c>
      <c r="W52" s="3">
        <v>210</v>
      </c>
      <c r="X52" s="3">
        <v>252</v>
      </c>
      <c r="Y52" s="3">
        <v>196</v>
      </c>
      <c r="Z52" s="3">
        <v>196</v>
      </c>
      <c r="AA52" s="3">
        <v>182</v>
      </c>
      <c r="AB52" s="3">
        <v>252</v>
      </c>
      <c r="AC52" s="3">
        <v>252</v>
      </c>
      <c r="AD52" s="3">
        <v>217</v>
      </c>
      <c r="AE52" s="3">
        <v>207</v>
      </c>
      <c r="AF52" s="3">
        <v>200</v>
      </c>
      <c r="AG52" s="3"/>
    </row>
    <row r="53" spans="1:34" ht="37.5" customHeight="1" x14ac:dyDescent="0.2">
      <c r="A53" s="19" t="s">
        <v>37</v>
      </c>
      <c r="B53" s="18" t="s">
        <v>39</v>
      </c>
      <c r="C53" s="3">
        <v>187</v>
      </c>
      <c r="D53" s="3">
        <v>197</v>
      </c>
      <c r="E53" s="3">
        <v>172</v>
      </c>
      <c r="F53" s="3">
        <v>193</v>
      </c>
      <c r="G53" s="3">
        <v>227</v>
      </c>
      <c r="H53" s="3">
        <v>198</v>
      </c>
      <c r="I53" s="3">
        <v>199</v>
      </c>
      <c r="J53" s="3">
        <v>200.72</v>
      </c>
      <c r="K53" s="3">
        <v>199.44</v>
      </c>
      <c r="L53" s="3">
        <v>200</v>
      </c>
      <c r="M53" s="3">
        <v>195.2</v>
      </c>
      <c r="N53" s="3">
        <v>205.73</v>
      </c>
      <c r="O53" s="3">
        <v>184.59</v>
      </c>
      <c r="P53" s="3">
        <v>180.25</v>
      </c>
      <c r="Q53" s="3">
        <v>195.25</v>
      </c>
      <c r="R53" s="3">
        <v>208.47</v>
      </c>
      <c r="S53" s="3">
        <v>189</v>
      </c>
      <c r="T53" s="3">
        <v>203.7</v>
      </c>
      <c r="U53" s="3">
        <v>182</v>
      </c>
      <c r="V53" s="3">
        <v>208.21</v>
      </c>
      <c r="W53" s="3">
        <v>198.23</v>
      </c>
      <c r="X53" s="3">
        <v>202</v>
      </c>
      <c r="Y53" s="3">
        <v>193</v>
      </c>
      <c r="Z53" s="3">
        <v>190.58</v>
      </c>
      <c r="AA53" s="3">
        <v>198.1</v>
      </c>
      <c r="AB53" s="3">
        <v>237.67</v>
      </c>
      <c r="AC53" s="3">
        <v>251.2</v>
      </c>
      <c r="AD53" s="3">
        <v>207.6</v>
      </c>
      <c r="AE53" s="3">
        <v>214.1</v>
      </c>
      <c r="AF53" s="3">
        <v>208</v>
      </c>
      <c r="AG53" s="3"/>
    </row>
    <row r="54" spans="1:34" ht="37.5" hidden="1" customHeight="1" x14ac:dyDescent="0.2">
      <c r="A54" s="20" t="s">
        <v>40</v>
      </c>
      <c r="B54" s="18" t="s">
        <v>41</v>
      </c>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4" ht="37.5" hidden="1" customHeight="1" x14ac:dyDescent="0.2">
      <c r="A55" s="20" t="s">
        <v>40</v>
      </c>
      <c r="B55" s="18" t="s">
        <v>13</v>
      </c>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4" ht="30" customHeight="1" x14ac:dyDescent="0.2">
      <c r="A56" s="20" t="s">
        <v>42</v>
      </c>
      <c r="B56" s="18" t="s">
        <v>39</v>
      </c>
      <c r="C56" s="3">
        <v>0</v>
      </c>
      <c r="D56" s="3">
        <v>0</v>
      </c>
      <c r="E56" s="3">
        <v>0</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row>
    <row r="57" spans="1:34" ht="30" customHeight="1" x14ac:dyDescent="0.2">
      <c r="A57" s="20" t="s">
        <v>43</v>
      </c>
      <c r="B57" s="18" t="s">
        <v>44</v>
      </c>
      <c r="C57" s="214">
        <f>Totalizer!E82</f>
        <v>7262</v>
      </c>
      <c r="D57" s="214">
        <f>Totalizer!F82</f>
        <v>8038</v>
      </c>
      <c r="E57" s="214">
        <f>Totalizer!G82</f>
        <v>7749</v>
      </c>
      <c r="F57" s="214">
        <f>Totalizer!H82</f>
        <v>8101</v>
      </c>
      <c r="G57" s="214">
        <f>Totalizer!I82</f>
        <v>8039</v>
      </c>
      <c r="H57" s="214">
        <f>Totalizer!J82</f>
        <v>7423</v>
      </c>
      <c r="I57" s="214">
        <f>Totalizer!K82</f>
        <v>6832</v>
      </c>
      <c r="J57" s="214">
        <f>Totalizer!L82</f>
        <v>6884</v>
      </c>
      <c r="K57" s="214">
        <f>Totalizer!M82</f>
        <v>7626</v>
      </c>
      <c r="L57" s="214">
        <f>Totalizer!N82</f>
        <v>6528</v>
      </c>
      <c r="M57" s="214">
        <f>Totalizer!O82</f>
        <v>7283</v>
      </c>
      <c r="N57" s="214">
        <f>Totalizer!P82</f>
        <v>7146</v>
      </c>
      <c r="O57" s="214">
        <f>Totalizer!Q82</f>
        <v>6803</v>
      </c>
      <c r="P57" s="214">
        <f>Totalizer!R82</f>
        <v>5990</v>
      </c>
      <c r="Q57" s="214">
        <f>Totalizer!S82</f>
        <v>6967</v>
      </c>
      <c r="R57" s="214">
        <f>Totalizer!T82</f>
        <v>6996</v>
      </c>
      <c r="S57" s="214">
        <f>Totalizer!U82</f>
        <v>6462</v>
      </c>
      <c r="T57" s="214">
        <f>Totalizer!V82</f>
        <v>6791</v>
      </c>
      <c r="U57" s="214">
        <f>Totalizer!W82</f>
        <v>6131</v>
      </c>
      <c r="V57" s="214">
        <f>Totalizer!X82</f>
        <v>6583</v>
      </c>
      <c r="W57" s="214">
        <f>Totalizer!Y82</f>
        <v>5964</v>
      </c>
      <c r="X57" s="214">
        <f>Totalizer!Z82</f>
        <v>6439</v>
      </c>
      <c r="Y57" s="214">
        <f>Totalizer!AA82</f>
        <v>6653</v>
      </c>
      <c r="Z57" s="214">
        <f>Totalizer!AB82</f>
        <v>6259</v>
      </c>
      <c r="AA57" s="214">
        <f>Totalizer!AC82</f>
        <v>6495</v>
      </c>
      <c r="AB57" s="214">
        <f>Totalizer!AD82</f>
        <v>5375</v>
      </c>
      <c r="AC57" s="214">
        <f>Totalizer!AE82</f>
        <v>6843</v>
      </c>
      <c r="AD57" s="214">
        <f>Totalizer!AF82</f>
        <v>6408</v>
      </c>
      <c r="AE57" s="214">
        <f>Totalizer!AG82</f>
        <v>5851</v>
      </c>
      <c r="AF57" s="214">
        <f>Totalizer!AH82</f>
        <v>6189</v>
      </c>
      <c r="AG57" s="214"/>
    </row>
    <row r="58" spans="1:34" ht="15.75" x14ac:dyDescent="0.2">
      <c r="A58" s="20" t="s">
        <v>45</v>
      </c>
      <c r="B58" s="18" t="s">
        <v>39</v>
      </c>
      <c r="C58" s="3">
        <f t="shared" ref="C58:H58" si="261">C57/(C5*1000)</f>
        <v>2.7866494090361575</v>
      </c>
      <c r="D58" s="3">
        <f t="shared" si="261"/>
        <v>3.1138528098279665</v>
      </c>
      <c r="E58" s="3">
        <f t="shared" si="261"/>
        <v>2.9107876819101435</v>
      </c>
      <c r="F58" s="3">
        <f t="shared" si="261"/>
        <v>2.9435496416284628</v>
      </c>
      <c r="G58" s="3">
        <f t="shared" si="261"/>
        <v>2.9224612793306921</v>
      </c>
      <c r="H58" s="3">
        <f t="shared" si="261"/>
        <v>2.7643268884508636</v>
      </c>
      <c r="I58" s="3">
        <f t="shared" ref="I58:J58" si="262">I57/(I5*1000)</f>
        <v>2.476241564033606</v>
      </c>
      <c r="J58" s="3">
        <f t="shared" si="262"/>
        <v>2.5328406484866797</v>
      </c>
      <c r="K58" s="3">
        <f t="shared" ref="K58:L58" si="263">K57/(K5*1000)</f>
        <v>2.7462693447054192</v>
      </c>
      <c r="L58" s="3">
        <f t="shared" si="263"/>
        <v>2.3351314226845425</v>
      </c>
      <c r="M58" s="3">
        <f t="shared" ref="M58:N58" si="264">M57/(M5*1000)</f>
        <v>2.6784246924056974</v>
      </c>
      <c r="N58" s="3">
        <f t="shared" si="264"/>
        <v>2.5752996294988577</v>
      </c>
      <c r="O58" s="3">
        <f t="shared" ref="O58:P58" si="265">O57/(O5*1000)</f>
        <v>2.5190045433170285</v>
      </c>
      <c r="P58" s="3">
        <f t="shared" si="265"/>
        <v>2.2759404972645019</v>
      </c>
      <c r="Q58" s="3">
        <f t="shared" ref="Q58:R58" si="266">Q57/(Q5*1000)</f>
        <v>2.6573569539449946</v>
      </c>
      <c r="R58" s="3">
        <f t="shared" si="266"/>
        <v>2.6475049271746927</v>
      </c>
      <c r="S58" s="3">
        <f t="shared" ref="S58:T58" si="267">S57/(S5*1000)</f>
        <v>2.4166956193932534</v>
      </c>
      <c r="T58" s="3">
        <f t="shared" si="267"/>
        <v>2.5064064964314339</v>
      </c>
      <c r="U58" s="3">
        <f t="shared" ref="U58:V58" si="268">U57/(U5*1000)</f>
        <v>2.3425890308488326</v>
      </c>
      <c r="V58" s="3">
        <f t="shared" si="268"/>
        <v>2.5563807582156204</v>
      </c>
      <c r="W58" s="3">
        <f t="shared" ref="W58:X58" si="269">W57/(W5*1000)</f>
        <v>2.3364250287768318</v>
      </c>
      <c r="X58" s="3">
        <f t="shared" si="269"/>
        <v>2.3667712520547051</v>
      </c>
      <c r="Y58" s="3">
        <f t="shared" ref="Y58:Z58" si="270">Y57/(Y5*1000)</f>
        <v>2.3803151905110829</v>
      </c>
      <c r="Z58" s="3">
        <f t="shared" si="270"/>
        <v>2.206276449364827</v>
      </c>
      <c r="AA58" s="3">
        <f t="shared" ref="AA58:AB58" si="271">AA57/(AA5*1000)</f>
        <v>2.2782215350337509</v>
      </c>
      <c r="AB58" s="3">
        <f t="shared" si="271"/>
        <v>2.1139071493323005</v>
      </c>
      <c r="AC58" s="3">
        <f t="shared" ref="AC58:AD58" si="272">AC57/(AC5*1000)</f>
        <v>2.7531855459167014</v>
      </c>
      <c r="AD58" s="3">
        <f t="shared" si="272"/>
        <v>2.5562877977947633</v>
      </c>
      <c r="AE58" s="3">
        <f t="shared" ref="AE58:AF58" si="273">AE57/(AE5*1000)</f>
        <v>2.1956215905666698</v>
      </c>
      <c r="AF58" s="3">
        <f t="shared" si="273"/>
        <v>2.1504367586048745</v>
      </c>
      <c r="AG58" s="3"/>
    </row>
    <row r="59" spans="1:34" ht="15.75" x14ac:dyDescent="0.2">
      <c r="A59" s="20" t="s">
        <v>46</v>
      </c>
      <c r="B59" s="18" t="s">
        <v>39</v>
      </c>
      <c r="C59" s="214">
        <f>C57</f>
        <v>7262</v>
      </c>
      <c r="D59" s="214">
        <f t="shared" ref="D59:AB59" si="274">C59+D57</f>
        <v>15300</v>
      </c>
      <c r="E59" s="214">
        <f t="shared" si="274"/>
        <v>23049</v>
      </c>
      <c r="F59" s="214">
        <f t="shared" si="274"/>
        <v>31150</v>
      </c>
      <c r="G59" s="214">
        <f t="shared" si="274"/>
        <v>39189</v>
      </c>
      <c r="H59" s="214">
        <f t="shared" si="274"/>
        <v>46612</v>
      </c>
      <c r="I59" s="214">
        <f t="shared" si="274"/>
        <v>53444</v>
      </c>
      <c r="J59" s="214">
        <f t="shared" si="274"/>
        <v>60328</v>
      </c>
      <c r="K59" s="214">
        <f t="shared" si="274"/>
        <v>67954</v>
      </c>
      <c r="L59" s="214">
        <f t="shared" si="274"/>
        <v>74482</v>
      </c>
      <c r="M59" s="214">
        <f t="shared" si="274"/>
        <v>81765</v>
      </c>
      <c r="N59" s="214">
        <f t="shared" si="274"/>
        <v>88911</v>
      </c>
      <c r="O59" s="214">
        <f t="shared" si="274"/>
        <v>95714</v>
      </c>
      <c r="P59" s="214">
        <f t="shared" si="274"/>
        <v>101704</v>
      </c>
      <c r="Q59" s="214">
        <f t="shared" si="274"/>
        <v>108671</v>
      </c>
      <c r="R59" s="214">
        <f t="shared" si="274"/>
        <v>115667</v>
      </c>
      <c r="S59" s="214">
        <f t="shared" si="274"/>
        <v>122129</v>
      </c>
      <c r="T59" s="214">
        <f t="shared" si="274"/>
        <v>128920</v>
      </c>
      <c r="U59" s="214">
        <f t="shared" si="274"/>
        <v>135051</v>
      </c>
      <c r="V59" s="214">
        <f t="shared" si="274"/>
        <v>141634</v>
      </c>
      <c r="W59" s="214">
        <f t="shared" si="274"/>
        <v>147598</v>
      </c>
      <c r="X59" s="214">
        <f t="shared" si="274"/>
        <v>154037</v>
      </c>
      <c r="Y59" s="214">
        <f t="shared" si="274"/>
        <v>160690</v>
      </c>
      <c r="Z59" s="214">
        <f t="shared" si="274"/>
        <v>166949</v>
      </c>
      <c r="AA59" s="214">
        <f t="shared" si="274"/>
        <v>173444</v>
      </c>
      <c r="AB59" s="214">
        <f t="shared" si="274"/>
        <v>178819</v>
      </c>
      <c r="AC59" s="214">
        <f>AB59+AC57</f>
        <v>185662</v>
      </c>
      <c r="AD59" s="214">
        <f>AC59+AD57</f>
        <v>192070</v>
      </c>
      <c r="AE59" s="214">
        <f>AD59+AE57</f>
        <v>197921</v>
      </c>
      <c r="AF59" s="214">
        <f>AE59+AF57</f>
        <v>204110</v>
      </c>
      <c r="AG59" s="214"/>
    </row>
    <row r="60" spans="1:34" ht="15.75" x14ac:dyDescent="0.2">
      <c r="A60" s="20" t="s">
        <v>47</v>
      </c>
      <c r="B60" s="18" t="s">
        <v>39</v>
      </c>
      <c r="C60" s="3">
        <f>C59/(C7*1000)</f>
        <v>2.7866494090361575</v>
      </c>
      <c r="D60" s="3">
        <f>D59/(D7*1000)</f>
        <v>2.9494743477661585</v>
      </c>
      <c r="E60" s="3">
        <f t="shared" ref="E60:F60" si="275">E59/(E7*1000)</f>
        <v>2.9363537770600558</v>
      </c>
      <c r="F60" s="3">
        <f t="shared" si="275"/>
        <v>2.9382217766259808</v>
      </c>
      <c r="G60" s="3">
        <f t="shared" ref="G60:H60" si="276">G59/(G7*1000)</f>
        <v>2.9349749179014317</v>
      </c>
      <c r="H60" s="3">
        <f t="shared" si="276"/>
        <v>2.9064023457763382</v>
      </c>
      <c r="I60" s="3">
        <f>I59/(I7*1000)</f>
        <v>2.8432624791714374</v>
      </c>
      <c r="J60" s="3">
        <f t="shared" ref="J60" si="277">J59/(J7*1000)</f>
        <v>2.8040475267301086</v>
      </c>
      <c r="K60" s="3">
        <f t="shared" ref="K60:L60" si="278">K59/(K7*1000)</f>
        <v>2.7974426652629432</v>
      </c>
      <c r="L60" s="3">
        <f t="shared" si="278"/>
        <v>2.749729101802592</v>
      </c>
      <c r="M60" s="3">
        <f t="shared" ref="M60:N60" si="279">M59/(M7*1000)</f>
        <v>2.7432241944070297</v>
      </c>
      <c r="N60" s="3">
        <f t="shared" si="279"/>
        <v>2.7289225756249795</v>
      </c>
      <c r="O60" s="3">
        <f t="shared" ref="O60:P60" si="280">O59/(O7*1000)</f>
        <v>2.712854189747111</v>
      </c>
      <c r="P60" s="3">
        <f t="shared" si="280"/>
        <v>2.6825245504438686</v>
      </c>
      <c r="Q60" s="3">
        <f t="shared" ref="Q60:R60" si="281">Q59/(Q7*1000)</f>
        <v>2.6808967390638583</v>
      </c>
      <c r="R60" s="3">
        <f t="shared" si="281"/>
        <v>2.6788531552925949</v>
      </c>
      <c r="S60" s="3">
        <f t="shared" ref="S60:T60" si="282">S59/(S7*1000)</f>
        <v>2.6635651134718112</v>
      </c>
      <c r="T60" s="3">
        <f t="shared" si="282"/>
        <v>2.6547964912551252</v>
      </c>
      <c r="U60" s="3">
        <f t="shared" ref="U60:V60" si="283">U59/(U7*1000)</f>
        <v>2.6388306355314328</v>
      </c>
      <c r="V60" s="3">
        <f t="shared" si="283"/>
        <v>2.6348807748551955</v>
      </c>
      <c r="W60" s="3">
        <f t="shared" ref="W60:X60" si="284">W59/(W7*1000)</f>
        <v>2.6213503843267976</v>
      </c>
      <c r="X60" s="3">
        <f t="shared" si="284"/>
        <v>2.6096166404910552</v>
      </c>
      <c r="Y60" s="3">
        <f t="shared" ref="Y60:Z60" si="285">Y59/(Y7*1000)</f>
        <v>2.5992497379830719</v>
      </c>
      <c r="Z60" s="3">
        <f t="shared" si="285"/>
        <v>2.5820079694686902</v>
      </c>
      <c r="AA60" s="3">
        <f t="shared" ref="AA60:AB60" si="286">AA59/(AA7*1000)</f>
        <v>2.5691791501851782</v>
      </c>
      <c r="AB60" s="3">
        <f t="shared" si="286"/>
        <v>2.5526541369189135</v>
      </c>
      <c r="AC60" s="3">
        <f t="shared" ref="AC60:AD60" si="287">AC59/(AC7*1000)</f>
        <v>2.5595252938203319</v>
      </c>
      <c r="AD60" s="3">
        <f t="shared" si="287"/>
        <v>2.5594171495438767</v>
      </c>
      <c r="AE60" s="3">
        <f t="shared" ref="AE60:AF60" si="288">AE59/(AE7*1000)</f>
        <v>2.5469416736486123</v>
      </c>
      <c r="AF60" s="3">
        <f t="shared" si="288"/>
        <v>2.5327812650488726</v>
      </c>
      <c r="AG60" s="3"/>
    </row>
    <row r="61" spans="1:34" ht="15.75" x14ac:dyDescent="0.2">
      <c r="A61" s="20" t="s">
        <v>48</v>
      </c>
      <c r="B61" s="18" t="s">
        <v>39</v>
      </c>
      <c r="C61" s="3">
        <f>((3.4565*31)+(3.376*30)+(C2*C60))/(31+30+C2)</f>
        <v>3.4067443453070347</v>
      </c>
      <c r="D61" s="3">
        <f t="shared" ref="D61:F61" si="289">((3.4565*31)+(3.376*30)+(D2*D60))/(31+30+D2)</f>
        <v>3.4020706142147987</v>
      </c>
      <c r="E61" s="3">
        <f t="shared" si="289"/>
        <v>3.3943837707996902</v>
      </c>
      <c r="F61" s="3">
        <f t="shared" si="289"/>
        <v>3.3874521093308294</v>
      </c>
      <c r="G61" s="3">
        <f t="shared" ref="G61" si="290">((3.4565*31)+(3.376*30)+(G2*G60))/(31+30+G2)</f>
        <v>3.3803996149925331</v>
      </c>
      <c r="H61" s="3">
        <f t="shared" ref="H61:I61" si="291">((3.4565*31)+(3.376*30)+(H2*H60))/(31+30+H2)</f>
        <v>3.3711927473829557</v>
      </c>
      <c r="I61" s="3">
        <f t="shared" si="291"/>
        <v>3.3578579022676482</v>
      </c>
      <c r="J61" s="3">
        <f t="shared" ref="J61:K61" si="292">((3.4565*31)+(3.376*30)+(J2*J60))/(31+30+J2)</f>
        <v>3.3458533364324765</v>
      </c>
      <c r="K61" s="3">
        <f t="shared" si="292"/>
        <v>3.3372640569623786</v>
      </c>
      <c r="L61" s="3">
        <f t="shared" ref="L61" si="293">((3.4565*31)+(3.376*30)+(L2*L60))/(31+30+L2)</f>
        <v>3.3229407185637454</v>
      </c>
      <c r="M61" s="3">
        <f t="shared" ref="M61" si="294">((3.4565*31)+(3.376*30)+(M2*M60))/(31+30+M2)</f>
        <v>3.3139856408121853</v>
      </c>
      <c r="N61" s="3">
        <f t="shared" ref="N61" si="295">((3.4565*31)+(3.376*30)+(N2*N60))/(31+30+N2)</f>
        <v>3.3038160398287637</v>
      </c>
      <c r="O61" s="3">
        <f t="shared" ref="O61" si="296">((3.4565*31)+(3.376*30)+(O2*O60))/(31+30+O2)</f>
        <v>3.2932243846853035</v>
      </c>
      <c r="P61" s="3">
        <f t="shared" ref="P61" si="297">((3.4565*31)+(3.376*30)+(P2*P60))/(31+30+P2)</f>
        <v>3.279824582749522</v>
      </c>
      <c r="Q61" s="3">
        <f t="shared" ref="Q61" si="298">((3.4565*31)+(3.376*30)+(Q2*Q60))/(31+30+Q2)</f>
        <v>3.2716440932362878</v>
      </c>
      <c r="R61" s="3">
        <f t="shared" ref="R61:S61" si="299">((3.4565*31)+(3.376*30)+(R2*R60))/(31+30+R2)</f>
        <v>3.2635474088919678</v>
      </c>
      <c r="S61" s="3">
        <f t="shared" si="299"/>
        <v>3.2527193196028308</v>
      </c>
      <c r="T61" s="3">
        <f t="shared" ref="T61" si="300">((3.4565*31)+(3.376*30)+(T2*T60))/(31+30+T2)</f>
        <v>3.2432637575011678</v>
      </c>
      <c r="U61" s="3">
        <f t="shared" ref="U61" si="301">((3.4565*31)+(3.376*30)+(U2*U60))/(31+30+U2)</f>
        <v>3.2321160259387156</v>
      </c>
      <c r="V61" s="3">
        <f t="shared" ref="V61" si="302">((3.4565*31)+(3.376*30)+(V2*V60))/(31+30+V2)</f>
        <v>3.2238162407049864</v>
      </c>
      <c r="W61" s="3">
        <f t="shared" ref="W61" si="303">((3.4565*31)+(3.376*30)+(W2*W60))/(31+30+W2)</f>
        <v>3.21316900086418</v>
      </c>
      <c r="X61" s="3">
        <f t="shared" ref="X61" si="304">((3.4565*31)+(3.376*30)+(X2*X60))/(31+30+X2)</f>
        <v>3.2029285071181111</v>
      </c>
      <c r="Y61" s="3">
        <f t="shared" ref="Y61" si="305">((3.4565*31)+(3.376*30)+(Y2*Y60))/(31+30+Y2)</f>
        <v>3.1930267139715558</v>
      </c>
      <c r="Z61" s="3">
        <f t="shared" ref="Z61:AA61" si="306">((3.4565*31)+(3.376*30)+(Z2*Z60))/(31+30+Z2)</f>
        <v>3.1811728384382185</v>
      </c>
      <c r="AA61" s="3">
        <f t="shared" si="306"/>
        <v>3.1704764971468542</v>
      </c>
      <c r="AB61" s="3">
        <f t="shared" ref="AB61" si="307">((3.4565*31)+(3.376*30)+(AB2*AB60))/(31+30+AB2)</f>
        <v>3.1586265236769164</v>
      </c>
      <c r="AC61" s="3">
        <f t="shared" ref="AC61" si="308">((3.4565*31)+(3.376*30)+(AC2*AC60))/(31+30+AC2)</f>
        <v>3.1538486696948742</v>
      </c>
      <c r="AD61" s="3">
        <f t="shared" ref="AD61" si="309">((3.4565*31)+(3.376*30)+(AD2*AD60))/(31+30+AD2)</f>
        <v>3.1471368560362758</v>
      </c>
      <c r="AE61" s="3">
        <f t="shared" ref="AE61" si="310">((3.4565*31)+(3.376*30)+(AE2*AE60))/(31+30+AE2)</f>
        <v>3.1365867615089971</v>
      </c>
      <c r="AF61" s="3">
        <f t="shared" ref="AF61" si="311">((3.4565*31)+(3.376*30)+(AF2*AF60))/(31+30+AF2)</f>
        <v>3.1254388785875404</v>
      </c>
      <c r="AG61" s="3"/>
      <c r="AH61" s="58"/>
    </row>
    <row r="62" spans="1:34" ht="15.75" x14ac:dyDescent="0.2">
      <c r="A62" s="20" t="s">
        <v>49</v>
      </c>
      <c r="B62" s="18" t="s">
        <v>50</v>
      </c>
      <c r="C62" s="3"/>
      <c r="D62" s="3"/>
      <c r="E62" s="3"/>
      <c r="F62" s="3"/>
      <c r="G62" s="3"/>
      <c r="H62" s="3"/>
      <c r="I62" s="3"/>
      <c r="J62" s="3"/>
      <c r="K62" s="3"/>
      <c r="L62" s="3"/>
      <c r="M62" s="3"/>
      <c r="N62" s="3"/>
      <c r="O62" s="3"/>
      <c r="P62" s="3"/>
      <c r="Q62" s="3"/>
      <c r="R62" s="3"/>
      <c r="S62" s="239"/>
      <c r="T62" s="239"/>
      <c r="U62" s="239"/>
      <c r="V62" s="239"/>
      <c r="W62" s="239"/>
      <c r="X62" s="239"/>
      <c r="Y62" s="239"/>
      <c r="Z62" s="239"/>
      <c r="AA62" s="3"/>
      <c r="AB62" s="3"/>
      <c r="AC62" s="3"/>
      <c r="AD62" s="3"/>
      <c r="AE62" s="3"/>
      <c r="AF62" s="3"/>
      <c r="AG62" s="3"/>
    </row>
    <row r="63" spans="1:34" ht="31.5" x14ac:dyDescent="0.2">
      <c r="A63" s="149" t="s">
        <v>51</v>
      </c>
      <c r="B63" s="323"/>
      <c r="C63" s="108"/>
      <c r="D63" s="108"/>
      <c r="E63" s="108"/>
      <c r="F63" s="108"/>
      <c r="G63" s="108"/>
      <c r="H63" s="108"/>
      <c r="I63" s="108"/>
      <c r="J63" s="108"/>
      <c r="K63" s="108"/>
      <c r="L63" s="108"/>
      <c r="M63" s="108"/>
      <c r="N63" s="108"/>
      <c r="O63" s="108"/>
      <c r="P63" s="108"/>
      <c r="Q63" s="108"/>
      <c r="R63" s="108"/>
      <c r="S63" s="108"/>
      <c r="T63" s="108"/>
      <c r="U63" s="108"/>
      <c r="V63" s="108"/>
      <c r="W63" s="108"/>
      <c r="X63" s="108"/>
      <c r="Y63" s="108"/>
      <c r="Z63" s="108"/>
      <c r="AA63" s="108"/>
      <c r="AB63" s="108"/>
      <c r="AC63" s="108"/>
      <c r="AD63" s="108"/>
      <c r="AE63" s="108"/>
      <c r="AF63" s="108"/>
      <c r="AG63" s="108"/>
    </row>
    <row r="64" spans="1:34" ht="15" x14ac:dyDescent="0.2">
      <c r="A64" s="17" t="s">
        <v>6</v>
      </c>
      <c r="B64" s="18" t="s">
        <v>52</v>
      </c>
      <c r="C64" s="3">
        <v>1</v>
      </c>
      <c r="D64" s="3">
        <v>0</v>
      </c>
      <c r="E64" s="3">
        <v>1.75</v>
      </c>
      <c r="F64" s="3">
        <v>0</v>
      </c>
      <c r="G64" s="3">
        <v>4</v>
      </c>
      <c r="H64" s="3">
        <v>0</v>
      </c>
      <c r="I64" s="3">
        <v>11</v>
      </c>
      <c r="J64" s="3">
        <v>0</v>
      </c>
      <c r="K64" s="3">
        <v>0</v>
      </c>
      <c r="L64" s="3">
        <v>5</v>
      </c>
      <c r="M64" s="3">
        <v>0</v>
      </c>
      <c r="N64" s="3">
        <v>0</v>
      </c>
      <c r="O64" s="3">
        <v>1</v>
      </c>
      <c r="P64" s="3">
        <v>10</v>
      </c>
      <c r="Q64" s="3">
        <v>1</v>
      </c>
      <c r="R64" s="3">
        <v>0</v>
      </c>
      <c r="S64" s="3">
        <v>7</v>
      </c>
      <c r="T64" s="3">
        <v>0</v>
      </c>
      <c r="U64" s="3">
        <v>0</v>
      </c>
      <c r="V64" s="3">
        <v>8.5</v>
      </c>
      <c r="W64" s="3">
        <v>0</v>
      </c>
      <c r="X64" s="3">
        <v>0</v>
      </c>
      <c r="Y64" s="3">
        <v>0</v>
      </c>
      <c r="Z64" s="3">
        <v>2.5</v>
      </c>
      <c r="AA64" s="3">
        <v>0</v>
      </c>
      <c r="AB64" s="3">
        <v>0</v>
      </c>
      <c r="AC64" s="3">
        <v>0</v>
      </c>
      <c r="AD64" s="3">
        <v>0</v>
      </c>
      <c r="AE64" s="3">
        <v>0</v>
      </c>
      <c r="AF64" s="3">
        <v>0</v>
      </c>
      <c r="AG64" s="3"/>
    </row>
    <row r="65" spans="1:33" ht="15" x14ac:dyDescent="0.2">
      <c r="A65" s="17" t="s">
        <v>7</v>
      </c>
      <c r="B65" s="18" t="s">
        <v>53</v>
      </c>
      <c r="C65" s="3">
        <f>C64</f>
        <v>1</v>
      </c>
      <c r="D65" s="3">
        <f t="shared" ref="D65:AF65" si="312">D64+C65</f>
        <v>1</v>
      </c>
      <c r="E65" s="3">
        <f t="shared" si="312"/>
        <v>2.75</v>
      </c>
      <c r="F65" s="3">
        <f t="shared" si="312"/>
        <v>2.75</v>
      </c>
      <c r="G65" s="3">
        <f t="shared" si="312"/>
        <v>6.75</v>
      </c>
      <c r="H65" s="3">
        <f t="shared" si="312"/>
        <v>6.75</v>
      </c>
      <c r="I65" s="3">
        <f t="shared" si="312"/>
        <v>17.75</v>
      </c>
      <c r="J65" s="3">
        <f t="shared" si="312"/>
        <v>17.75</v>
      </c>
      <c r="K65" s="3">
        <f t="shared" si="312"/>
        <v>17.75</v>
      </c>
      <c r="L65" s="3">
        <f t="shared" si="312"/>
        <v>22.75</v>
      </c>
      <c r="M65" s="3">
        <f t="shared" si="312"/>
        <v>22.75</v>
      </c>
      <c r="N65" s="3">
        <f t="shared" si="312"/>
        <v>22.75</v>
      </c>
      <c r="O65" s="3">
        <f t="shared" si="312"/>
        <v>23.75</v>
      </c>
      <c r="P65" s="3">
        <f t="shared" si="312"/>
        <v>33.75</v>
      </c>
      <c r="Q65" s="3">
        <f t="shared" si="312"/>
        <v>34.75</v>
      </c>
      <c r="R65" s="3">
        <f t="shared" si="312"/>
        <v>34.75</v>
      </c>
      <c r="S65" s="3">
        <f t="shared" si="312"/>
        <v>41.75</v>
      </c>
      <c r="T65" s="3">
        <f t="shared" si="312"/>
        <v>41.75</v>
      </c>
      <c r="U65" s="3">
        <f t="shared" si="312"/>
        <v>41.75</v>
      </c>
      <c r="V65" s="3">
        <f t="shared" si="312"/>
        <v>50.25</v>
      </c>
      <c r="W65" s="3">
        <f t="shared" si="312"/>
        <v>50.25</v>
      </c>
      <c r="X65" s="3">
        <f t="shared" si="312"/>
        <v>50.25</v>
      </c>
      <c r="Y65" s="3">
        <f t="shared" si="312"/>
        <v>50.25</v>
      </c>
      <c r="Z65" s="3">
        <f t="shared" si="312"/>
        <v>52.75</v>
      </c>
      <c r="AA65" s="3">
        <f t="shared" si="312"/>
        <v>52.75</v>
      </c>
      <c r="AB65" s="3">
        <f t="shared" si="312"/>
        <v>52.75</v>
      </c>
      <c r="AC65" s="3">
        <f t="shared" si="312"/>
        <v>52.75</v>
      </c>
      <c r="AD65" s="3">
        <f t="shared" si="312"/>
        <v>52.75</v>
      </c>
      <c r="AE65" s="3">
        <f t="shared" si="312"/>
        <v>52.75</v>
      </c>
      <c r="AF65" s="3">
        <f t="shared" si="312"/>
        <v>52.75</v>
      </c>
      <c r="AG65" s="3"/>
    </row>
    <row r="66" spans="1:33" ht="15" x14ac:dyDescent="0.2">
      <c r="A66" s="17" t="s">
        <v>27</v>
      </c>
      <c r="B66" s="18" t="s">
        <v>53</v>
      </c>
      <c r="C66" s="267">
        <f t="shared" ref="C66:H66" si="313">155.2+C65</f>
        <v>156.19999999999999</v>
      </c>
      <c r="D66" s="267">
        <f t="shared" si="313"/>
        <v>156.19999999999999</v>
      </c>
      <c r="E66" s="267">
        <f t="shared" si="313"/>
        <v>157.94999999999999</v>
      </c>
      <c r="F66" s="267">
        <f t="shared" si="313"/>
        <v>157.94999999999999</v>
      </c>
      <c r="G66" s="267">
        <f t="shared" si="313"/>
        <v>161.94999999999999</v>
      </c>
      <c r="H66" s="267">
        <f t="shared" si="313"/>
        <v>161.94999999999999</v>
      </c>
      <c r="I66" s="267">
        <f t="shared" ref="I66:J66" si="314">155.2+I65</f>
        <v>172.95</v>
      </c>
      <c r="J66" s="267">
        <f t="shared" si="314"/>
        <v>172.95</v>
      </c>
      <c r="K66" s="267">
        <f t="shared" ref="K66:L66" si="315">155.2+K65</f>
        <v>172.95</v>
      </c>
      <c r="L66" s="267">
        <f t="shared" si="315"/>
        <v>177.95</v>
      </c>
      <c r="M66" s="267">
        <f t="shared" ref="M66:N66" si="316">155.2+M65</f>
        <v>177.95</v>
      </c>
      <c r="N66" s="267">
        <f t="shared" si="316"/>
        <v>177.95</v>
      </c>
      <c r="O66" s="267">
        <f t="shared" ref="O66:P66" si="317">155.2+O65</f>
        <v>178.95</v>
      </c>
      <c r="P66" s="267">
        <f t="shared" si="317"/>
        <v>188.95</v>
      </c>
      <c r="Q66" s="267">
        <f t="shared" ref="Q66:R66" si="318">155.2+Q65</f>
        <v>189.95</v>
      </c>
      <c r="R66" s="267">
        <f t="shared" si="318"/>
        <v>189.95</v>
      </c>
      <c r="S66" s="267">
        <f t="shared" ref="S66:T66" si="319">155.2+S65</f>
        <v>196.95</v>
      </c>
      <c r="T66" s="267">
        <f t="shared" si="319"/>
        <v>196.95</v>
      </c>
      <c r="U66" s="267">
        <f t="shared" ref="U66:V66" si="320">155.2+U65</f>
        <v>196.95</v>
      </c>
      <c r="V66" s="267">
        <f t="shared" si="320"/>
        <v>205.45</v>
      </c>
      <c r="W66" s="267">
        <f t="shared" ref="W66:X66" si="321">155.2+W65</f>
        <v>205.45</v>
      </c>
      <c r="X66" s="267">
        <f t="shared" si="321"/>
        <v>205.45</v>
      </c>
      <c r="Y66" s="267">
        <f t="shared" ref="Y66:Z66" si="322">155.2+Y65</f>
        <v>205.45</v>
      </c>
      <c r="Z66" s="267">
        <f t="shared" si="322"/>
        <v>207.95</v>
      </c>
      <c r="AA66" s="267">
        <f t="shared" ref="AA66:AB66" si="323">155.2+AA65</f>
        <v>207.95</v>
      </c>
      <c r="AB66" s="267">
        <f t="shared" si="323"/>
        <v>207.95</v>
      </c>
      <c r="AC66" s="267">
        <f t="shared" ref="AC66:AD66" si="324">155.2+AC65</f>
        <v>207.95</v>
      </c>
      <c r="AD66" s="267">
        <f t="shared" si="324"/>
        <v>207.95</v>
      </c>
      <c r="AE66" s="267">
        <f t="shared" ref="AE66:AF66" si="325">155.2+AE65</f>
        <v>207.95</v>
      </c>
      <c r="AF66" s="267">
        <f t="shared" si="325"/>
        <v>207.95</v>
      </c>
      <c r="AG66" s="267"/>
    </row>
    <row r="67" spans="1:33" ht="31.5" x14ac:dyDescent="0.2">
      <c r="A67" s="149" t="s">
        <v>54</v>
      </c>
      <c r="B67" s="323"/>
      <c r="C67" s="108"/>
      <c r="D67" s="108"/>
      <c r="E67" s="108"/>
      <c r="F67" s="108"/>
      <c r="G67" s="108"/>
      <c r="H67" s="108"/>
      <c r="I67" s="108"/>
      <c r="J67" s="108"/>
      <c r="K67" s="108"/>
      <c r="L67" s="108"/>
      <c r="M67" s="108"/>
      <c r="N67" s="108"/>
      <c r="O67" s="108"/>
      <c r="P67" s="108"/>
      <c r="Q67" s="108"/>
      <c r="R67" s="108"/>
      <c r="S67" s="108"/>
      <c r="T67" s="108"/>
      <c r="U67" s="108"/>
      <c r="V67" s="108"/>
      <c r="W67" s="108"/>
      <c r="X67" s="108"/>
      <c r="Y67" s="108"/>
      <c r="Z67" s="108"/>
      <c r="AA67" s="108"/>
      <c r="AB67" s="290"/>
      <c r="AC67" s="290"/>
      <c r="AD67" s="290"/>
      <c r="AE67" s="290"/>
      <c r="AF67" s="290"/>
      <c r="AG67" s="290"/>
    </row>
    <row r="68" spans="1:33" ht="15" x14ac:dyDescent="0.2">
      <c r="A68" s="17" t="s">
        <v>6</v>
      </c>
      <c r="B68" s="18" t="s">
        <v>52</v>
      </c>
      <c r="C68" s="3">
        <v>0</v>
      </c>
      <c r="D68" s="3">
        <v>0</v>
      </c>
      <c r="E68" s="3">
        <v>0</v>
      </c>
      <c r="F68" s="3">
        <v>0</v>
      </c>
      <c r="G68" s="3">
        <v>0</v>
      </c>
      <c r="H68" s="3">
        <v>0</v>
      </c>
      <c r="I68" s="3">
        <v>8</v>
      </c>
      <c r="J68" s="3">
        <v>0</v>
      </c>
      <c r="K68" s="3">
        <v>0</v>
      </c>
      <c r="L68" s="3">
        <v>0</v>
      </c>
      <c r="M68" s="3">
        <v>0</v>
      </c>
      <c r="N68" s="3">
        <v>0</v>
      </c>
      <c r="O68" s="3">
        <v>0</v>
      </c>
      <c r="P68" s="3">
        <v>8</v>
      </c>
      <c r="Q68" s="3">
        <v>0</v>
      </c>
      <c r="R68" s="3">
        <v>0</v>
      </c>
      <c r="S68" s="3">
        <v>0</v>
      </c>
      <c r="T68" s="3">
        <v>0</v>
      </c>
      <c r="U68" s="3">
        <v>0</v>
      </c>
      <c r="V68" s="3">
        <v>0</v>
      </c>
      <c r="W68" s="3">
        <v>0</v>
      </c>
      <c r="X68" s="3">
        <v>0</v>
      </c>
      <c r="Y68" s="3">
        <v>0</v>
      </c>
      <c r="Z68" s="3">
        <v>0</v>
      </c>
      <c r="AA68" s="3">
        <v>0</v>
      </c>
      <c r="AB68" s="3">
        <v>0</v>
      </c>
      <c r="AC68" s="3">
        <v>0</v>
      </c>
      <c r="AD68" s="3">
        <v>0</v>
      </c>
      <c r="AE68" s="3">
        <v>0</v>
      </c>
      <c r="AF68" s="3">
        <v>0</v>
      </c>
      <c r="AG68" s="3"/>
    </row>
    <row r="69" spans="1:33" ht="15" x14ac:dyDescent="0.2">
      <c r="A69" s="17" t="s">
        <v>7</v>
      </c>
      <c r="B69" s="18" t="s">
        <v>53</v>
      </c>
      <c r="C69" s="3">
        <f t="shared" ref="C69" si="326">C68</f>
        <v>0</v>
      </c>
      <c r="D69" s="3">
        <f t="shared" ref="D69:AF69" si="327">D68+C69</f>
        <v>0</v>
      </c>
      <c r="E69" s="3">
        <f t="shared" si="327"/>
        <v>0</v>
      </c>
      <c r="F69" s="3">
        <f t="shared" si="327"/>
        <v>0</v>
      </c>
      <c r="G69" s="3">
        <f t="shared" si="327"/>
        <v>0</v>
      </c>
      <c r="H69" s="3">
        <f t="shared" si="327"/>
        <v>0</v>
      </c>
      <c r="I69" s="3">
        <f t="shared" si="327"/>
        <v>8</v>
      </c>
      <c r="J69" s="3">
        <f t="shared" si="327"/>
        <v>8</v>
      </c>
      <c r="K69" s="3">
        <f t="shared" si="327"/>
        <v>8</v>
      </c>
      <c r="L69" s="3">
        <f t="shared" si="327"/>
        <v>8</v>
      </c>
      <c r="M69" s="3">
        <f t="shared" si="327"/>
        <v>8</v>
      </c>
      <c r="N69" s="3">
        <f t="shared" si="327"/>
        <v>8</v>
      </c>
      <c r="O69" s="3">
        <f t="shared" si="327"/>
        <v>8</v>
      </c>
      <c r="P69" s="3">
        <f t="shared" si="327"/>
        <v>16</v>
      </c>
      <c r="Q69" s="3">
        <f t="shared" si="327"/>
        <v>16</v>
      </c>
      <c r="R69" s="3">
        <f t="shared" si="327"/>
        <v>16</v>
      </c>
      <c r="S69" s="3">
        <f t="shared" si="327"/>
        <v>16</v>
      </c>
      <c r="T69" s="3">
        <f t="shared" si="327"/>
        <v>16</v>
      </c>
      <c r="U69" s="3">
        <f t="shared" si="327"/>
        <v>16</v>
      </c>
      <c r="V69" s="3">
        <f t="shared" si="327"/>
        <v>16</v>
      </c>
      <c r="W69" s="3">
        <f t="shared" si="327"/>
        <v>16</v>
      </c>
      <c r="X69" s="3">
        <f t="shared" si="327"/>
        <v>16</v>
      </c>
      <c r="Y69" s="3">
        <f t="shared" si="327"/>
        <v>16</v>
      </c>
      <c r="Z69" s="3">
        <f t="shared" si="327"/>
        <v>16</v>
      </c>
      <c r="AA69" s="3">
        <f t="shared" si="327"/>
        <v>16</v>
      </c>
      <c r="AB69" s="3">
        <f t="shared" si="327"/>
        <v>16</v>
      </c>
      <c r="AC69" s="3">
        <f t="shared" si="327"/>
        <v>16</v>
      </c>
      <c r="AD69" s="3">
        <f t="shared" si="327"/>
        <v>16</v>
      </c>
      <c r="AE69" s="3">
        <f t="shared" si="327"/>
        <v>16</v>
      </c>
      <c r="AF69" s="3">
        <f t="shared" si="327"/>
        <v>16</v>
      </c>
      <c r="AG69" s="3"/>
    </row>
    <row r="70" spans="1:33" ht="15" x14ac:dyDescent="0.2">
      <c r="A70" s="17" t="s">
        <v>27</v>
      </c>
      <c r="B70" s="18" t="s">
        <v>53</v>
      </c>
      <c r="C70" s="267">
        <f t="shared" ref="C70:H70" si="328">82+C69</f>
        <v>82</v>
      </c>
      <c r="D70" s="267">
        <f t="shared" si="328"/>
        <v>82</v>
      </c>
      <c r="E70" s="267">
        <f t="shared" si="328"/>
        <v>82</v>
      </c>
      <c r="F70" s="267">
        <f t="shared" si="328"/>
        <v>82</v>
      </c>
      <c r="G70" s="267">
        <f t="shared" si="328"/>
        <v>82</v>
      </c>
      <c r="H70" s="267">
        <f t="shared" si="328"/>
        <v>82</v>
      </c>
      <c r="I70" s="267">
        <f t="shared" ref="I70:J70" si="329">82+I69</f>
        <v>90</v>
      </c>
      <c r="J70" s="267">
        <f t="shared" si="329"/>
        <v>90</v>
      </c>
      <c r="K70" s="267">
        <f t="shared" ref="K70:L70" si="330">82+K69</f>
        <v>90</v>
      </c>
      <c r="L70" s="267">
        <f t="shared" si="330"/>
        <v>90</v>
      </c>
      <c r="M70" s="267">
        <f t="shared" ref="M70:N70" si="331">82+M69</f>
        <v>90</v>
      </c>
      <c r="N70" s="267">
        <f t="shared" si="331"/>
        <v>90</v>
      </c>
      <c r="O70" s="267">
        <f t="shared" ref="O70:P70" si="332">82+O69</f>
        <v>90</v>
      </c>
      <c r="P70" s="267">
        <f t="shared" si="332"/>
        <v>98</v>
      </c>
      <c r="Q70" s="267">
        <f t="shared" ref="Q70:R70" si="333">82+Q69</f>
        <v>98</v>
      </c>
      <c r="R70" s="267">
        <f t="shared" si="333"/>
        <v>98</v>
      </c>
      <c r="S70" s="267">
        <f t="shared" ref="S70:T70" si="334">82+S69</f>
        <v>98</v>
      </c>
      <c r="T70" s="267">
        <f t="shared" si="334"/>
        <v>98</v>
      </c>
      <c r="U70" s="267">
        <f t="shared" ref="U70:V70" si="335">82+U69</f>
        <v>98</v>
      </c>
      <c r="V70" s="267">
        <f t="shared" si="335"/>
        <v>98</v>
      </c>
      <c r="W70" s="267">
        <f t="shared" ref="W70:X70" si="336">82+W69</f>
        <v>98</v>
      </c>
      <c r="X70" s="267">
        <f t="shared" si="336"/>
        <v>98</v>
      </c>
      <c r="Y70" s="267">
        <f t="shared" ref="Y70:Z70" si="337">82+Y69</f>
        <v>98</v>
      </c>
      <c r="Z70" s="267">
        <f t="shared" si="337"/>
        <v>98</v>
      </c>
      <c r="AA70" s="267">
        <f t="shared" ref="AA70:AB70" si="338">82+AA69</f>
        <v>98</v>
      </c>
      <c r="AB70" s="267">
        <f t="shared" si="338"/>
        <v>98</v>
      </c>
      <c r="AC70" s="267">
        <f t="shared" ref="AC70:AD70" si="339">82+AC69</f>
        <v>98</v>
      </c>
      <c r="AD70" s="267">
        <f t="shared" si="339"/>
        <v>98</v>
      </c>
      <c r="AE70" s="267">
        <f t="shared" ref="AE70:AF70" si="340">82+AE69</f>
        <v>98</v>
      </c>
      <c r="AF70" s="267">
        <f t="shared" si="340"/>
        <v>98</v>
      </c>
      <c r="AG70" s="267"/>
    </row>
    <row r="71" spans="1:33" ht="15" x14ac:dyDescent="0.2">
      <c r="A71" s="17"/>
      <c r="B71" s="18"/>
      <c r="C71" s="267"/>
      <c r="D71" s="267"/>
      <c r="E71" s="267"/>
      <c r="F71" s="267"/>
      <c r="G71" s="267"/>
      <c r="H71" s="267"/>
      <c r="I71" s="267"/>
      <c r="J71" s="267"/>
      <c r="K71" s="267"/>
      <c r="L71" s="267"/>
      <c r="M71" s="267"/>
      <c r="N71" s="267"/>
      <c r="O71" s="267"/>
      <c r="P71" s="267"/>
      <c r="Q71" s="267"/>
      <c r="R71" s="267"/>
      <c r="S71" s="267"/>
      <c r="T71" s="267"/>
      <c r="U71" s="267"/>
      <c r="V71" s="267"/>
      <c r="W71" s="267"/>
      <c r="X71" s="290"/>
      <c r="Y71" s="290"/>
      <c r="Z71" s="290"/>
      <c r="AA71" s="290"/>
      <c r="AB71" s="290"/>
      <c r="AC71" s="290"/>
      <c r="AD71" s="290"/>
      <c r="AE71" s="290"/>
      <c r="AF71" s="290"/>
      <c r="AG71" s="290"/>
    </row>
    <row r="72" spans="1:33" ht="18" x14ac:dyDescent="0.2">
      <c r="A72" s="291"/>
      <c r="B72" s="291"/>
      <c r="C72" s="291"/>
      <c r="D72" s="444" t="s">
        <v>55</v>
      </c>
      <c r="E72" s="444"/>
      <c r="F72" s="444"/>
      <c r="G72" s="444"/>
      <c r="H72" s="444"/>
      <c r="I72" s="444"/>
      <c r="J72" s="444"/>
      <c r="K72" s="444"/>
      <c r="L72" s="444"/>
      <c r="M72" s="444"/>
      <c r="N72" s="444"/>
      <c r="O72" s="444"/>
      <c r="P72" s="444"/>
      <c r="Q72" s="444"/>
      <c r="R72" s="444"/>
      <c r="S72" s="444"/>
      <c r="T72" s="444"/>
      <c r="U72" s="444"/>
      <c r="V72" s="444"/>
      <c r="X72" s="68"/>
      <c r="AB72" s="324"/>
    </row>
    <row r="73" spans="1:33" x14ac:dyDescent="0.2">
      <c r="X73" s="58"/>
    </row>
    <row r="74" spans="1:33" x14ac:dyDescent="0.2">
      <c r="A74" s="242"/>
    </row>
    <row r="75" spans="1:33" x14ac:dyDescent="0.2">
      <c r="A75" s="242"/>
    </row>
    <row r="76" spans="1:33" x14ac:dyDescent="0.2">
      <c r="A76" s="242"/>
    </row>
    <row r="77" spans="1:33" x14ac:dyDescent="0.2">
      <c r="A77" s="242"/>
    </row>
  </sheetData>
  <mergeCells count="18">
    <mergeCell ref="A14:B14"/>
    <mergeCell ref="A4:B4"/>
    <mergeCell ref="B1:AF1"/>
    <mergeCell ref="C4:AG4"/>
    <mergeCell ref="C14:AG14"/>
    <mergeCell ref="A13:AG13"/>
    <mergeCell ref="C3:AG3"/>
    <mergeCell ref="D72:V72"/>
    <mergeCell ref="A39:B39"/>
    <mergeCell ref="A18:B18"/>
    <mergeCell ref="A30:B30"/>
    <mergeCell ref="A34:B34"/>
    <mergeCell ref="C18:AG18"/>
    <mergeCell ref="C30:AG30"/>
    <mergeCell ref="C34:AG34"/>
    <mergeCell ref="C39:AG39"/>
    <mergeCell ref="A26:B26"/>
    <mergeCell ref="C26:AG26"/>
  </mergeCells>
  <phoneticPr fontId="24" type="noConversion"/>
  <printOptions horizontalCentered="1" verticalCentered="1"/>
  <pageMargins left="0" right="0" top="0" bottom="0" header="0" footer="0"/>
  <pageSetup paperSize="9" scale="40" orientation="landscape" horizontalDpi="300" verticalDpi="300" r:id="rId1"/>
  <headerFooter alignWithMargins="0"/>
  <ignoredErrors>
    <ignoredError sqref="C59:D59" formula="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B1:AS218"/>
  <sheetViews>
    <sheetView topLeftCell="Q1" zoomScale="80" zoomScaleNormal="80" workbookViewId="0">
      <selection activeCell="AQ11" sqref="AQ11"/>
    </sheetView>
  </sheetViews>
  <sheetFormatPr defaultColWidth="9" defaultRowHeight="12.75" x14ac:dyDescent="0.2"/>
  <cols>
    <col min="1" max="1" width="4.140625" style="150" customWidth="1"/>
    <col min="2" max="2" width="19.140625" style="150" customWidth="1"/>
    <col min="3" max="3" width="20.42578125" style="151" customWidth="1"/>
    <col min="4" max="4" width="12.7109375" style="151" customWidth="1"/>
    <col min="5" max="5" width="10.85546875" style="151" bestFit="1" customWidth="1"/>
    <col min="6" max="6" width="13.42578125" style="150" customWidth="1"/>
    <col min="7" max="7" width="11.140625" style="150" customWidth="1"/>
    <col min="8" max="8" width="11.7109375" style="150" customWidth="1"/>
    <col min="9" max="9" width="10.7109375" style="150" customWidth="1"/>
    <col min="10" max="13" width="8.42578125" style="150" customWidth="1"/>
    <col min="14" max="14" width="18.28515625" style="150" customWidth="1"/>
    <col min="15" max="15" width="11.7109375" style="150" bestFit="1" customWidth="1"/>
    <col min="16" max="19" width="8.42578125" style="150" customWidth="1"/>
    <col min="20" max="23" width="8.42578125" style="151" customWidth="1"/>
    <col min="24" max="37" width="8.42578125" style="150" customWidth="1"/>
    <col min="38" max="38" width="9" style="150"/>
    <col min="39" max="39" width="7.7109375" style="150" bestFit="1" customWidth="1"/>
    <col min="40" max="16384" width="9" style="150"/>
  </cols>
  <sheetData>
    <row r="1" spans="2:45" x14ac:dyDescent="0.2">
      <c r="N1" s="152" t="s">
        <v>189</v>
      </c>
      <c r="O1" s="152">
        <v>1</v>
      </c>
      <c r="P1" s="152">
        <v>2</v>
      </c>
      <c r="Q1" s="152">
        <v>3</v>
      </c>
      <c r="R1" s="152">
        <v>4</v>
      </c>
      <c r="S1" s="152">
        <v>5</v>
      </c>
      <c r="T1" s="152">
        <v>6</v>
      </c>
      <c r="U1" s="152">
        <v>7</v>
      </c>
      <c r="V1" s="152">
        <v>8</v>
      </c>
      <c r="W1" s="152">
        <v>9</v>
      </c>
      <c r="X1" s="152">
        <v>10</v>
      </c>
      <c r="Y1" s="152">
        <v>11</v>
      </c>
      <c r="Z1" s="152">
        <v>12</v>
      </c>
      <c r="AA1" s="152">
        <v>13</v>
      </c>
      <c r="AB1" s="152">
        <v>14</v>
      </c>
      <c r="AC1" s="152">
        <v>15</v>
      </c>
      <c r="AD1" s="152">
        <v>16</v>
      </c>
      <c r="AE1" s="152">
        <v>17</v>
      </c>
      <c r="AF1" s="152">
        <v>18</v>
      </c>
      <c r="AG1" s="152">
        <v>19</v>
      </c>
      <c r="AH1" s="152">
        <v>20</v>
      </c>
      <c r="AI1" s="152">
        <v>21</v>
      </c>
      <c r="AJ1" s="152">
        <v>22</v>
      </c>
      <c r="AK1" s="152">
        <v>23</v>
      </c>
      <c r="AL1" s="152">
        <v>24</v>
      </c>
      <c r="AM1" s="152">
        <v>25</v>
      </c>
      <c r="AN1" s="152">
        <v>26</v>
      </c>
      <c r="AO1" s="152">
        <v>27</v>
      </c>
      <c r="AP1" s="152">
        <v>28</v>
      </c>
      <c r="AQ1" s="152">
        <v>29</v>
      </c>
      <c r="AR1" s="152">
        <v>30</v>
      </c>
      <c r="AS1" s="152">
        <v>31</v>
      </c>
    </row>
    <row r="2" spans="2:45" s="153" customFormat="1" ht="42.75" customHeight="1" thickBot="1" x14ac:dyDescent="0.25">
      <c r="B2" s="154" t="s">
        <v>392</v>
      </c>
      <c r="C2" s="335"/>
      <c r="D2" s="155" t="s">
        <v>393</v>
      </c>
      <c r="E2" s="335"/>
      <c r="F2" s="335"/>
      <c r="M2" s="567" t="s">
        <v>394</v>
      </c>
      <c r="N2" s="156" t="s">
        <v>395</v>
      </c>
      <c r="O2" s="232">
        <f>G41</f>
        <v>0.99001596244919088</v>
      </c>
      <c r="P2" s="232">
        <f t="shared" ref="P2:AR2" si="0">H41</f>
        <v>0.98065942706593401</v>
      </c>
      <c r="Q2" s="232">
        <f t="shared" si="0"/>
        <v>1.011354516021896</v>
      </c>
      <c r="R2" s="232">
        <f t="shared" si="0"/>
        <v>1.0455277238675602</v>
      </c>
      <c r="S2" s="232">
        <f t="shared" si="0"/>
        <v>1.0450126518943044</v>
      </c>
      <c r="T2" s="232">
        <f t="shared" si="0"/>
        <v>1.0201366439383659</v>
      </c>
      <c r="U2" s="232">
        <f t="shared" si="0"/>
        <v>1.0481492652204001</v>
      </c>
      <c r="V2" s="232">
        <f t="shared" si="0"/>
        <v>1.0325266737808092</v>
      </c>
      <c r="W2" s="232">
        <f t="shared" si="0"/>
        <v>1.0549259056916547</v>
      </c>
      <c r="X2" s="232">
        <f t="shared" si="0"/>
        <v>1.0620307790010732</v>
      </c>
      <c r="Y2" s="232">
        <f t="shared" si="0"/>
        <v>1.032997226326146</v>
      </c>
      <c r="Z2" s="232">
        <f t="shared" si="0"/>
        <v>1.0541527160112463</v>
      </c>
      <c r="AA2" s="232">
        <f t="shared" si="0"/>
        <v>1.0259821516708023</v>
      </c>
      <c r="AB2" s="232">
        <f t="shared" si="0"/>
        <v>0.99984851142760856</v>
      </c>
      <c r="AC2" s="232">
        <f t="shared" si="0"/>
        <v>0.99601115043421551</v>
      </c>
      <c r="AD2" s="232">
        <f t="shared" si="0"/>
        <v>1.0038788611730702</v>
      </c>
      <c r="AE2" s="232">
        <f t="shared" si="0"/>
        <v>1.0158118723762646</v>
      </c>
      <c r="AF2" s="232">
        <f t="shared" si="0"/>
        <v>1.029320230248042</v>
      </c>
      <c r="AG2" s="232">
        <f t="shared" si="0"/>
        <v>0.99426807830492803</v>
      </c>
      <c r="AH2" s="232">
        <f t="shared" si="0"/>
        <v>0.97828771687073013</v>
      </c>
      <c r="AI2" s="232">
        <f t="shared" si="0"/>
        <v>0.96973723244160948</v>
      </c>
      <c r="AJ2" s="232">
        <f t="shared" si="0"/>
        <v>1.0335474627115342</v>
      </c>
      <c r="AK2" s="232">
        <f t="shared" si="0"/>
        <v>1.0618210746878018</v>
      </c>
      <c r="AL2" s="232">
        <f t="shared" si="0"/>
        <v>1.0777382778935913</v>
      </c>
      <c r="AM2" s="232">
        <f t="shared" si="0"/>
        <v>1.0830574353976989</v>
      </c>
      <c r="AN2" s="232">
        <f t="shared" si="0"/>
        <v>0.96596378947486139</v>
      </c>
      <c r="AO2" s="232">
        <f t="shared" si="0"/>
        <v>0.94423336996168661</v>
      </c>
      <c r="AP2" s="232">
        <f t="shared" si="0"/>
        <v>0.95231591365190871</v>
      </c>
      <c r="AQ2" s="232">
        <f t="shared" si="0"/>
        <v>1.0123737853561472</v>
      </c>
      <c r="AR2" s="232">
        <f t="shared" si="0"/>
        <v>1.093357260291558</v>
      </c>
      <c r="AS2" s="232">
        <f>AK41</f>
        <v>0</v>
      </c>
    </row>
    <row r="3" spans="2:45" s="153" customFormat="1" ht="38.25" customHeight="1" thickBot="1" x14ac:dyDescent="0.25">
      <c r="B3" s="154"/>
      <c r="C3" s="335"/>
      <c r="D3" s="565" t="s">
        <v>450</v>
      </c>
      <c r="E3" s="566"/>
      <c r="F3" s="565" t="s">
        <v>485</v>
      </c>
      <c r="G3" s="566"/>
      <c r="H3" s="565" t="s">
        <v>486</v>
      </c>
      <c r="I3" s="566"/>
      <c r="J3" s="568"/>
      <c r="K3" s="568"/>
      <c r="L3" s="157"/>
      <c r="M3" s="567"/>
      <c r="N3" s="156" t="s">
        <v>396</v>
      </c>
      <c r="O3" s="232">
        <f>G76</f>
        <v>1.0083999717648007</v>
      </c>
      <c r="P3" s="232">
        <f t="shared" ref="P3:AS3" si="1">H76</f>
        <v>1.0083999717648007</v>
      </c>
      <c r="Q3" s="232">
        <f t="shared" si="1"/>
        <v>1.0083999717648007</v>
      </c>
      <c r="R3" s="232">
        <f t="shared" si="1"/>
        <v>1.0083999717648007</v>
      </c>
      <c r="S3" s="232">
        <f t="shared" si="1"/>
        <v>1.0083999717648007</v>
      </c>
      <c r="T3" s="232">
        <f t="shared" si="1"/>
        <v>1.0083999717648007</v>
      </c>
      <c r="U3" s="232">
        <f t="shared" si="1"/>
        <v>1.0083999717648007</v>
      </c>
      <c r="V3" s="232">
        <f t="shared" si="1"/>
        <v>1.0083999717648007</v>
      </c>
      <c r="W3" s="232">
        <f t="shared" si="1"/>
        <v>1.0083999717648007</v>
      </c>
      <c r="X3" s="232">
        <f t="shared" si="1"/>
        <v>1.0083999717648007</v>
      </c>
      <c r="Y3" s="232">
        <f t="shared" si="1"/>
        <v>1.0083999717648007</v>
      </c>
      <c r="Z3" s="232">
        <f t="shared" si="1"/>
        <v>1.0083999717648007</v>
      </c>
      <c r="AA3" s="232">
        <f t="shared" si="1"/>
        <v>1.0083999717648007</v>
      </c>
      <c r="AB3" s="232">
        <f t="shared" si="1"/>
        <v>1.0083999717648007</v>
      </c>
      <c r="AC3" s="232">
        <f t="shared" si="1"/>
        <v>1.0083999717648007</v>
      </c>
      <c r="AD3" s="232">
        <f t="shared" si="1"/>
        <v>1.0083999717648007</v>
      </c>
      <c r="AE3" s="232">
        <f t="shared" si="1"/>
        <v>1.0083999717648007</v>
      </c>
      <c r="AF3" s="232">
        <f t="shared" si="1"/>
        <v>1.0083999717648007</v>
      </c>
      <c r="AG3" s="232">
        <f t="shared" si="1"/>
        <v>1.0083999717648007</v>
      </c>
      <c r="AH3" s="232">
        <f t="shared" si="1"/>
        <v>1.0083999717648007</v>
      </c>
      <c r="AI3" s="232">
        <f t="shared" si="1"/>
        <v>1.0083999717648007</v>
      </c>
      <c r="AJ3" s="232">
        <f t="shared" si="1"/>
        <v>1.0083999717648007</v>
      </c>
      <c r="AK3" s="232">
        <f t="shared" si="1"/>
        <v>1.0083999717648007</v>
      </c>
      <c r="AL3" s="232">
        <f t="shared" si="1"/>
        <v>1.0083999717648007</v>
      </c>
      <c r="AM3" s="232">
        <f t="shared" si="1"/>
        <v>1.0083999717648007</v>
      </c>
      <c r="AN3" s="232">
        <f t="shared" si="1"/>
        <v>1.0083999717648007</v>
      </c>
      <c r="AO3" s="232">
        <f t="shared" si="1"/>
        <v>1.0083999717648007</v>
      </c>
      <c r="AP3" s="232">
        <f t="shared" si="1"/>
        <v>1.0083999717648007</v>
      </c>
      <c r="AQ3" s="232">
        <f t="shared" si="1"/>
        <v>1.0083999717648007</v>
      </c>
      <c r="AR3" s="232">
        <f t="shared" si="1"/>
        <v>1.0083999717648007</v>
      </c>
      <c r="AS3" s="232">
        <f t="shared" si="1"/>
        <v>0</v>
      </c>
    </row>
    <row r="4" spans="2:45" s="153" customFormat="1" ht="60.75" customHeight="1" thickBot="1" x14ac:dyDescent="0.25">
      <c r="B4" s="154"/>
      <c r="C4" s="158" t="s">
        <v>522</v>
      </c>
      <c r="D4" s="334" t="s">
        <v>397</v>
      </c>
      <c r="E4" s="334" t="s">
        <v>398</v>
      </c>
      <c r="F4" s="334" t="s">
        <v>397</v>
      </c>
      <c r="G4" s="334" t="s">
        <v>398</v>
      </c>
      <c r="H4" s="334" t="s">
        <v>397</v>
      </c>
      <c r="I4" s="334" t="s">
        <v>398</v>
      </c>
      <c r="J4" s="335"/>
      <c r="K4" s="335"/>
      <c r="L4" s="157"/>
      <c r="M4" s="567"/>
      <c r="N4" s="156" t="s">
        <v>399</v>
      </c>
      <c r="O4" s="232">
        <f>G111</f>
        <v>0.99037129465416784</v>
      </c>
      <c r="P4" s="232">
        <f>H111</f>
        <v>0.96916775306748471</v>
      </c>
      <c r="Q4" s="232">
        <f t="shared" ref="Q4:AS4" si="2">I111</f>
        <v>0.99396629100422629</v>
      </c>
      <c r="R4" s="232">
        <f t="shared" si="2"/>
        <v>1.0180125723816202</v>
      </c>
      <c r="S4" s="232">
        <f t="shared" si="2"/>
        <v>1.013871446104099</v>
      </c>
      <c r="T4" s="232">
        <f t="shared" si="2"/>
        <v>0.98377348974978562</v>
      </c>
      <c r="U4" s="232">
        <f t="shared" si="2"/>
        <v>1.0233753709198816</v>
      </c>
      <c r="V4" s="232">
        <f t="shared" si="2"/>
        <v>1.0248315950772586</v>
      </c>
      <c r="W4" s="232">
        <f t="shared" si="2"/>
        <v>1.0283578767662969</v>
      </c>
      <c r="X4" s="232">
        <f t="shared" si="2"/>
        <v>1.0107024615384614</v>
      </c>
      <c r="Y4" s="232">
        <f t="shared" si="2"/>
        <v>0.99420916516750135</v>
      </c>
      <c r="Z4" s="232">
        <f t="shared" si="2"/>
        <v>1.0140699980431362</v>
      </c>
      <c r="AA4" s="232">
        <f t="shared" si="2"/>
        <v>0.98220873786407781</v>
      </c>
      <c r="AB4" s="232">
        <f>T111</f>
        <v>0.99138951105744322</v>
      </c>
      <c r="AC4" s="232">
        <f t="shared" si="2"/>
        <v>0.98252915129543583</v>
      </c>
      <c r="AD4" s="232">
        <f t="shared" si="2"/>
        <v>0.98799005091217651</v>
      </c>
      <c r="AE4" s="232">
        <f t="shared" si="2"/>
        <v>0.98976619377398811</v>
      </c>
      <c r="AF4" s="232">
        <f t="shared" si="2"/>
        <v>0.99887022947167792</v>
      </c>
      <c r="AG4" s="232">
        <f t="shared" si="2"/>
        <v>0.98928810625181829</v>
      </c>
      <c r="AH4" s="232">
        <f t="shared" si="2"/>
        <v>0.99765521533414292</v>
      </c>
      <c r="AI4" s="232">
        <f t="shared" si="2"/>
        <v>1.0169403917795794</v>
      </c>
      <c r="AJ4" s="232">
        <f t="shared" si="2"/>
        <v>1.0081639333922039</v>
      </c>
      <c r="AK4" s="232">
        <f t="shared" si="2"/>
        <v>1.0267197999166315</v>
      </c>
      <c r="AL4" s="232">
        <f t="shared" si="2"/>
        <v>1.0349360454436083</v>
      </c>
      <c r="AM4" s="232">
        <f t="shared" si="2"/>
        <v>1.042625557653601</v>
      </c>
      <c r="AN4" s="232">
        <f t="shared" si="2"/>
        <v>1.0053745772598024</v>
      </c>
      <c r="AO4" s="232">
        <f t="shared" si="2"/>
        <v>0.99898609927339388</v>
      </c>
      <c r="AP4" s="232">
        <f t="shared" si="2"/>
        <v>1.0222973066777732</v>
      </c>
      <c r="AQ4" s="232">
        <f t="shared" si="2"/>
        <v>1.0203716822089821</v>
      </c>
      <c r="AR4" s="232">
        <f t="shared" si="2"/>
        <v>1.0575440946523504</v>
      </c>
      <c r="AS4" s="232" t="e">
        <f t="shared" si="2"/>
        <v>#DIV/0!</v>
      </c>
    </row>
    <row r="5" spans="2:45" s="153" customFormat="1" ht="25.5" customHeight="1" thickBot="1" x14ac:dyDescent="0.25">
      <c r="B5" s="159" t="s">
        <v>395</v>
      </c>
      <c r="C5" s="249">
        <v>97.927000000000007</v>
      </c>
      <c r="D5" s="249">
        <v>83.264986175115212</v>
      </c>
      <c r="E5" s="250">
        <v>73.21036686347928</v>
      </c>
      <c r="F5" s="249">
        <v>99.11</v>
      </c>
      <c r="G5" s="250">
        <v>103.72870217559765</v>
      </c>
      <c r="H5" s="249">
        <v>97.991935483870961</v>
      </c>
      <c r="I5" s="250">
        <v>103.63978682135659</v>
      </c>
      <c r="K5" s="339"/>
      <c r="L5" s="157"/>
      <c r="M5" s="567"/>
      <c r="N5" s="156" t="s">
        <v>400</v>
      </c>
      <c r="O5" s="232">
        <f>G180</f>
        <v>1.0100139726027397</v>
      </c>
      <c r="P5" s="232">
        <f t="shared" ref="P5:AS5" si="3">H180</f>
        <v>1.0171439726027396</v>
      </c>
      <c r="Q5" s="232">
        <f t="shared" si="3"/>
        <v>1.0220742465753425</v>
      </c>
      <c r="R5" s="232">
        <f t="shared" si="3"/>
        <v>1.0622978082191781</v>
      </c>
      <c r="S5" s="232">
        <f t="shared" si="3"/>
        <v>1.0695169863013698</v>
      </c>
      <c r="T5" s="232">
        <f t="shared" si="3"/>
        <v>1.0573675342465754</v>
      </c>
      <c r="U5" s="232">
        <f t="shared" si="3"/>
        <v>1.0568069863013698</v>
      </c>
      <c r="V5" s="232">
        <f t="shared" si="3"/>
        <v>1.041417397260274</v>
      </c>
      <c r="W5" s="232">
        <f t="shared" si="3"/>
        <v>1.0633509589041097</v>
      </c>
      <c r="X5" s="232">
        <f t="shared" si="3"/>
        <v>1.0784050684931508</v>
      </c>
      <c r="Y5" s="232">
        <f t="shared" si="3"/>
        <v>1.0686549315068492</v>
      </c>
      <c r="Z5" s="232">
        <f>R180</f>
        <v>1.0589302739726025</v>
      </c>
      <c r="AA5" s="232">
        <f t="shared" si="3"/>
        <v>1.0478636986301371</v>
      </c>
      <c r="AB5" s="232">
        <f t="shared" si="3"/>
        <v>1.0065317808219179</v>
      </c>
      <c r="AC5" s="232">
        <f t="shared" si="3"/>
        <v>1.013071506849315</v>
      </c>
      <c r="AD5" s="232">
        <f t="shared" si="3"/>
        <v>1.0180612328767122</v>
      </c>
      <c r="AE5" s="232">
        <f t="shared" si="3"/>
        <v>1.0324868493150685</v>
      </c>
      <c r="AF5" s="232">
        <f t="shared" si="3"/>
        <v>1.0306608219178082</v>
      </c>
      <c r="AG5" s="232">
        <f t="shared" si="3"/>
        <v>1.0012023287671232</v>
      </c>
      <c r="AH5" s="232">
        <f t="shared" si="3"/>
        <v>0.99195753424657529</v>
      </c>
      <c r="AI5" s="232">
        <f t="shared" si="3"/>
        <v>0.97867849315068489</v>
      </c>
      <c r="AJ5" s="232">
        <f t="shared" si="3"/>
        <v>1.038928904109589</v>
      </c>
      <c r="AK5" s="232">
        <f>AC180</f>
        <v>1.0688417808219177</v>
      </c>
      <c r="AL5" s="232">
        <f t="shared" si="3"/>
        <v>1.0904568493150684</v>
      </c>
      <c r="AM5" s="232">
        <f t="shared" si="3"/>
        <v>1.1006698630136986</v>
      </c>
      <c r="AN5" s="232">
        <f t="shared" si="3"/>
        <v>0.97949383561643832</v>
      </c>
      <c r="AO5" s="232">
        <f t="shared" si="3"/>
        <v>0.95474054794520546</v>
      </c>
      <c r="AP5" s="232">
        <f t="shared" si="3"/>
        <v>0.95653684931506844</v>
      </c>
      <c r="AQ5" s="232">
        <f t="shared" si="3"/>
        <v>0.99111671232876708</v>
      </c>
      <c r="AR5" s="232">
        <f t="shared" si="3"/>
        <v>1.088957808219178</v>
      </c>
      <c r="AS5" s="232">
        <f t="shared" si="3"/>
        <v>0</v>
      </c>
    </row>
    <row r="6" spans="2:45" s="153" customFormat="1" ht="25.5" customHeight="1" thickBot="1" x14ac:dyDescent="0.25">
      <c r="B6" s="159" t="s">
        <v>396</v>
      </c>
      <c r="C6" s="249">
        <v>99.167000000000002</v>
      </c>
      <c r="D6" s="249">
        <v>79.569892473118287</v>
      </c>
      <c r="E6" s="250">
        <v>69.78</v>
      </c>
      <c r="F6" s="249">
        <v>99.7</v>
      </c>
      <c r="G6" s="250">
        <v>100</v>
      </c>
      <c r="H6" s="249">
        <v>99.731182795698928</v>
      </c>
      <c r="I6" s="250">
        <v>100</v>
      </c>
      <c r="K6" s="339"/>
      <c r="L6" s="157"/>
      <c r="M6" s="567"/>
      <c r="N6" s="156" t="s">
        <v>401</v>
      </c>
      <c r="O6" s="232">
        <f>G213</f>
        <v>1.0100139726027397</v>
      </c>
      <c r="P6" s="232">
        <f t="shared" ref="P6:AS6" si="4">H213</f>
        <v>1.0171439726027396</v>
      </c>
      <c r="Q6" s="232">
        <f t="shared" si="4"/>
        <v>1.0220742465753425</v>
      </c>
      <c r="R6" s="232">
        <f t="shared" si="4"/>
        <v>1.0622978082191781</v>
      </c>
      <c r="S6" s="232">
        <f t="shared" si="4"/>
        <v>1.0695169863013698</v>
      </c>
      <c r="T6" s="232">
        <f t="shared" si="4"/>
        <v>1.0573675342465754</v>
      </c>
      <c r="U6" s="232">
        <f t="shared" si="4"/>
        <v>1.0568069863013698</v>
      </c>
      <c r="V6" s="232">
        <f t="shared" si="4"/>
        <v>1.041417397260274</v>
      </c>
      <c r="W6" s="232">
        <f t="shared" si="4"/>
        <v>1.0633509589041097</v>
      </c>
      <c r="X6" s="232">
        <f t="shared" si="4"/>
        <v>1.0784050684931508</v>
      </c>
      <c r="Y6" s="232">
        <f t="shared" si="4"/>
        <v>1.0686549315068492</v>
      </c>
      <c r="Z6" s="232">
        <f t="shared" si="4"/>
        <v>1.0589302739726025</v>
      </c>
      <c r="AA6" s="232">
        <f t="shared" si="4"/>
        <v>1.0478636986301371</v>
      </c>
      <c r="AB6" s="232">
        <f t="shared" si="4"/>
        <v>1.0065317808219179</v>
      </c>
      <c r="AC6" s="232">
        <f t="shared" si="4"/>
        <v>1.013071506849315</v>
      </c>
      <c r="AD6" s="232">
        <f t="shared" si="4"/>
        <v>1.0180612328767122</v>
      </c>
      <c r="AE6" s="232">
        <f t="shared" si="4"/>
        <v>1.0324868493150685</v>
      </c>
      <c r="AF6" s="232">
        <f t="shared" si="4"/>
        <v>1.0306608219178082</v>
      </c>
      <c r="AG6" s="232">
        <f t="shared" si="4"/>
        <v>1.0012023287671232</v>
      </c>
      <c r="AH6" s="232">
        <f t="shared" si="4"/>
        <v>0.99195753424657529</v>
      </c>
      <c r="AI6" s="232">
        <f t="shared" si="4"/>
        <v>0.97867849315068489</v>
      </c>
      <c r="AJ6" s="232">
        <f t="shared" si="4"/>
        <v>1.038928904109589</v>
      </c>
      <c r="AK6" s="232">
        <f t="shared" si="4"/>
        <v>1.0688417808219177</v>
      </c>
      <c r="AL6" s="232">
        <f t="shared" si="4"/>
        <v>1.0904568493150684</v>
      </c>
      <c r="AM6" s="232">
        <f t="shared" si="4"/>
        <v>1.1006698630136986</v>
      </c>
      <c r="AN6" s="232">
        <f t="shared" si="4"/>
        <v>0.97949383561643832</v>
      </c>
      <c r="AO6" s="232">
        <f t="shared" si="4"/>
        <v>0.95474054794520546</v>
      </c>
      <c r="AP6" s="232">
        <f t="shared" si="4"/>
        <v>0.95653684931506844</v>
      </c>
      <c r="AQ6" s="232">
        <f t="shared" si="4"/>
        <v>0.99111671232876708</v>
      </c>
      <c r="AR6" s="232">
        <f t="shared" si="4"/>
        <v>1.088957808219178</v>
      </c>
      <c r="AS6" s="232">
        <f t="shared" si="4"/>
        <v>0</v>
      </c>
    </row>
    <row r="7" spans="2:45" s="153" customFormat="1" ht="25.5" customHeight="1" thickBot="1" x14ac:dyDescent="0.25">
      <c r="B7" s="159" t="s">
        <v>402</v>
      </c>
      <c r="C7" s="249">
        <v>7.05</v>
      </c>
      <c r="D7" s="249">
        <v>7.5879363753917044</v>
      </c>
      <c r="E7" s="250">
        <v>6.92</v>
      </c>
      <c r="F7" s="249">
        <v>7.1</v>
      </c>
      <c r="G7" s="250">
        <v>6.7048972643466209</v>
      </c>
      <c r="H7" s="249">
        <v>7.3347881451612906</v>
      </c>
      <c r="I7" s="250">
        <v>6.7158695984441765</v>
      </c>
      <c r="K7" s="339"/>
      <c r="L7" s="157"/>
      <c r="M7" s="567"/>
      <c r="N7" s="156" t="s">
        <v>403</v>
      </c>
      <c r="O7" s="232">
        <f>G146</f>
        <v>1.6222459893048127</v>
      </c>
      <c r="P7" s="232">
        <f t="shared" ref="P7:AS7" si="5">H146</f>
        <v>1.5443147208121826</v>
      </c>
      <c r="Q7" s="232">
        <f t="shared" si="5"/>
        <v>1.7984302325581396</v>
      </c>
      <c r="R7" s="232">
        <f t="shared" si="5"/>
        <v>1.633523316062176</v>
      </c>
      <c r="S7" s="232">
        <f t="shared" si="5"/>
        <v>1.3851541850220266</v>
      </c>
      <c r="T7" s="232">
        <f t="shared" si="5"/>
        <v>1.5690909090909091</v>
      </c>
      <c r="U7" s="232">
        <f>M146</f>
        <v>1.5780904522613066</v>
      </c>
      <c r="V7" s="232">
        <f t="shared" si="5"/>
        <v>1.5470805101634117</v>
      </c>
      <c r="W7" s="232">
        <f t="shared" si="5"/>
        <v>1.5804753309265946</v>
      </c>
      <c r="X7" s="232">
        <f t="shared" si="5"/>
        <v>1.5849</v>
      </c>
      <c r="Y7" s="232">
        <f t="shared" si="5"/>
        <v>1.6026639344262295</v>
      </c>
      <c r="Z7" s="232">
        <f>R146</f>
        <v>1.5540271229281097</v>
      </c>
      <c r="AA7" s="232">
        <f t="shared" si="5"/>
        <v>1.692507719811474</v>
      </c>
      <c r="AB7" s="232">
        <f t="shared" si="5"/>
        <v>1.6958113730929265</v>
      </c>
      <c r="AC7" s="232">
        <f t="shared" si="5"/>
        <v>1.565685019206146</v>
      </c>
      <c r="AD7" s="232">
        <f t="shared" si="5"/>
        <v>1.4777665851201613</v>
      </c>
      <c r="AE7" s="232">
        <f t="shared" si="5"/>
        <v>1.6346031746031744</v>
      </c>
      <c r="AF7" s="232">
        <f t="shared" si="5"/>
        <v>1.5340206185567014</v>
      </c>
      <c r="AG7" s="232">
        <f t="shared" si="5"/>
        <v>1.6819780219780218</v>
      </c>
      <c r="AH7" s="232">
        <f t="shared" si="5"/>
        <v>1.4552615148167716</v>
      </c>
      <c r="AI7" s="232">
        <f t="shared" si="5"/>
        <v>1.5258033597336429</v>
      </c>
      <c r="AJ7" s="232">
        <f t="shared" si="5"/>
        <v>1.5496039603960394</v>
      </c>
      <c r="AK7" s="232">
        <f t="shared" si="5"/>
        <v>1.6554404145077724</v>
      </c>
      <c r="AL7" s="232">
        <f t="shared" si="5"/>
        <v>1.6785077132962536</v>
      </c>
      <c r="AM7" s="232">
        <f t="shared" si="5"/>
        <v>1.621756688541141</v>
      </c>
      <c r="AN7" s="232">
        <f t="shared" si="5"/>
        <v>1.264273993352127</v>
      </c>
      <c r="AO7" s="232">
        <f t="shared" si="5"/>
        <v>1.1771894904458597</v>
      </c>
      <c r="AP7" s="232">
        <f t="shared" si="5"/>
        <v>1.4358381502890174</v>
      </c>
      <c r="AQ7" s="232">
        <f t="shared" si="5"/>
        <v>1.4526389537599254</v>
      </c>
      <c r="AR7" s="232">
        <f t="shared" si="5"/>
        <v>1.5646153846153847</v>
      </c>
      <c r="AS7" s="232" t="e">
        <f t="shared" si="5"/>
        <v>#DIV/0!</v>
      </c>
    </row>
    <row r="8" spans="2:45" s="153" customFormat="1" ht="25.5" customHeight="1" x14ac:dyDescent="0.2">
      <c r="B8" s="159" t="s">
        <v>400</v>
      </c>
      <c r="C8" s="249">
        <v>73</v>
      </c>
      <c r="D8" s="249">
        <v>62.036814736333909</v>
      </c>
      <c r="E8" s="250">
        <v>55.124000000000002</v>
      </c>
      <c r="F8" s="249">
        <v>69.45</v>
      </c>
      <c r="G8" s="250">
        <v>73.780256000000008</v>
      </c>
      <c r="H8" s="249">
        <v>73.215877677475362</v>
      </c>
      <c r="I8" s="250">
        <v>78.169412499999979</v>
      </c>
      <c r="K8" s="339"/>
      <c r="T8" s="335"/>
      <c r="U8" s="335"/>
      <c r="V8" s="335"/>
      <c r="W8" s="335"/>
    </row>
    <row r="9" spans="2:45" s="153" customFormat="1" ht="25.5" customHeight="1" x14ac:dyDescent="0.2">
      <c r="B9" s="159" t="s">
        <v>401</v>
      </c>
      <c r="C9" s="249">
        <v>73</v>
      </c>
      <c r="D9" s="249">
        <v>62.036814736333909</v>
      </c>
      <c r="E9" s="250">
        <v>55.124000000000002</v>
      </c>
      <c r="F9" s="249">
        <v>69.45</v>
      </c>
      <c r="G9" s="250">
        <v>73.780256000000008</v>
      </c>
      <c r="H9" s="249">
        <v>73.215877677475362</v>
      </c>
      <c r="I9" s="250">
        <v>78.169412499999979</v>
      </c>
      <c r="K9" s="339"/>
      <c r="T9" s="335"/>
      <c r="U9" s="335"/>
      <c r="V9" s="335"/>
      <c r="W9" s="335"/>
    </row>
    <row r="10" spans="2:45" s="153" customFormat="1" ht="25.5" customHeight="1" x14ac:dyDescent="0.2">
      <c r="B10" s="159" t="s">
        <v>403</v>
      </c>
      <c r="C10" s="251">
        <v>3</v>
      </c>
      <c r="D10" s="251">
        <v>3</v>
      </c>
      <c r="E10" s="250">
        <v>3.8</v>
      </c>
      <c r="F10" s="251">
        <v>3</v>
      </c>
      <c r="G10" s="250">
        <v>1.81</v>
      </c>
      <c r="H10" s="251">
        <v>3</v>
      </c>
      <c r="I10" s="250">
        <v>1.82</v>
      </c>
      <c r="K10" s="231"/>
      <c r="T10" s="335"/>
      <c r="U10" s="335"/>
      <c r="V10" s="335"/>
      <c r="W10" s="335"/>
    </row>
    <row r="11" spans="2:45" ht="36.75" customHeight="1" x14ac:dyDescent="0.2"/>
    <row r="12" spans="2:45" ht="48" customHeight="1" x14ac:dyDescent="0.2">
      <c r="F12" s="559"/>
      <c r="G12" s="559"/>
      <c r="H12" s="559"/>
      <c r="I12" s="559"/>
      <c r="J12" s="559"/>
      <c r="K12" s="559"/>
      <c r="L12" s="559"/>
      <c r="M12" s="559"/>
      <c r="N12" s="559"/>
      <c r="O12" s="559"/>
      <c r="P12" s="559"/>
      <c r="Q12" s="559"/>
      <c r="R12" s="559"/>
      <c r="S12" s="559"/>
      <c r="T12" s="559"/>
      <c r="U12" s="559"/>
      <c r="V12" s="559"/>
      <c r="W12" s="559"/>
    </row>
    <row r="13" spans="2:45" ht="15" customHeight="1" x14ac:dyDescent="0.2">
      <c r="B13" s="160" t="s">
        <v>404</v>
      </c>
    </row>
    <row r="14" spans="2:45" ht="55.5" customHeight="1" x14ac:dyDescent="0.2">
      <c r="AD14" s="560"/>
      <c r="AE14" s="560"/>
      <c r="AF14" s="560"/>
      <c r="AG14" s="560"/>
      <c r="AH14" s="560"/>
    </row>
    <row r="15" spans="2:45" ht="17.25" customHeight="1" x14ac:dyDescent="0.2">
      <c r="C15" s="161"/>
      <c r="D15" s="161"/>
      <c r="F15" s="160"/>
      <c r="G15" s="160"/>
      <c r="H15" s="160"/>
      <c r="I15" s="160"/>
      <c r="J15" s="160"/>
      <c r="K15" s="160"/>
      <c r="L15" s="160"/>
      <c r="M15" s="160"/>
      <c r="N15" s="160"/>
      <c r="O15" s="160"/>
      <c r="P15" s="160"/>
      <c r="Q15" s="160"/>
      <c r="R15" s="160"/>
      <c r="S15" s="160"/>
      <c r="T15" s="160"/>
      <c r="U15" s="160"/>
      <c r="V15" s="160"/>
      <c r="W15" s="160"/>
      <c r="AE15" s="561"/>
      <c r="AF15" s="561"/>
      <c r="AG15" s="561"/>
      <c r="AH15" s="561"/>
    </row>
    <row r="16" spans="2:45" x14ac:dyDescent="0.2">
      <c r="T16" s="150"/>
      <c r="U16" s="150"/>
      <c r="V16" s="150"/>
      <c r="W16" s="150"/>
      <c r="AE16" s="561"/>
      <c r="AF16" s="561"/>
      <c r="AG16" s="561"/>
      <c r="AH16" s="561"/>
    </row>
    <row r="30" spans="2:5" ht="31.5" customHeight="1" x14ac:dyDescent="0.2"/>
    <row r="31" spans="2:5" s="162" customFormat="1" ht="20.100000000000001" customHeight="1" x14ac:dyDescent="0.2">
      <c r="B31" s="163" t="s">
        <v>405</v>
      </c>
      <c r="C31" s="164" t="str">
        <f>D3</f>
        <v>Jan'24</v>
      </c>
      <c r="D31" s="164" t="str">
        <f>F3</f>
        <v>Feb'24</v>
      </c>
      <c r="E31" s="164" t="str">
        <f>H3</f>
        <v>March'24</v>
      </c>
    </row>
    <row r="32" spans="2:5" ht="20.100000000000001" customHeight="1" x14ac:dyDescent="0.2">
      <c r="B32" s="165" t="s">
        <v>397</v>
      </c>
      <c r="C32" s="166">
        <v>94</v>
      </c>
      <c r="D32" s="166">
        <v>94</v>
      </c>
      <c r="E32" s="166">
        <v>94</v>
      </c>
    </row>
    <row r="33" spans="2:37" ht="20.100000000000001" customHeight="1" x14ac:dyDescent="0.2">
      <c r="B33" s="165" t="s">
        <v>398</v>
      </c>
      <c r="C33" s="166">
        <v>89.66</v>
      </c>
      <c r="D33" s="166">
        <v>85.427467357910913</v>
      </c>
      <c r="E33" s="166">
        <v>88.17</v>
      </c>
    </row>
    <row r="34" spans="2:37" ht="20.100000000000001" customHeight="1" thickBot="1" x14ac:dyDescent="0.25">
      <c r="B34" s="165"/>
      <c r="C34" s="166"/>
      <c r="D34" s="166"/>
      <c r="E34" s="166"/>
    </row>
    <row r="35" spans="2:37" ht="20.100000000000001" customHeight="1" thickBot="1" x14ac:dyDescent="0.25">
      <c r="B35" s="167" t="s">
        <v>394</v>
      </c>
      <c r="C35" s="233">
        <f>C33/C32</f>
        <v>0.95382978723404255</v>
      </c>
      <c r="D35" s="233">
        <f>D33/D32</f>
        <v>0.90880284423309488</v>
      </c>
      <c r="E35" s="234">
        <f>E33/E32</f>
        <v>0.93797872340425537</v>
      </c>
      <c r="F35" s="168" t="s">
        <v>406</v>
      </c>
      <c r="G35" s="169">
        <v>1</v>
      </c>
      <c r="H35" s="169">
        <v>2</v>
      </c>
      <c r="I35" s="169">
        <v>3</v>
      </c>
      <c r="J35" s="169">
        <v>4</v>
      </c>
      <c r="K35" s="169">
        <v>5</v>
      </c>
      <c r="L35" s="169">
        <v>6</v>
      </c>
      <c r="M35" s="169">
        <v>7</v>
      </c>
      <c r="N35" s="169">
        <v>8</v>
      </c>
      <c r="O35" s="169">
        <v>9</v>
      </c>
      <c r="P35" s="169">
        <v>10</v>
      </c>
      <c r="Q35" s="169">
        <v>11</v>
      </c>
      <c r="R35" s="169">
        <v>12</v>
      </c>
      <c r="S35" s="169">
        <v>13</v>
      </c>
      <c r="T35" s="169">
        <v>14</v>
      </c>
      <c r="U35" s="169">
        <v>15</v>
      </c>
      <c r="V35" s="169">
        <v>16</v>
      </c>
      <c r="W35" s="169">
        <v>17</v>
      </c>
      <c r="X35" s="169">
        <v>18</v>
      </c>
      <c r="Y35" s="169">
        <v>19</v>
      </c>
      <c r="Z35" s="169">
        <v>20</v>
      </c>
      <c r="AA35" s="169">
        <v>21</v>
      </c>
      <c r="AB35" s="169">
        <v>22</v>
      </c>
      <c r="AC35" s="169">
        <v>23</v>
      </c>
      <c r="AD35" s="169">
        <v>24</v>
      </c>
      <c r="AE35" s="169">
        <v>25</v>
      </c>
      <c r="AF35" s="169">
        <v>26</v>
      </c>
      <c r="AG35" s="169">
        <v>27</v>
      </c>
      <c r="AH35" s="169">
        <v>28</v>
      </c>
      <c r="AI35" s="169">
        <v>29</v>
      </c>
      <c r="AJ35" s="169">
        <v>30</v>
      </c>
      <c r="AK35" s="169">
        <v>31</v>
      </c>
    </row>
    <row r="36" spans="2:37" ht="20.100000000000001" customHeight="1" x14ac:dyDescent="0.2">
      <c r="C36" s="150"/>
      <c r="D36" s="235"/>
      <c r="E36" s="235"/>
      <c r="F36" s="170" t="s">
        <v>407</v>
      </c>
      <c r="G36" s="171">
        <v>1</v>
      </c>
      <c r="H36" s="171">
        <v>2</v>
      </c>
      <c r="I36" s="171">
        <v>3</v>
      </c>
      <c r="J36" s="171">
        <v>4</v>
      </c>
      <c r="K36" s="171">
        <v>5</v>
      </c>
      <c r="L36" s="171">
        <v>6</v>
      </c>
      <c r="M36" s="171">
        <v>7</v>
      </c>
      <c r="N36" s="171">
        <v>8</v>
      </c>
      <c r="O36" s="171">
        <v>9</v>
      </c>
      <c r="P36" s="171">
        <v>10</v>
      </c>
      <c r="Q36" s="171">
        <v>11</v>
      </c>
      <c r="R36" s="171">
        <v>12</v>
      </c>
      <c r="S36" s="171">
        <v>13</v>
      </c>
      <c r="T36" s="171">
        <v>14</v>
      </c>
      <c r="U36" s="171">
        <v>15</v>
      </c>
      <c r="V36" s="171">
        <v>16</v>
      </c>
      <c r="W36" s="171">
        <v>17</v>
      </c>
      <c r="X36" s="171">
        <v>18</v>
      </c>
      <c r="Y36" s="171">
        <v>19</v>
      </c>
      <c r="Z36" s="171">
        <v>20</v>
      </c>
      <c r="AA36" s="171">
        <v>21</v>
      </c>
      <c r="AB36" s="171">
        <v>22</v>
      </c>
      <c r="AC36" s="171">
        <v>23</v>
      </c>
      <c r="AD36" s="171">
        <v>24</v>
      </c>
      <c r="AE36" s="171">
        <v>25</v>
      </c>
      <c r="AF36" s="171">
        <v>26</v>
      </c>
      <c r="AG36" s="171">
        <v>27</v>
      </c>
      <c r="AH36" s="171">
        <v>28</v>
      </c>
      <c r="AI36" s="171">
        <v>29</v>
      </c>
      <c r="AJ36" s="171">
        <v>30</v>
      </c>
      <c r="AK36" s="171">
        <v>31</v>
      </c>
    </row>
    <row r="37" spans="2:37" ht="19.5" customHeight="1" thickBot="1" x14ac:dyDescent="0.25">
      <c r="F37" s="172" t="s">
        <v>397</v>
      </c>
      <c r="G37" s="173">
        <f>$C5</f>
        <v>97.927000000000007</v>
      </c>
      <c r="H37" s="173">
        <f t="shared" ref="H37:AK37" si="6">$C5</f>
        <v>97.927000000000007</v>
      </c>
      <c r="I37" s="173">
        <f t="shared" si="6"/>
        <v>97.927000000000007</v>
      </c>
      <c r="J37" s="173">
        <f t="shared" si="6"/>
        <v>97.927000000000007</v>
      </c>
      <c r="K37" s="173">
        <f t="shared" si="6"/>
        <v>97.927000000000007</v>
      </c>
      <c r="L37" s="173">
        <f t="shared" si="6"/>
        <v>97.927000000000007</v>
      </c>
      <c r="M37" s="173">
        <f t="shared" si="6"/>
        <v>97.927000000000007</v>
      </c>
      <c r="N37" s="173">
        <f t="shared" si="6"/>
        <v>97.927000000000007</v>
      </c>
      <c r="O37" s="173">
        <f t="shared" si="6"/>
        <v>97.927000000000007</v>
      </c>
      <c r="P37" s="173">
        <f t="shared" si="6"/>
        <v>97.927000000000007</v>
      </c>
      <c r="Q37" s="173">
        <f t="shared" si="6"/>
        <v>97.927000000000007</v>
      </c>
      <c r="R37" s="173">
        <f t="shared" si="6"/>
        <v>97.927000000000007</v>
      </c>
      <c r="S37" s="173">
        <f t="shared" si="6"/>
        <v>97.927000000000007</v>
      </c>
      <c r="T37" s="173">
        <f t="shared" si="6"/>
        <v>97.927000000000007</v>
      </c>
      <c r="U37" s="173">
        <f t="shared" si="6"/>
        <v>97.927000000000007</v>
      </c>
      <c r="V37" s="173">
        <f t="shared" si="6"/>
        <v>97.927000000000007</v>
      </c>
      <c r="W37" s="173">
        <f t="shared" si="6"/>
        <v>97.927000000000007</v>
      </c>
      <c r="X37" s="173">
        <f t="shared" si="6"/>
        <v>97.927000000000007</v>
      </c>
      <c r="Y37" s="173">
        <f t="shared" si="6"/>
        <v>97.927000000000007</v>
      </c>
      <c r="Z37" s="173">
        <f t="shared" si="6"/>
        <v>97.927000000000007</v>
      </c>
      <c r="AA37" s="173">
        <f t="shared" si="6"/>
        <v>97.927000000000007</v>
      </c>
      <c r="AB37" s="173">
        <f t="shared" si="6"/>
        <v>97.927000000000007</v>
      </c>
      <c r="AC37" s="173">
        <f t="shared" si="6"/>
        <v>97.927000000000007</v>
      </c>
      <c r="AD37" s="173">
        <f t="shared" si="6"/>
        <v>97.927000000000007</v>
      </c>
      <c r="AE37" s="173">
        <f t="shared" si="6"/>
        <v>97.927000000000007</v>
      </c>
      <c r="AF37" s="173">
        <f t="shared" si="6"/>
        <v>97.927000000000007</v>
      </c>
      <c r="AG37" s="173">
        <f t="shared" si="6"/>
        <v>97.927000000000007</v>
      </c>
      <c r="AH37" s="173">
        <f t="shared" si="6"/>
        <v>97.927000000000007</v>
      </c>
      <c r="AI37" s="173">
        <f t="shared" si="6"/>
        <v>97.927000000000007</v>
      </c>
      <c r="AJ37" s="173">
        <f t="shared" si="6"/>
        <v>97.927000000000007</v>
      </c>
      <c r="AK37" s="173">
        <f t="shared" si="6"/>
        <v>97.927000000000007</v>
      </c>
    </row>
    <row r="38" spans="2:37" ht="19.5" customHeight="1" x14ac:dyDescent="0.2">
      <c r="B38" s="556" t="s">
        <v>408</v>
      </c>
      <c r="C38" s="557"/>
      <c r="D38" s="558"/>
      <c r="F38" s="174" t="s">
        <v>398</v>
      </c>
      <c r="G38" s="173">
        <f>STATION!C15</f>
        <v>96.949293154761918</v>
      </c>
      <c r="H38" s="173">
        <f>STATION!D15</f>
        <v>96.033035714285731</v>
      </c>
      <c r="I38" s="173">
        <f>STATION!E15</f>
        <v>99.038913690476207</v>
      </c>
      <c r="J38" s="173">
        <f>STATION!F15</f>
        <v>102.38539341517858</v>
      </c>
      <c r="K38" s="173">
        <f>STATION!G15</f>
        <v>102.33495396205355</v>
      </c>
      <c r="L38" s="173">
        <f>STATION!H15</f>
        <v>99.898921130952374</v>
      </c>
      <c r="M38" s="173">
        <f>STATION!I15</f>
        <v>102.64211309523812</v>
      </c>
      <c r="N38" s="173">
        <f>STATION!J15</f>
        <v>101.11223958333332</v>
      </c>
      <c r="O38" s="173">
        <f>STATION!K15</f>
        <v>103.30572916666667</v>
      </c>
      <c r="P38" s="173">
        <f>STATION!L15</f>
        <v>104.0014880952381</v>
      </c>
      <c r="Q38" s="173">
        <f>STATION!M15</f>
        <v>101.1583193824405</v>
      </c>
      <c r="R38" s="173">
        <f>STATION!N15</f>
        <v>103.23001302083331</v>
      </c>
      <c r="S38" s="173">
        <f>STATION!O15</f>
        <v>100.47135416666667</v>
      </c>
      <c r="T38" s="173">
        <f>STATION!P15</f>
        <v>97.912165178571428</v>
      </c>
      <c r="U38" s="173">
        <f>STATION!Q15</f>
        <v>97.536383928571425</v>
      </c>
      <c r="V38" s="173">
        <f>STATION!R15</f>
        <v>98.306845238095249</v>
      </c>
      <c r="W38" s="173">
        <f>STATION!S15</f>
        <v>99.475409226190479</v>
      </c>
      <c r="X38" s="173">
        <f>STATION!T15</f>
        <v>100.79824218750001</v>
      </c>
      <c r="Y38" s="173">
        <f>STATION!U15</f>
        <v>97.365690104166688</v>
      </c>
      <c r="Z38" s="173">
        <f>STATION!V15</f>
        <v>95.80078125</v>
      </c>
      <c r="AA38" s="173">
        <f>STATION!W15</f>
        <v>94.963457961309501</v>
      </c>
      <c r="AB38" s="173">
        <f>STATION!X15</f>
        <v>101.21220238095242</v>
      </c>
      <c r="AC38" s="173">
        <f>STATION!Y15</f>
        <v>103.98095238095237</v>
      </c>
      <c r="AD38" s="173">
        <f>STATION!Z15</f>
        <v>105.53967633928573</v>
      </c>
      <c r="AE38" s="173">
        <f>STATION!AA15</f>
        <v>106.06056547619046</v>
      </c>
      <c r="AF38" s="173">
        <f>STATION!AB15</f>
        <v>94.593936011904759</v>
      </c>
      <c r="AG38" s="173">
        <f>STATION!AC15</f>
        <v>92.465941220238093</v>
      </c>
      <c r="AH38" s="173">
        <f>STATION!AD15</f>
        <v>93.257440476190467</v>
      </c>
      <c r="AI38" s="173">
        <f>STATION!AE15</f>
        <v>99.138727678571442</v>
      </c>
      <c r="AJ38" s="173">
        <f>STATION!AF15</f>
        <v>107.06919642857142</v>
      </c>
      <c r="AK38" s="173">
        <f>STATION!AG15</f>
        <v>0</v>
      </c>
    </row>
    <row r="39" spans="2:37" ht="29.25" customHeight="1" x14ac:dyDescent="0.2">
      <c r="B39" s="550" t="s">
        <v>409</v>
      </c>
      <c r="C39" s="175" t="s">
        <v>410</v>
      </c>
      <c r="D39" s="176" t="s">
        <v>411</v>
      </c>
      <c r="F39" s="174" t="s">
        <v>412</v>
      </c>
      <c r="G39" s="177">
        <v>100</v>
      </c>
      <c r="H39" s="177">
        <v>100</v>
      </c>
      <c r="I39" s="177">
        <v>100</v>
      </c>
      <c r="J39" s="177">
        <v>100</v>
      </c>
      <c r="K39" s="177">
        <v>100</v>
      </c>
      <c r="L39" s="177">
        <v>100</v>
      </c>
      <c r="M39" s="177">
        <v>100</v>
      </c>
      <c r="N39" s="177">
        <v>100</v>
      </c>
      <c r="O39" s="177">
        <v>100</v>
      </c>
      <c r="P39" s="177">
        <v>100</v>
      </c>
      <c r="Q39" s="177">
        <v>100</v>
      </c>
      <c r="R39" s="177">
        <v>100</v>
      </c>
      <c r="S39" s="177">
        <v>100</v>
      </c>
      <c r="T39" s="177">
        <v>100</v>
      </c>
      <c r="U39" s="177">
        <v>100</v>
      </c>
      <c r="V39" s="177">
        <v>100</v>
      </c>
      <c r="W39" s="177">
        <v>100</v>
      </c>
      <c r="X39" s="177">
        <v>100</v>
      </c>
      <c r="Y39" s="177">
        <v>100</v>
      </c>
      <c r="Z39" s="177">
        <v>100</v>
      </c>
      <c r="AA39" s="177">
        <v>100</v>
      </c>
      <c r="AB39" s="177">
        <v>100</v>
      </c>
      <c r="AC39" s="177">
        <v>100</v>
      </c>
      <c r="AD39" s="177">
        <v>100</v>
      </c>
      <c r="AE39" s="177">
        <v>100</v>
      </c>
      <c r="AF39" s="177">
        <v>100</v>
      </c>
      <c r="AG39" s="177">
        <v>100</v>
      </c>
      <c r="AH39" s="177">
        <v>100</v>
      </c>
      <c r="AI39" s="177">
        <v>100</v>
      </c>
      <c r="AJ39" s="177">
        <v>100</v>
      </c>
      <c r="AK39" s="177">
        <v>100</v>
      </c>
    </row>
    <row r="40" spans="2:37" ht="25.5" x14ac:dyDescent="0.2">
      <c r="B40" s="551"/>
      <c r="C40" s="175" t="s">
        <v>413</v>
      </c>
      <c r="D40" s="77" t="s">
        <v>414</v>
      </c>
      <c r="F40" s="174" t="s">
        <v>415</v>
      </c>
      <c r="G40" s="177">
        <v>85</v>
      </c>
      <c r="H40" s="177">
        <v>85</v>
      </c>
      <c r="I40" s="177">
        <v>85</v>
      </c>
      <c r="J40" s="177">
        <v>85</v>
      </c>
      <c r="K40" s="177">
        <v>85</v>
      </c>
      <c r="L40" s="177">
        <v>85</v>
      </c>
      <c r="M40" s="177">
        <v>85</v>
      </c>
      <c r="N40" s="177">
        <v>85</v>
      </c>
      <c r="O40" s="177">
        <v>85</v>
      </c>
      <c r="P40" s="177">
        <v>85</v>
      </c>
      <c r="Q40" s="177">
        <v>85</v>
      </c>
      <c r="R40" s="177">
        <v>85</v>
      </c>
      <c r="S40" s="177">
        <v>85</v>
      </c>
      <c r="T40" s="177">
        <v>85</v>
      </c>
      <c r="U40" s="177">
        <v>85</v>
      </c>
      <c r="V40" s="177">
        <v>85</v>
      </c>
      <c r="W40" s="177">
        <v>85</v>
      </c>
      <c r="X40" s="177">
        <v>85</v>
      </c>
      <c r="Y40" s="177">
        <v>85</v>
      </c>
      <c r="Z40" s="177">
        <v>85</v>
      </c>
      <c r="AA40" s="177">
        <v>85</v>
      </c>
      <c r="AB40" s="177">
        <v>85</v>
      </c>
      <c r="AC40" s="177">
        <v>85</v>
      </c>
      <c r="AD40" s="177">
        <v>85</v>
      </c>
      <c r="AE40" s="177">
        <v>85</v>
      </c>
      <c r="AF40" s="177">
        <v>85</v>
      </c>
      <c r="AG40" s="177">
        <v>85</v>
      </c>
      <c r="AH40" s="177">
        <v>85</v>
      </c>
      <c r="AI40" s="177">
        <v>85</v>
      </c>
      <c r="AJ40" s="177">
        <v>85</v>
      </c>
      <c r="AK40" s="177">
        <v>85</v>
      </c>
    </row>
    <row r="41" spans="2:37" ht="33.75" customHeight="1" thickBot="1" x14ac:dyDescent="0.25">
      <c r="B41" s="552"/>
      <c r="C41" s="175" t="s">
        <v>416</v>
      </c>
      <c r="D41" s="178" t="s">
        <v>417</v>
      </c>
      <c r="F41" s="179" t="s">
        <v>394</v>
      </c>
      <c r="G41" s="232">
        <f>G38/G37</f>
        <v>0.99001596244919088</v>
      </c>
      <c r="H41" s="232">
        <f t="shared" ref="H41:AJ41" si="7">H38/H37</f>
        <v>0.98065942706593401</v>
      </c>
      <c r="I41" s="232">
        <f t="shared" si="7"/>
        <v>1.011354516021896</v>
      </c>
      <c r="J41" s="232">
        <f t="shared" si="7"/>
        <v>1.0455277238675602</v>
      </c>
      <c r="K41" s="232">
        <f t="shared" si="7"/>
        <v>1.0450126518943044</v>
      </c>
      <c r="L41" s="232">
        <f t="shared" si="7"/>
        <v>1.0201366439383659</v>
      </c>
      <c r="M41" s="232">
        <f t="shared" si="7"/>
        <v>1.0481492652204001</v>
      </c>
      <c r="N41" s="232">
        <f t="shared" si="7"/>
        <v>1.0325266737808092</v>
      </c>
      <c r="O41" s="232">
        <f t="shared" si="7"/>
        <v>1.0549259056916547</v>
      </c>
      <c r="P41" s="232">
        <f t="shared" si="7"/>
        <v>1.0620307790010732</v>
      </c>
      <c r="Q41" s="232">
        <f t="shared" si="7"/>
        <v>1.032997226326146</v>
      </c>
      <c r="R41" s="232">
        <f t="shared" si="7"/>
        <v>1.0541527160112463</v>
      </c>
      <c r="S41" s="232">
        <f t="shared" si="7"/>
        <v>1.0259821516708023</v>
      </c>
      <c r="T41" s="232">
        <f t="shared" si="7"/>
        <v>0.99984851142760856</v>
      </c>
      <c r="U41" s="232">
        <f t="shared" si="7"/>
        <v>0.99601115043421551</v>
      </c>
      <c r="V41" s="232">
        <f t="shared" si="7"/>
        <v>1.0038788611730702</v>
      </c>
      <c r="W41" s="232">
        <f t="shared" si="7"/>
        <v>1.0158118723762646</v>
      </c>
      <c r="X41" s="232">
        <f t="shared" si="7"/>
        <v>1.029320230248042</v>
      </c>
      <c r="Y41" s="232">
        <f t="shared" si="7"/>
        <v>0.99426807830492803</v>
      </c>
      <c r="Z41" s="232">
        <f t="shared" si="7"/>
        <v>0.97828771687073013</v>
      </c>
      <c r="AA41" s="232">
        <f t="shared" si="7"/>
        <v>0.96973723244160948</v>
      </c>
      <c r="AB41" s="232">
        <f t="shared" si="7"/>
        <v>1.0335474627115342</v>
      </c>
      <c r="AC41" s="232">
        <f t="shared" si="7"/>
        <v>1.0618210746878018</v>
      </c>
      <c r="AD41" s="232">
        <f t="shared" si="7"/>
        <v>1.0777382778935913</v>
      </c>
      <c r="AE41" s="232">
        <f t="shared" si="7"/>
        <v>1.0830574353976989</v>
      </c>
      <c r="AF41" s="232">
        <f t="shared" si="7"/>
        <v>0.96596378947486139</v>
      </c>
      <c r="AG41" s="232">
        <f t="shared" si="7"/>
        <v>0.94423336996168661</v>
      </c>
      <c r="AH41" s="232">
        <f t="shared" si="7"/>
        <v>0.95231591365190871</v>
      </c>
      <c r="AI41" s="232">
        <f t="shared" si="7"/>
        <v>1.0123737853561472</v>
      </c>
      <c r="AJ41" s="232">
        <f t="shared" si="7"/>
        <v>1.093357260291558</v>
      </c>
      <c r="AK41" s="232">
        <f>AK38/AK37</f>
        <v>0</v>
      </c>
    </row>
    <row r="42" spans="2:37" ht="20.100000000000001" customHeight="1" thickBot="1" x14ac:dyDescent="0.25">
      <c r="B42" s="553" t="s">
        <v>418</v>
      </c>
      <c r="C42" s="554"/>
      <c r="D42" s="555"/>
      <c r="F42" s="174"/>
      <c r="G42" s="180"/>
      <c r="H42" s="180"/>
      <c r="I42" s="180"/>
      <c r="J42" s="180"/>
      <c r="K42" s="180"/>
      <c r="L42" s="180"/>
      <c r="M42" s="180"/>
      <c r="N42" s="180"/>
      <c r="O42" s="180"/>
      <c r="P42" s="180"/>
      <c r="Q42" s="180"/>
      <c r="R42" s="180"/>
      <c r="S42" s="180"/>
      <c r="T42" s="180"/>
      <c r="U42" s="180"/>
      <c r="V42" s="180"/>
      <c r="W42" s="180"/>
      <c r="X42" s="180"/>
      <c r="Y42" s="180"/>
      <c r="Z42" s="180"/>
      <c r="AA42" s="180"/>
      <c r="AB42" s="180"/>
      <c r="AC42" s="180"/>
      <c r="AD42" s="180"/>
      <c r="AE42" s="180"/>
      <c r="AF42" s="180"/>
      <c r="AG42" s="180"/>
      <c r="AH42" s="180"/>
      <c r="AI42" s="180"/>
      <c r="AJ42" s="180"/>
      <c r="AK42" s="180"/>
    </row>
    <row r="43" spans="2:37" ht="5.25" customHeight="1" x14ac:dyDescent="0.2">
      <c r="E43" s="181"/>
      <c r="AC43" s="182"/>
      <c r="AD43" s="182"/>
      <c r="AE43" s="182"/>
    </row>
    <row r="44" spans="2:37" ht="13.5" customHeight="1" x14ac:dyDescent="0.2">
      <c r="F44" s="183"/>
      <c r="G44" s="562"/>
      <c r="H44" s="562"/>
      <c r="I44" s="562"/>
      <c r="J44" s="562"/>
      <c r="K44" s="562"/>
      <c r="L44" s="563"/>
      <c r="M44" s="563"/>
      <c r="N44" s="563"/>
      <c r="O44" s="562"/>
      <c r="P44" s="562"/>
      <c r="Q44" s="562"/>
      <c r="R44" s="562"/>
      <c r="S44" s="564"/>
      <c r="T44" s="563"/>
      <c r="U44" s="564"/>
      <c r="V44" s="564"/>
      <c r="W44" s="564"/>
      <c r="X44" s="563"/>
      <c r="Y44" s="564"/>
      <c r="Z44" s="563"/>
      <c r="AA44" s="563"/>
      <c r="AB44" s="563"/>
    </row>
    <row r="46" spans="2:37" ht="36.75" customHeight="1" x14ac:dyDescent="0.2"/>
    <row r="47" spans="2:37" ht="48" customHeight="1" x14ac:dyDescent="0.2">
      <c r="F47" s="559"/>
      <c r="G47" s="559"/>
      <c r="H47" s="559"/>
      <c r="I47" s="559"/>
      <c r="J47" s="559"/>
      <c r="K47" s="559"/>
      <c r="L47" s="559"/>
      <c r="M47" s="559"/>
      <c r="N47" s="559"/>
      <c r="O47" s="559"/>
      <c r="P47" s="559"/>
      <c r="Q47" s="559"/>
      <c r="R47" s="559"/>
      <c r="S47" s="559"/>
      <c r="T47" s="559"/>
      <c r="U47" s="559"/>
      <c r="V47" s="559"/>
      <c r="W47" s="559"/>
    </row>
    <row r="48" spans="2:37" ht="15" customHeight="1" x14ac:dyDescent="0.2">
      <c r="B48" s="160" t="s">
        <v>404</v>
      </c>
    </row>
    <row r="49" spans="3:34" ht="55.5" customHeight="1" x14ac:dyDescent="0.2">
      <c r="AD49" s="560"/>
      <c r="AE49" s="560"/>
      <c r="AF49" s="560"/>
      <c r="AG49" s="560"/>
      <c r="AH49" s="560"/>
    </row>
    <row r="50" spans="3:34" ht="17.25" customHeight="1" x14ac:dyDescent="0.2">
      <c r="C50" s="161"/>
      <c r="D50" s="161"/>
      <c r="F50" s="160"/>
      <c r="G50" s="160"/>
      <c r="H50" s="160"/>
      <c r="I50" s="160"/>
      <c r="J50" s="160"/>
      <c r="K50" s="160"/>
      <c r="L50" s="160"/>
      <c r="M50" s="160"/>
      <c r="N50" s="160"/>
      <c r="O50" s="160"/>
      <c r="P50" s="160"/>
      <c r="Q50" s="160"/>
      <c r="R50" s="160"/>
      <c r="S50" s="160"/>
      <c r="T50" s="160"/>
      <c r="U50" s="160"/>
      <c r="V50" s="160"/>
      <c r="W50" s="160"/>
      <c r="AE50" s="561"/>
      <c r="AF50" s="561"/>
      <c r="AG50" s="561"/>
      <c r="AH50" s="561"/>
    </row>
    <row r="51" spans="3:34" x14ac:dyDescent="0.2">
      <c r="T51" s="150"/>
      <c r="U51" s="150"/>
      <c r="V51" s="150"/>
      <c r="W51" s="150"/>
      <c r="AE51" s="561"/>
      <c r="AF51" s="561"/>
      <c r="AG51" s="561"/>
      <c r="AH51" s="561"/>
    </row>
    <row r="65" spans="2:37" ht="31.5" customHeight="1" x14ac:dyDescent="0.2"/>
    <row r="66" spans="2:37" s="162" customFormat="1" ht="20.100000000000001" customHeight="1" x14ac:dyDescent="0.2">
      <c r="B66" s="163" t="s">
        <v>405</v>
      </c>
      <c r="C66" s="164" t="str">
        <f>D3</f>
        <v>Jan'24</v>
      </c>
      <c r="D66" s="164" t="e">
        <f>#REF!</f>
        <v>#REF!</v>
      </c>
      <c r="E66" s="164" t="str">
        <f>F3</f>
        <v>Feb'24</v>
      </c>
    </row>
    <row r="67" spans="2:37" ht="20.100000000000001" customHeight="1" x14ac:dyDescent="0.2">
      <c r="B67" s="165" t="s">
        <v>397</v>
      </c>
      <c r="C67" s="166">
        <v>99.46</v>
      </c>
      <c r="D67" s="166">
        <v>99.46</v>
      </c>
      <c r="E67" s="166">
        <v>99.4</v>
      </c>
    </row>
    <row r="68" spans="2:37" ht="20.100000000000001" customHeight="1" x14ac:dyDescent="0.2">
      <c r="B68" s="165" t="s">
        <v>398</v>
      </c>
      <c r="C68" s="166">
        <v>100</v>
      </c>
      <c r="D68" s="166">
        <v>100</v>
      </c>
      <c r="E68" s="166">
        <v>100</v>
      </c>
    </row>
    <row r="69" spans="2:37" ht="20.100000000000001" customHeight="1" thickBot="1" x14ac:dyDescent="0.25">
      <c r="B69" s="165"/>
      <c r="C69" s="166"/>
      <c r="D69" s="166"/>
      <c r="E69" s="166"/>
    </row>
    <row r="70" spans="2:37" ht="20.100000000000001" customHeight="1" thickBot="1" x14ac:dyDescent="0.25">
      <c r="B70" s="167" t="s">
        <v>394</v>
      </c>
      <c r="C70" s="233">
        <f>C68/C67</f>
        <v>1.0054293183189222</v>
      </c>
      <c r="D70" s="233">
        <f>D68/D67</f>
        <v>1.0054293183189222</v>
      </c>
      <c r="E70" s="234">
        <f>E68/E67</f>
        <v>1.0060362173038229</v>
      </c>
      <c r="F70" s="168" t="s">
        <v>406</v>
      </c>
      <c r="G70" s="169">
        <v>1</v>
      </c>
      <c r="H70" s="169">
        <v>2</v>
      </c>
      <c r="I70" s="169">
        <v>3</v>
      </c>
      <c r="J70" s="169">
        <v>4</v>
      </c>
      <c r="K70" s="169">
        <v>5</v>
      </c>
      <c r="L70" s="169">
        <v>6</v>
      </c>
      <c r="M70" s="169">
        <v>7</v>
      </c>
      <c r="N70" s="169">
        <v>8</v>
      </c>
      <c r="O70" s="169">
        <v>9</v>
      </c>
      <c r="P70" s="169">
        <v>10</v>
      </c>
      <c r="Q70" s="169">
        <v>11</v>
      </c>
      <c r="R70" s="169">
        <v>12</v>
      </c>
      <c r="S70" s="169">
        <v>13</v>
      </c>
      <c r="T70" s="169">
        <v>14</v>
      </c>
      <c r="U70" s="169">
        <v>15</v>
      </c>
      <c r="V70" s="169">
        <v>16</v>
      </c>
      <c r="W70" s="169">
        <v>17</v>
      </c>
      <c r="X70" s="169">
        <v>18</v>
      </c>
      <c r="Y70" s="169">
        <v>19</v>
      </c>
      <c r="Z70" s="169">
        <v>20</v>
      </c>
      <c r="AA70" s="169">
        <v>21</v>
      </c>
      <c r="AB70" s="169">
        <v>22</v>
      </c>
      <c r="AC70" s="169">
        <v>23</v>
      </c>
      <c r="AD70" s="169">
        <v>24</v>
      </c>
      <c r="AE70" s="169">
        <v>25</v>
      </c>
      <c r="AF70" s="169">
        <v>26</v>
      </c>
      <c r="AG70" s="169">
        <v>27</v>
      </c>
      <c r="AH70" s="169">
        <v>28</v>
      </c>
      <c r="AI70" s="169">
        <v>29</v>
      </c>
      <c r="AJ70" s="169">
        <v>30</v>
      </c>
      <c r="AK70" s="169">
        <v>31</v>
      </c>
    </row>
    <row r="71" spans="2:37" ht="20.100000000000001" customHeight="1" x14ac:dyDescent="0.2">
      <c r="C71" s="150"/>
      <c r="D71" s="235"/>
      <c r="E71" s="235"/>
      <c r="F71" s="170" t="s">
        <v>419</v>
      </c>
      <c r="G71" s="171">
        <v>1</v>
      </c>
      <c r="H71" s="171">
        <v>2</v>
      </c>
      <c r="I71" s="171">
        <v>3</v>
      </c>
      <c r="J71" s="171">
        <v>4</v>
      </c>
      <c r="K71" s="171">
        <v>5</v>
      </c>
      <c r="L71" s="171">
        <v>6</v>
      </c>
      <c r="M71" s="171">
        <v>7</v>
      </c>
      <c r="N71" s="171">
        <v>8</v>
      </c>
      <c r="O71" s="171">
        <v>9</v>
      </c>
      <c r="P71" s="171">
        <v>10</v>
      </c>
      <c r="Q71" s="171">
        <v>11</v>
      </c>
      <c r="R71" s="171">
        <v>12</v>
      </c>
      <c r="S71" s="171">
        <v>13</v>
      </c>
      <c r="T71" s="171">
        <v>14</v>
      </c>
      <c r="U71" s="171">
        <v>15</v>
      </c>
      <c r="V71" s="171">
        <v>16</v>
      </c>
      <c r="W71" s="171">
        <v>17</v>
      </c>
      <c r="X71" s="171">
        <v>18</v>
      </c>
      <c r="Y71" s="171">
        <v>19</v>
      </c>
      <c r="Z71" s="171">
        <v>20</v>
      </c>
      <c r="AA71" s="171">
        <v>21</v>
      </c>
      <c r="AB71" s="171">
        <v>22</v>
      </c>
      <c r="AC71" s="171">
        <v>23</v>
      </c>
      <c r="AD71" s="171">
        <v>24</v>
      </c>
      <c r="AE71" s="171">
        <v>25</v>
      </c>
      <c r="AF71" s="171">
        <v>26</v>
      </c>
      <c r="AG71" s="171">
        <v>27</v>
      </c>
      <c r="AH71" s="171">
        <v>28</v>
      </c>
      <c r="AI71" s="171">
        <v>29</v>
      </c>
      <c r="AJ71" s="171">
        <v>30</v>
      </c>
      <c r="AK71" s="171">
        <v>31</v>
      </c>
    </row>
    <row r="72" spans="2:37" ht="19.5" customHeight="1" thickBot="1" x14ac:dyDescent="0.25">
      <c r="F72" s="172" t="s">
        <v>397</v>
      </c>
      <c r="G72" s="173">
        <f>$C$6</f>
        <v>99.167000000000002</v>
      </c>
      <c r="H72" s="173">
        <f t="shared" ref="H72:AK72" si="8">$C$6</f>
        <v>99.167000000000002</v>
      </c>
      <c r="I72" s="173">
        <f t="shared" si="8"/>
        <v>99.167000000000002</v>
      </c>
      <c r="J72" s="173">
        <f t="shared" si="8"/>
        <v>99.167000000000002</v>
      </c>
      <c r="K72" s="173">
        <f t="shared" si="8"/>
        <v>99.167000000000002</v>
      </c>
      <c r="L72" s="173">
        <f t="shared" si="8"/>
        <v>99.167000000000002</v>
      </c>
      <c r="M72" s="173">
        <f t="shared" si="8"/>
        <v>99.167000000000002</v>
      </c>
      <c r="N72" s="173">
        <f t="shared" si="8"/>
        <v>99.167000000000002</v>
      </c>
      <c r="O72" s="173">
        <f t="shared" si="8"/>
        <v>99.167000000000002</v>
      </c>
      <c r="P72" s="173">
        <f t="shared" si="8"/>
        <v>99.167000000000002</v>
      </c>
      <c r="Q72" s="173">
        <f t="shared" si="8"/>
        <v>99.167000000000002</v>
      </c>
      <c r="R72" s="173">
        <f t="shared" si="8"/>
        <v>99.167000000000002</v>
      </c>
      <c r="S72" s="173">
        <f t="shared" si="8"/>
        <v>99.167000000000002</v>
      </c>
      <c r="T72" s="173">
        <f t="shared" si="8"/>
        <v>99.167000000000002</v>
      </c>
      <c r="U72" s="173">
        <f t="shared" si="8"/>
        <v>99.167000000000002</v>
      </c>
      <c r="V72" s="173">
        <f t="shared" si="8"/>
        <v>99.167000000000002</v>
      </c>
      <c r="W72" s="173">
        <f t="shared" si="8"/>
        <v>99.167000000000002</v>
      </c>
      <c r="X72" s="173">
        <f t="shared" si="8"/>
        <v>99.167000000000002</v>
      </c>
      <c r="Y72" s="173">
        <f t="shared" si="8"/>
        <v>99.167000000000002</v>
      </c>
      <c r="Z72" s="173">
        <f t="shared" si="8"/>
        <v>99.167000000000002</v>
      </c>
      <c r="AA72" s="173">
        <f t="shared" si="8"/>
        <v>99.167000000000002</v>
      </c>
      <c r="AB72" s="173">
        <f t="shared" si="8"/>
        <v>99.167000000000002</v>
      </c>
      <c r="AC72" s="173">
        <f t="shared" si="8"/>
        <v>99.167000000000002</v>
      </c>
      <c r="AD72" s="173">
        <f t="shared" si="8"/>
        <v>99.167000000000002</v>
      </c>
      <c r="AE72" s="173">
        <f t="shared" si="8"/>
        <v>99.167000000000002</v>
      </c>
      <c r="AF72" s="173">
        <f t="shared" si="8"/>
        <v>99.167000000000002</v>
      </c>
      <c r="AG72" s="173">
        <f t="shared" si="8"/>
        <v>99.167000000000002</v>
      </c>
      <c r="AH72" s="173">
        <f t="shared" si="8"/>
        <v>99.167000000000002</v>
      </c>
      <c r="AI72" s="173">
        <f t="shared" si="8"/>
        <v>99.167000000000002</v>
      </c>
      <c r="AJ72" s="173">
        <f t="shared" si="8"/>
        <v>99.167000000000002</v>
      </c>
      <c r="AK72" s="173">
        <f t="shared" si="8"/>
        <v>99.167000000000002</v>
      </c>
    </row>
    <row r="73" spans="2:37" ht="19.5" customHeight="1" x14ac:dyDescent="0.2">
      <c r="B73" s="556" t="s">
        <v>408</v>
      </c>
      <c r="C73" s="557"/>
      <c r="D73" s="558"/>
      <c r="F73" s="174" t="s">
        <v>398</v>
      </c>
      <c r="G73" s="173">
        <f>STATION!C31</f>
        <v>100</v>
      </c>
      <c r="H73" s="173">
        <f>STATION!D31</f>
        <v>100</v>
      </c>
      <c r="I73" s="173">
        <f>STATION!E31</f>
        <v>100</v>
      </c>
      <c r="J73" s="173">
        <f>STATION!F31</f>
        <v>100</v>
      </c>
      <c r="K73" s="173">
        <f>STATION!G31</f>
        <v>100</v>
      </c>
      <c r="L73" s="173">
        <f>STATION!H31</f>
        <v>100</v>
      </c>
      <c r="M73" s="173">
        <f>STATION!I31</f>
        <v>100</v>
      </c>
      <c r="N73" s="173">
        <f>STATION!J31</f>
        <v>100</v>
      </c>
      <c r="O73" s="173">
        <f>STATION!K31</f>
        <v>100</v>
      </c>
      <c r="P73" s="173">
        <f>STATION!L31</f>
        <v>100</v>
      </c>
      <c r="Q73" s="173">
        <f>STATION!M31</f>
        <v>100</v>
      </c>
      <c r="R73" s="173">
        <f>STATION!N31</f>
        <v>100</v>
      </c>
      <c r="S73" s="173">
        <f>STATION!O31</f>
        <v>100</v>
      </c>
      <c r="T73" s="173">
        <f>STATION!P31</f>
        <v>100</v>
      </c>
      <c r="U73" s="173">
        <f>STATION!Q31</f>
        <v>100</v>
      </c>
      <c r="V73" s="173">
        <f>STATION!R31</f>
        <v>100</v>
      </c>
      <c r="W73" s="173">
        <f>STATION!S31</f>
        <v>100</v>
      </c>
      <c r="X73" s="173">
        <f>STATION!T31</f>
        <v>100</v>
      </c>
      <c r="Y73" s="173">
        <f>STATION!U31</f>
        <v>100</v>
      </c>
      <c r="Z73" s="173">
        <f>STATION!V31</f>
        <v>100</v>
      </c>
      <c r="AA73" s="173">
        <f>STATION!W31</f>
        <v>100</v>
      </c>
      <c r="AB73" s="173">
        <f>STATION!X31</f>
        <v>100</v>
      </c>
      <c r="AC73" s="173">
        <f>STATION!Y31</f>
        <v>100</v>
      </c>
      <c r="AD73" s="173">
        <f>STATION!Z31</f>
        <v>100</v>
      </c>
      <c r="AE73" s="173">
        <f>STATION!AA31</f>
        <v>100</v>
      </c>
      <c r="AF73" s="173">
        <f>STATION!AB31</f>
        <v>100</v>
      </c>
      <c r="AG73" s="173">
        <f>STATION!AC31</f>
        <v>100</v>
      </c>
      <c r="AH73" s="173">
        <f>STATION!AD31</f>
        <v>100</v>
      </c>
      <c r="AI73" s="173">
        <f>STATION!AE31</f>
        <v>100</v>
      </c>
      <c r="AJ73" s="173">
        <f>STATION!AF31</f>
        <v>100</v>
      </c>
      <c r="AK73" s="173">
        <f>STATION!AG31</f>
        <v>0</v>
      </c>
    </row>
    <row r="74" spans="2:37" ht="29.25" customHeight="1" x14ac:dyDescent="0.2">
      <c r="B74" s="550" t="s">
        <v>409</v>
      </c>
      <c r="C74" s="175" t="s">
        <v>410</v>
      </c>
      <c r="D74" s="176" t="s">
        <v>411</v>
      </c>
      <c r="F74" s="174" t="s">
        <v>412</v>
      </c>
      <c r="G74" s="177">
        <v>100</v>
      </c>
      <c r="H74" s="177">
        <v>100</v>
      </c>
      <c r="I74" s="177">
        <v>100</v>
      </c>
      <c r="J74" s="177">
        <v>100</v>
      </c>
      <c r="K74" s="177">
        <v>100</v>
      </c>
      <c r="L74" s="177">
        <v>100</v>
      </c>
      <c r="M74" s="177">
        <v>100</v>
      </c>
      <c r="N74" s="177">
        <v>100</v>
      </c>
      <c r="O74" s="177">
        <v>100</v>
      </c>
      <c r="P74" s="177">
        <v>100</v>
      </c>
      <c r="Q74" s="177">
        <v>100</v>
      </c>
      <c r="R74" s="177">
        <v>100</v>
      </c>
      <c r="S74" s="177">
        <v>100</v>
      </c>
      <c r="T74" s="177">
        <v>100</v>
      </c>
      <c r="U74" s="177">
        <v>100</v>
      </c>
      <c r="V74" s="177">
        <v>100</v>
      </c>
      <c r="W74" s="177">
        <v>100</v>
      </c>
      <c r="X74" s="177">
        <v>100</v>
      </c>
      <c r="Y74" s="177">
        <v>100</v>
      </c>
      <c r="Z74" s="177">
        <v>100</v>
      </c>
      <c r="AA74" s="177">
        <v>100</v>
      </c>
      <c r="AB74" s="177">
        <v>100</v>
      </c>
      <c r="AC74" s="177">
        <v>100</v>
      </c>
      <c r="AD74" s="177">
        <v>100</v>
      </c>
      <c r="AE74" s="177">
        <v>100</v>
      </c>
      <c r="AF74" s="177">
        <v>100</v>
      </c>
      <c r="AG74" s="177">
        <v>100</v>
      </c>
      <c r="AH74" s="177">
        <v>100</v>
      </c>
      <c r="AI74" s="177">
        <v>100</v>
      </c>
      <c r="AJ74" s="177">
        <v>100</v>
      </c>
      <c r="AK74" s="177">
        <v>100</v>
      </c>
    </row>
    <row r="75" spans="2:37" ht="25.5" x14ac:dyDescent="0.2">
      <c r="B75" s="551"/>
      <c r="C75" s="175" t="s">
        <v>413</v>
      </c>
      <c r="D75" s="77" t="s">
        <v>414</v>
      </c>
      <c r="F75" s="174" t="s">
        <v>415</v>
      </c>
      <c r="G75" s="177">
        <v>85</v>
      </c>
      <c r="H75" s="177">
        <v>85</v>
      </c>
      <c r="I75" s="177">
        <v>85</v>
      </c>
      <c r="J75" s="177">
        <v>85</v>
      </c>
      <c r="K75" s="177">
        <v>85</v>
      </c>
      <c r="L75" s="177">
        <v>85</v>
      </c>
      <c r="M75" s="177">
        <v>85</v>
      </c>
      <c r="N75" s="177">
        <v>85</v>
      </c>
      <c r="O75" s="177">
        <v>85</v>
      </c>
      <c r="P75" s="177">
        <v>85</v>
      </c>
      <c r="Q75" s="177">
        <v>85</v>
      </c>
      <c r="R75" s="177">
        <v>85</v>
      </c>
      <c r="S75" s="177">
        <v>85</v>
      </c>
      <c r="T75" s="177">
        <v>85</v>
      </c>
      <c r="U75" s="177">
        <v>85</v>
      </c>
      <c r="V75" s="177">
        <v>85</v>
      </c>
      <c r="W75" s="177">
        <v>85</v>
      </c>
      <c r="X75" s="177">
        <v>85</v>
      </c>
      <c r="Y75" s="177">
        <v>85</v>
      </c>
      <c r="Z75" s="177">
        <v>85</v>
      </c>
      <c r="AA75" s="177">
        <v>85</v>
      </c>
      <c r="AB75" s="177">
        <v>85</v>
      </c>
      <c r="AC75" s="177">
        <v>85</v>
      </c>
      <c r="AD75" s="177">
        <v>85</v>
      </c>
      <c r="AE75" s="177">
        <v>85</v>
      </c>
      <c r="AF75" s="177">
        <v>85</v>
      </c>
      <c r="AG75" s="177">
        <v>85</v>
      </c>
      <c r="AH75" s="177">
        <v>85</v>
      </c>
      <c r="AI75" s="177">
        <v>85</v>
      </c>
      <c r="AJ75" s="177">
        <v>85</v>
      </c>
      <c r="AK75" s="177">
        <v>85</v>
      </c>
    </row>
    <row r="76" spans="2:37" ht="33.75" customHeight="1" thickBot="1" x14ac:dyDescent="0.25">
      <c r="B76" s="552"/>
      <c r="C76" s="175" t="s">
        <v>416</v>
      </c>
      <c r="D76" s="178" t="s">
        <v>417</v>
      </c>
      <c r="F76" s="179" t="s">
        <v>394</v>
      </c>
      <c r="G76" s="233">
        <f t="shared" ref="G76:AK76" si="9">G73/G72</f>
        <v>1.0083999717648007</v>
      </c>
      <c r="H76" s="233">
        <f t="shared" si="9"/>
        <v>1.0083999717648007</v>
      </c>
      <c r="I76" s="233">
        <f t="shared" si="9"/>
        <v>1.0083999717648007</v>
      </c>
      <c r="J76" s="233">
        <f t="shared" si="9"/>
        <v>1.0083999717648007</v>
      </c>
      <c r="K76" s="233">
        <f t="shared" si="9"/>
        <v>1.0083999717648007</v>
      </c>
      <c r="L76" s="233">
        <f t="shared" si="9"/>
        <v>1.0083999717648007</v>
      </c>
      <c r="M76" s="233">
        <f t="shared" si="9"/>
        <v>1.0083999717648007</v>
      </c>
      <c r="N76" s="233">
        <f t="shared" si="9"/>
        <v>1.0083999717648007</v>
      </c>
      <c r="O76" s="233">
        <f t="shared" si="9"/>
        <v>1.0083999717648007</v>
      </c>
      <c r="P76" s="233">
        <f t="shared" si="9"/>
        <v>1.0083999717648007</v>
      </c>
      <c r="Q76" s="233">
        <f t="shared" si="9"/>
        <v>1.0083999717648007</v>
      </c>
      <c r="R76" s="233">
        <f t="shared" si="9"/>
        <v>1.0083999717648007</v>
      </c>
      <c r="S76" s="233">
        <f t="shared" si="9"/>
        <v>1.0083999717648007</v>
      </c>
      <c r="T76" s="233">
        <f t="shared" si="9"/>
        <v>1.0083999717648007</v>
      </c>
      <c r="U76" s="233">
        <f t="shared" si="9"/>
        <v>1.0083999717648007</v>
      </c>
      <c r="V76" s="233">
        <f t="shared" si="9"/>
        <v>1.0083999717648007</v>
      </c>
      <c r="W76" s="233">
        <f t="shared" si="9"/>
        <v>1.0083999717648007</v>
      </c>
      <c r="X76" s="233">
        <f t="shared" si="9"/>
        <v>1.0083999717648007</v>
      </c>
      <c r="Y76" s="233">
        <f t="shared" si="9"/>
        <v>1.0083999717648007</v>
      </c>
      <c r="Z76" s="233">
        <f t="shared" si="9"/>
        <v>1.0083999717648007</v>
      </c>
      <c r="AA76" s="233">
        <f t="shared" si="9"/>
        <v>1.0083999717648007</v>
      </c>
      <c r="AB76" s="233">
        <f t="shared" si="9"/>
        <v>1.0083999717648007</v>
      </c>
      <c r="AC76" s="233">
        <f t="shared" si="9"/>
        <v>1.0083999717648007</v>
      </c>
      <c r="AD76" s="233">
        <f t="shared" si="9"/>
        <v>1.0083999717648007</v>
      </c>
      <c r="AE76" s="233">
        <f t="shared" si="9"/>
        <v>1.0083999717648007</v>
      </c>
      <c r="AF76" s="233">
        <f t="shared" si="9"/>
        <v>1.0083999717648007</v>
      </c>
      <c r="AG76" s="233">
        <f t="shared" si="9"/>
        <v>1.0083999717648007</v>
      </c>
      <c r="AH76" s="233">
        <f t="shared" si="9"/>
        <v>1.0083999717648007</v>
      </c>
      <c r="AI76" s="233">
        <f t="shared" si="9"/>
        <v>1.0083999717648007</v>
      </c>
      <c r="AJ76" s="232">
        <f t="shared" si="9"/>
        <v>1.0083999717648007</v>
      </c>
      <c r="AK76" s="232">
        <f t="shared" si="9"/>
        <v>0</v>
      </c>
    </row>
    <row r="77" spans="2:37" ht="20.100000000000001" customHeight="1" thickBot="1" x14ac:dyDescent="0.25">
      <c r="B77" s="553" t="s">
        <v>418</v>
      </c>
      <c r="C77" s="554"/>
      <c r="D77" s="555"/>
      <c r="F77" s="174"/>
      <c r="G77" s="180"/>
      <c r="H77" s="180"/>
      <c r="I77" s="180"/>
      <c r="J77" s="180"/>
      <c r="K77" s="180"/>
      <c r="L77" s="180"/>
      <c r="M77" s="180"/>
      <c r="N77" s="180"/>
      <c r="O77" s="180"/>
      <c r="P77" s="180"/>
      <c r="Q77" s="180"/>
      <c r="R77" s="180"/>
      <c r="S77" s="180"/>
      <c r="T77" s="180"/>
      <c r="U77" s="180"/>
      <c r="V77" s="180"/>
      <c r="W77" s="180"/>
      <c r="X77" s="180"/>
      <c r="Y77" s="180"/>
      <c r="Z77" s="180"/>
      <c r="AA77" s="180"/>
      <c r="AB77" s="180"/>
      <c r="AC77" s="180"/>
      <c r="AD77" s="180"/>
      <c r="AE77" s="180"/>
      <c r="AF77" s="180"/>
      <c r="AG77" s="180"/>
      <c r="AH77" s="180"/>
      <c r="AI77" s="180"/>
      <c r="AJ77" s="180"/>
      <c r="AK77" s="180"/>
    </row>
    <row r="78" spans="2:37" ht="5.25" customHeight="1" x14ac:dyDescent="0.2">
      <c r="E78" s="181"/>
      <c r="AC78" s="182"/>
      <c r="AD78" s="182"/>
      <c r="AE78" s="182"/>
    </row>
    <row r="81" spans="2:34" ht="36.75" customHeight="1" x14ac:dyDescent="0.2"/>
    <row r="82" spans="2:34" ht="48" customHeight="1" x14ac:dyDescent="0.2">
      <c r="F82" s="559"/>
      <c r="G82" s="559"/>
      <c r="H82" s="559"/>
      <c r="I82" s="559"/>
      <c r="J82" s="559"/>
      <c r="K82" s="559"/>
      <c r="L82" s="559"/>
      <c r="M82" s="559"/>
      <c r="N82" s="559"/>
      <c r="O82" s="559"/>
      <c r="P82" s="559"/>
      <c r="Q82" s="559"/>
      <c r="R82" s="559"/>
      <c r="S82" s="559"/>
      <c r="T82" s="559"/>
      <c r="U82" s="559"/>
      <c r="V82" s="559"/>
      <c r="W82" s="559"/>
    </row>
    <row r="83" spans="2:34" ht="15" customHeight="1" x14ac:dyDescent="0.2">
      <c r="B83" s="160" t="s">
        <v>404</v>
      </c>
    </row>
    <row r="84" spans="2:34" ht="55.5" customHeight="1" x14ac:dyDescent="0.2">
      <c r="AD84" s="560"/>
      <c r="AE84" s="560"/>
      <c r="AF84" s="560"/>
      <c r="AG84" s="560"/>
      <c r="AH84" s="560"/>
    </row>
    <row r="85" spans="2:34" ht="17.25" customHeight="1" x14ac:dyDescent="0.2">
      <c r="C85" s="161"/>
      <c r="D85" s="161"/>
      <c r="F85" s="160"/>
      <c r="G85" s="160"/>
      <c r="H85" s="160"/>
      <c r="I85" s="160"/>
      <c r="J85" s="160"/>
      <c r="K85" s="160"/>
      <c r="L85" s="160"/>
      <c r="M85" s="160"/>
      <c r="N85" s="160"/>
      <c r="O85" s="160"/>
      <c r="P85" s="160"/>
      <c r="Q85" s="160"/>
      <c r="R85" s="160"/>
      <c r="S85" s="160"/>
      <c r="T85" s="160"/>
      <c r="U85" s="160"/>
      <c r="V85" s="160"/>
      <c r="W85" s="160"/>
      <c r="AE85" s="561"/>
      <c r="AF85" s="561"/>
      <c r="AG85" s="561"/>
      <c r="AH85" s="561"/>
    </row>
    <row r="86" spans="2:34" x14ac:dyDescent="0.2">
      <c r="T86" s="150"/>
      <c r="U86" s="150"/>
      <c r="V86" s="150"/>
      <c r="W86" s="150"/>
      <c r="AE86" s="561"/>
      <c r="AF86" s="561"/>
      <c r="AG86" s="561"/>
      <c r="AH86" s="561"/>
    </row>
    <row r="100" spans="2:37" ht="31.5" customHeight="1" x14ac:dyDescent="0.2"/>
    <row r="101" spans="2:37" s="162" customFormat="1" ht="20.100000000000001" customHeight="1" x14ac:dyDescent="0.2">
      <c r="B101" s="163" t="s">
        <v>405</v>
      </c>
      <c r="C101" s="164" t="str">
        <f>D3</f>
        <v>Jan'24</v>
      </c>
      <c r="D101" s="164" t="str">
        <f>F3</f>
        <v>Feb'24</v>
      </c>
      <c r="E101" s="164" t="str">
        <f>H3</f>
        <v>March'24</v>
      </c>
    </row>
    <row r="102" spans="2:37" ht="20.100000000000001" customHeight="1" x14ac:dyDescent="0.2">
      <c r="B102" s="165" t="s">
        <v>397</v>
      </c>
      <c r="C102" s="184">
        <v>7.24</v>
      </c>
      <c r="D102" s="184">
        <v>7.24</v>
      </c>
      <c r="E102" s="184">
        <v>7.24</v>
      </c>
    </row>
    <row r="103" spans="2:37" ht="20.100000000000001" customHeight="1" x14ac:dyDescent="0.2">
      <c r="B103" s="165" t="s">
        <v>398</v>
      </c>
      <c r="C103" s="184">
        <v>7.52</v>
      </c>
      <c r="D103" s="184">
        <v>7.71</v>
      </c>
      <c r="E103" s="184">
        <v>7.55</v>
      </c>
    </row>
    <row r="104" spans="2:37" ht="20.100000000000001" customHeight="1" thickBot="1" x14ac:dyDescent="0.25">
      <c r="B104" s="165"/>
      <c r="C104" s="166"/>
      <c r="D104" s="166"/>
      <c r="E104" s="166"/>
    </row>
    <row r="105" spans="2:37" ht="20.100000000000001" customHeight="1" thickBot="1" x14ac:dyDescent="0.25">
      <c r="B105" s="167" t="s">
        <v>394</v>
      </c>
      <c r="C105" s="233">
        <f>C102/C103</f>
        <v>0.9627659574468086</v>
      </c>
      <c r="D105" s="233">
        <f>D102/D103</f>
        <v>0.93904020752269779</v>
      </c>
      <c r="E105" s="233">
        <f>E102/E103</f>
        <v>0.95894039735099346</v>
      </c>
      <c r="F105" s="168" t="s">
        <v>406</v>
      </c>
      <c r="G105" s="169">
        <v>1</v>
      </c>
      <c r="H105" s="169">
        <v>2</v>
      </c>
      <c r="I105" s="169">
        <v>3</v>
      </c>
      <c r="J105" s="169">
        <v>4</v>
      </c>
      <c r="K105" s="169">
        <v>5</v>
      </c>
      <c r="L105" s="169">
        <v>6</v>
      </c>
      <c r="M105" s="169">
        <v>7</v>
      </c>
      <c r="N105" s="169">
        <v>8</v>
      </c>
      <c r="O105" s="169">
        <v>9</v>
      </c>
      <c r="P105" s="169">
        <v>10</v>
      </c>
      <c r="Q105" s="169">
        <v>11</v>
      </c>
      <c r="R105" s="169">
        <v>12</v>
      </c>
      <c r="S105" s="169">
        <v>13</v>
      </c>
      <c r="T105" s="169">
        <v>14</v>
      </c>
      <c r="U105" s="169">
        <v>15</v>
      </c>
      <c r="V105" s="169">
        <v>16</v>
      </c>
      <c r="W105" s="169">
        <v>17</v>
      </c>
      <c r="X105" s="169">
        <v>18</v>
      </c>
      <c r="Y105" s="169">
        <v>19</v>
      </c>
      <c r="Z105" s="169">
        <v>20</v>
      </c>
      <c r="AA105" s="169">
        <v>21</v>
      </c>
      <c r="AB105" s="169">
        <v>22</v>
      </c>
      <c r="AC105" s="169">
        <v>23</v>
      </c>
      <c r="AD105" s="169">
        <v>24</v>
      </c>
      <c r="AE105" s="169">
        <v>25</v>
      </c>
      <c r="AF105" s="169">
        <v>26</v>
      </c>
      <c r="AG105" s="169">
        <v>27</v>
      </c>
      <c r="AH105" s="169">
        <v>28</v>
      </c>
      <c r="AI105" s="169">
        <v>29</v>
      </c>
      <c r="AJ105" s="169">
        <v>30</v>
      </c>
      <c r="AK105" s="169">
        <v>31</v>
      </c>
    </row>
    <row r="106" spans="2:37" ht="20.100000000000001" customHeight="1" x14ac:dyDescent="0.2">
      <c r="C106" s="150"/>
      <c r="D106" s="235"/>
      <c r="E106" s="235"/>
      <c r="F106" s="170" t="s">
        <v>420</v>
      </c>
      <c r="G106" s="171">
        <v>1</v>
      </c>
      <c r="H106" s="171">
        <v>2</v>
      </c>
      <c r="I106" s="171">
        <v>3</v>
      </c>
      <c r="J106" s="171">
        <v>4</v>
      </c>
      <c r="K106" s="171">
        <v>5</v>
      </c>
      <c r="L106" s="171">
        <v>6</v>
      </c>
      <c r="M106" s="171">
        <v>7</v>
      </c>
      <c r="N106" s="171">
        <v>8</v>
      </c>
      <c r="O106" s="171">
        <v>9</v>
      </c>
      <c r="P106" s="171">
        <v>10</v>
      </c>
      <c r="Q106" s="171">
        <v>11</v>
      </c>
      <c r="R106" s="171">
        <v>12</v>
      </c>
      <c r="S106" s="171">
        <v>13</v>
      </c>
      <c r="T106" s="171">
        <v>14</v>
      </c>
      <c r="U106" s="171">
        <v>15</v>
      </c>
      <c r="V106" s="171">
        <v>16</v>
      </c>
      <c r="W106" s="171">
        <v>17</v>
      </c>
      <c r="X106" s="171">
        <v>18</v>
      </c>
      <c r="Y106" s="171">
        <v>19</v>
      </c>
      <c r="Z106" s="171">
        <v>20</v>
      </c>
      <c r="AA106" s="171">
        <v>21</v>
      </c>
      <c r="AB106" s="171">
        <v>22</v>
      </c>
      <c r="AC106" s="171">
        <v>23</v>
      </c>
      <c r="AD106" s="171">
        <v>24</v>
      </c>
      <c r="AE106" s="171">
        <v>25</v>
      </c>
      <c r="AF106" s="171">
        <v>26</v>
      </c>
      <c r="AG106" s="171">
        <v>27</v>
      </c>
      <c r="AH106" s="171">
        <v>28</v>
      </c>
      <c r="AI106" s="171">
        <v>29</v>
      </c>
      <c r="AJ106" s="171">
        <v>30</v>
      </c>
      <c r="AK106" s="171">
        <v>31</v>
      </c>
    </row>
    <row r="107" spans="2:37" ht="19.5" customHeight="1" thickBot="1" x14ac:dyDescent="0.25">
      <c r="F107" s="172" t="s">
        <v>397</v>
      </c>
      <c r="G107" s="173">
        <f>$C$7</f>
        <v>7.05</v>
      </c>
      <c r="H107" s="173">
        <f t="shared" ref="H107:AK107" si="10">$C$7</f>
        <v>7.05</v>
      </c>
      <c r="I107" s="173">
        <f t="shared" si="10"/>
        <v>7.05</v>
      </c>
      <c r="J107" s="173">
        <f t="shared" si="10"/>
        <v>7.05</v>
      </c>
      <c r="K107" s="173">
        <f t="shared" si="10"/>
        <v>7.05</v>
      </c>
      <c r="L107" s="173">
        <f t="shared" si="10"/>
        <v>7.05</v>
      </c>
      <c r="M107" s="173">
        <f t="shared" si="10"/>
        <v>7.05</v>
      </c>
      <c r="N107" s="173">
        <f t="shared" si="10"/>
        <v>7.05</v>
      </c>
      <c r="O107" s="173">
        <f t="shared" si="10"/>
        <v>7.05</v>
      </c>
      <c r="P107" s="173">
        <f t="shared" si="10"/>
        <v>7.05</v>
      </c>
      <c r="Q107" s="173">
        <f t="shared" si="10"/>
        <v>7.05</v>
      </c>
      <c r="R107" s="173">
        <f t="shared" si="10"/>
        <v>7.05</v>
      </c>
      <c r="S107" s="173">
        <f t="shared" si="10"/>
        <v>7.05</v>
      </c>
      <c r="T107" s="173">
        <f t="shared" si="10"/>
        <v>7.05</v>
      </c>
      <c r="U107" s="173">
        <f t="shared" si="10"/>
        <v>7.05</v>
      </c>
      <c r="V107" s="173">
        <f t="shared" si="10"/>
        <v>7.05</v>
      </c>
      <c r="W107" s="173">
        <f t="shared" si="10"/>
        <v>7.05</v>
      </c>
      <c r="X107" s="173">
        <f t="shared" si="10"/>
        <v>7.05</v>
      </c>
      <c r="Y107" s="173">
        <f t="shared" si="10"/>
        <v>7.05</v>
      </c>
      <c r="Z107" s="173">
        <f t="shared" si="10"/>
        <v>7.05</v>
      </c>
      <c r="AA107" s="173">
        <f t="shared" si="10"/>
        <v>7.05</v>
      </c>
      <c r="AB107" s="173">
        <f t="shared" si="10"/>
        <v>7.05</v>
      </c>
      <c r="AC107" s="173">
        <f t="shared" si="10"/>
        <v>7.05</v>
      </c>
      <c r="AD107" s="173">
        <f t="shared" si="10"/>
        <v>7.05</v>
      </c>
      <c r="AE107" s="173">
        <f t="shared" si="10"/>
        <v>7.05</v>
      </c>
      <c r="AF107" s="173">
        <f t="shared" si="10"/>
        <v>7.05</v>
      </c>
      <c r="AG107" s="173">
        <f t="shared" si="10"/>
        <v>7.05</v>
      </c>
      <c r="AH107" s="173">
        <f t="shared" si="10"/>
        <v>7.05</v>
      </c>
      <c r="AI107" s="173">
        <f t="shared" si="10"/>
        <v>7.05</v>
      </c>
      <c r="AJ107" s="173">
        <f t="shared" si="10"/>
        <v>7.05</v>
      </c>
      <c r="AK107" s="173">
        <f t="shared" si="10"/>
        <v>7.05</v>
      </c>
    </row>
    <row r="108" spans="2:37" ht="19.5" customHeight="1" x14ac:dyDescent="0.2">
      <c r="B108" s="556" t="s">
        <v>408</v>
      </c>
      <c r="C108" s="557"/>
      <c r="D108" s="558"/>
      <c r="F108" s="174" t="s">
        <v>398</v>
      </c>
      <c r="G108" s="173">
        <f>STATION!C21</f>
        <v>7.1185423467486713</v>
      </c>
      <c r="H108" s="173">
        <f>STATION!D21</f>
        <v>7.274282473479178</v>
      </c>
      <c r="I108" s="173">
        <f>STATION!E21</f>
        <v>7.0927958662232173</v>
      </c>
      <c r="J108" s="173">
        <f>STATION!F21</f>
        <v>6.9252582838998391</v>
      </c>
      <c r="K108" s="173">
        <f>STATION!G21</f>
        <v>6.9535442852151723</v>
      </c>
      <c r="L108" s="173">
        <f>STATION!H21</f>
        <v>7.1662837771661314</v>
      </c>
      <c r="M108" s="173">
        <f>STATION!I21</f>
        <v>6.8889678219077766</v>
      </c>
      <c r="N108" s="173">
        <f>STATION!J21</f>
        <v>6.8791790123025276</v>
      </c>
      <c r="O108" s="173">
        <f>STATION!K21</f>
        <v>6.855590022968407</v>
      </c>
      <c r="P108" s="173">
        <f>STATION!L21</f>
        <v>6.975346621070555</v>
      </c>
      <c r="Q108" s="173">
        <f>STATION!M21</f>
        <v>7.0910631756369265</v>
      </c>
      <c r="R108" s="173">
        <f>STATION!N21</f>
        <v>6.9521828015861571</v>
      </c>
      <c r="S108" s="173">
        <f>STATION!O21</f>
        <v>7.1777003484320545</v>
      </c>
      <c r="T108" s="173">
        <f>STATION!P21</f>
        <v>7.1112311774211499</v>
      </c>
      <c r="U108" s="173">
        <f>STATION!Q21</f>
        <v>7.1753596223631453</v>
      </c>
      <c r="V108" s="173">
        <f>STATION!R21</f>
        <v>7.1356993863359071</v>
      </c>
      <c r="W108" s="173">
        <f>STATION!S21</f>
        <v>7.1228943202417145</v>
      </c>
      <c r="X108" s="173">
        <f>STATION!T21</f>
        <v>7.0579738908915957</v>
      </c>
      <c r="Y108" s="173">
        <f>STATION!U21</f>
        <v>7.1263365600449848</v>
      </c>
      <c r="Z108" s="173">
        <f>STATION!V21</f>
        <v>7.0665695840007769</v>
      </c>
      <c r="AA108" s="173">
        <f>STATION!W21</f>
        <v>6.9325597222694242</v>
      </c>
      <c r="AB108" s="173">
        <f>STATION!X21</f>
        <v>6.9929103457198885</v>
      </c>
      <c r="AC108" s="173">
        <f>STATION!Y21</f>
        <v>6.8665277523355943</v>
      </c>
      <c r="AD108" s="173">
        <f>STATION!Z21</f>
        <v>6.8120151298606411</v>
      </c>
      <c r="AE108" s="173">
        <f>STATION!AA21</f>
        <v>6.7617755465977867</v>
      </c>
      <c r="AF108" s="173">
        <f>STATION!AB21</f>
        <v>7.0123117885227613</v>
      </c>
      <c r="AG108" s="173">
        <f>STATION!AC21</f>
        <v>7.0571552548406551</v>
      </c>
      <c r="AH108" s="173">
        <f>STATION!AD21</f>
        <v>6.8962325870845236</v>
      </c>
      <c r="AI108" s="173">
        <f>STATION!AE21</f>
        <v>6.9092470154969376</v>
      </c>
      <c r="AJ108" s="173">
        <f>STATION!AF21</f>
        <v>6.6663886977852842</v>
      </c>
      <c r="AK108" s="173">
        <f>STATION!AG21</f>
        <v>0</v>
      </c>
    </row>
    <row r="109" spans="2:37" ht="29.25" customHeight="1" x14ac:dyDescent="0.2">
      <c r="B109" s="550" t="s">
        <v>409</v>
      </c>
      <c r="C109" s="175" t="s">
        <v>410</v>
      </c>
      <c r="D109" s="176" t="s">
        <v>411</v>
      </c>
      <c r="F109" s="174" t="s">
        <v>412</v>
      </c>
      <c r="G109" s="177">
        <v>8.5</v>
      </c>
      <c r="H109" s="177">
        <v>8.5</v>
      </c>
      <c r="I109" s="177">
        <v>8.5</v>
      </c>
      <c r="J109" s="177">
        <v>8.5</v>
      </c>
      <c r="K109" s="177">
        <v>8.5</v>
      </c>
      <c r="L109" s="177">
        <v>8.5</v>
      </c>
      <c r="M109" s="177">
        <v>8.5</v>
      </c>
      <c r="N109" s="177">
        <v>8.5</v>
      </c>
      <c r="O109" s="177">
        <v>8.5</v>
      </c>
      <c r="P109" s="177">
        <v>8.5</v>
      </c>
      <c r="Q109" s="177">
        <v>8.5</v>
      </c>
      <c r="R109" s="177">
        <v>8.5</v>
      </c>
      <c r="S109" s="177">
        <v>8.5</v>
      </c>
      <c r="T109" s="177">
        <v>8.5</v>
      </c>
      <c r="U109" s="177">
        <v>8.5</v>
      </c>
      <c r="V109" s="177">
        <v>8.5</v>
      </c>
      <c r="W109" s="177">
        <v>8.5</v>
      </c>
      <c r="X109" s="177">
        <v>8.5</v>
      </c>
      <c r="Y109" s="177">
        <v>8.5</v>
      </c>
      <c r="Z109" s="177">
        <v>8.5</v>
      </c>
      <c r="AA109" s="177">
        <v>8.5</v>
      </c>
      <c r="AB109" s="177">
        <v>8.5</v>
      </c>
      <c r="AC109" s="177">
        <v>8.5</v>
      </c>
      <c r="AD109" s="177">
        <v>8.5</v>
      </c>
      <c r="AE109" s="177">
        <v>8.5</v>
      </c>
      <c r="AF109" s="177">
        <v>8.5</v>
      </c>
      <c r="AG109" s="177">
        <v>8.5</v>
      </c>
      <c r="AH109" s="177">
        <v>8.5</v>
      </c>
      <c r="AI109" s="177">
        <v>8.5</v>
      </c>
      <c r="AJ109" s="177">
        <v>8.5</v>
      </c>
      <c r="AK109" s="177">
        <v>8.5</v>
      </c>
    </row>
    <row r="110" spans="2:37" ht="25.5" x14ac:dyDescent="0.2">
      <c r="B110" s="551"/>
      <c r="C110" s="175" t="s">
        <v>413</v>
      </c>
      <c r="D110" s="77" t="s">
        <v>414</v>
      </c>
      <c r="F110" s="174" t="s">
        <v>415</v>
      </c>
      <c r="G110" s="177">
        <v>5</v>
      </c>
      <c r="H110" s="177">
        <v>5</v>
      </c>
      <c r="I110" s="177">
        <v>5</v>
      </c>
      <c r="J110" s="177">
        <v>5</v>
      </c>
      <c r="K110" s="177">
        <v>5</v>
      </c>
      <c r="L110" s="177">
        <v>5</v>
      </c>
      <c r="M110" s="177">
        <v>5</v>
      </c>
      <c r="N110" s="177">
        <v>5</v>
      </c>
      <c r="O110" s="177">
        <v>5</v>
      </c>
      <c r="P110" s="177">
        <v>5</v>
      </c>
      <c r="Q110" s="177">
        <v>5</v>
      </c>
      <c r="R110" s="177">
        <v>5</v>
      </c>
      <c r="S110" s="177">
        <v>5</v>
      </c>
      <c r="T110" s="177">
        <v>5</v>
      </c>
      <c r="U110" s="177">
        <v>5</v>
      </c>
      <c r="V110" s="177">
        <v>5</v>
      </c>
      <c r="W110" s="177">
        <v>5</v>
      </c>
      <c r="X110" s="177">
        <v>5</v>
      </c>
      <c r="Y110" s="177">
        <v>5</v>
      </c>
      <c r="Z110" s="177">
        <v>5</v>
      </c>
      <c r="AA110" s="177">
        <v>5</v>
      </c>
      <c r="AB110" s="177">
        <v>5</v>
      </c>
      <c r="AC110" s="177">
        <v>5</v>
      </c>
      <c r="AD110" s="177">
        <v>5</v>
      </c>
      <c r="AE110" s="177">
        <v>5</v>
      </c>
      <c r="AF110" s="177">
        <v>5</v>
      </c>
      <c r="AG110" s="177">
        <v>5</v>
      </c>
      <c r="AH110" s="177">
        <v>5</v>
      </c>
      <c r="AI110" s="177">
        <v>5</v>
      </c>
      <c r="AJ110" s="177">
        <v>5</v>
      </c>
      <c r="AK110" s="177">
        <v>5</v>
      </c>
    </row>
    <row r="111" spans="2:37" ht="33.75" customHeight="1" thickBot="1" x14ac:dyDescent="0.25">
      <c r="B111" s="552"/>
      <c r="C111" s="175" t="s">
        <v>416</v>
      </c>
      <c r="D111" s="178" t="s">
        <v>417</v>
      </c>
      <c r="F111" s="179" t="s">
        <v>394</v>
      </c>
      <c r="G111" s="232">
        <f>G107/G108</f>
        <v>0.99037129465416784</v>
      </c>
      <c r="H111" s="232">
        <f t="shared" ref="H111:AK111" si="11">H107/H108</f>
        <v>0.96916775306748471</v>
      </c>
      <c r="I111" s="232">
        <f t="shared" si="11"/>
        <v>0.99396629100422629</v>
      </c>
      <c r="J111" s="232">
        <f>J107/J108</f>
        <v>1.0180125723816202</v>
      </c>
      <c r="K111" s="232">
        <f t="shared" si="11"/>
        <v>1.013871446104099</v>
      </c>
      <c r="L111" s="232">
        <f t="shared" si="11"/>
        <v>0.98377348974978562</v>
      </c>
      <c r="M111" s="232">
        <f t="shared" si="11"/>
        <v>1.0233753709198816</v>
      </c>
      <c r="N111" s="232">
        <f t="shared" si="11"/>
        <v>1.0248315950772586</v>
      </c>
      <c r="O111" s="232">
        <f t="shared" si="11"/>
        <v>1.0283578767662969</v>
      </c>
      <c r="P111" s="232">
        <f t="shared" si="11"/>
        <v>1.0107024615384614</v>
      </c>
      <c r="Q111" s="232">
        <f t="shared" si="11"/>
        <v>0.99420916516750135</v>
      </c>
      <c r="R111" s="232">
        <f t="shared" si="11"/>
        <v>1.0140699980431362</v>
      </c>
      <c r="S111" s="232">
        <f t="shared" si="11"/>
        <v>0.98220873786407781</v>
      </c>
      <c r="T111" s="232">
        <f>T107/T108</f>
        <v>0.99138951105744322</v>
      </c>
      <c r="U111" s="232">
        <f t="shared" si="11"/>
        <v>0.98252915129543583</v>
      </c>
      <c r="V111" s="232">
        <f t="shared" si="11"/>
        <v>0.98799005091217651</v>
      </c>
      <c r="W111" s="232">
        <f t="shared" si="11"/>
        <v>0.98976619377398811</v>
      </c>
      <c r="X111" s="232">
        <f t="shared" si="11"/>
        <v>0.99887022947167792</v>
      </c>
      <c r="Y111" s="232">
        <f t="shared" si="11"/>
        <v>0.98928810625181829</v>
      </c>
      <c r="Z111" s="232">
        <f t="shared" si="11"/>
        <v>0.99765521533414292</v>
      </c>
      <c r="AA111" s="232">
        <f t="shared" si="11"/>
        <v>1.0169403917795794</v>
      </c>
      <c r="AB111" s="232">
        <f t="shared" si="11"/>
        <v>1.0081639333922039</v>
      </c>
      <c r="AC111" s="232">
        <f t="shared" si="11"/>
        <v>1.0267197999166315</v>
      </c>
      <c r="AD111" s="232">
        <f t="shared" si="11"/>
        <v>1.0349360454436083</v>
      </c>
      <c r="AE111" s="232">
        <f t="shared" si="11"/>
        <v>1.042625557653601</v>
      </c>
      <c r="AF111" s="232">
        <f t="shared" si="11"/>
        <v>1.0053745772598024</v>
      </c>
      <c r="AG111" s="232">
        <f t="shared" si="11"/>
        <v>0.99898609927339388</v>
      </c>
      <c r="AH111" s="232">
        <f t="shared" si="11"/>
        <v>1.0222973066777732</v>
      </c>
      <c r="AI111" s="232">
        <f t="shared" si="11"/>
        <v>1.0203716822089821</v>
      </c>
      <c r="AJ111" s="232">
        <f t="shared" si="11"/>
        <v>1.0575440946523504</v>
      </c>
      <c r="AK111" s="232" t="e">
        <f t="shared" si="11"/>
        <v>#DIV/0!</v>
      </c>
    </row>
    <row r="112" spans="2:37" ht="20.100000000000001" customHeight="1" thickBot="1" x14ac:dyDescent="0.25">
      <c r="B112" s="553" t="s">
        <v>418</v>
      </c>
      <c r="C112" s="554"/>
      <c r="D112" s="555"/>
      <c r="F112" s="174"/>
      <c r="G112" s="180"/>
      <c r="H112" s="180"/>
      <c r="I112" s="180"/>
      <c r="J112" s="180"/>
      <c r="K112" s="180"/>
      <c r="L112" s="180"/>
      <c r="M112" s="180"/>
      <c r="N112" s="180"/>
      <c r="O112" s="180"/>
      <c r="P112" s="180"/>
      <c r="Q112" s="180"/>
      <c r="R112" s="180"/>
      <c r="S112" s="180"/>
      <c r="T112" s="180"/>
      <c r="U112" s="180"/>
      <c r="V112" s="180"/>
      <c r="W112" s="180"/>
      <c r="X112" s="180"/>
      <c r="Y112" s="180"/>
      <c r="Z112" s="180"/>
      <c r="AA112" s="180"/>
      <c r="AB112" s="180"/>
      <c r="AC112" s="180"/>
      <c r="AD112" s="180"/>
      <c r="AE112" s="180"/>
      <c r="AF112" s="180"/>
      <c r="AG112" s="180"/>
      <c r="AH112" s="180"/>
      <c r="AI112" s="180"/>
      <c r="AJ112" s="180"/>
      <c r="AK112" s="180"/>
    </row>
    <row r="113" spans="2:34" ht="5.25" customHeight="1" x14ac:dyDescent="0.2">
      <c r="E113" s="181"/>
      <c r="AC113" s="182"/>
      <c r="AD113" s="182"/>
      <c r="AE113" s="182"/>
    </row>
    <row r="117" spans="2:34" ht="61.5" customHeight="1" x14ac:dyDescent="0.2">
      <c r="F117" s="559"/>
      <c r="G117" s="559"/>
      <c r="H117" s="559"/>
      <c r="I117" s="559"/>
      <c r="J117" s="559"/>
      <c r="K117" s="559"/>
      <c r="L117" s="559"/>
      <c r="M117" s="559"/>
      <c r="N117" s="559"/>
      <c r="O117" s="559"/>
      <c r="P117" s="559"/>
      <c r="Q117" s="559"/>
      <c r="R117" s="559"/>
      <c r="S117" s="559"/>
      <c r="T117" s="559"/>
      <c r="U117" s="559"/>
      <c r="V117" s="559"/>
      <c r="W117" s="559"/>
    </row>
    <row r="118" spans="2:34" ht="24.95" customHeight="1" x14ac:dyDescent="0.2">
      <c r="B118" s="160" t="s">
        <v>404</v>
      </c>
    </row>
    <row r="119" spans="2:34" ht="24.95" customHeight="1" x14ac:dyDescent="0.2">
      <c r="AD119" s="560"/>
      <c r="AE119" s="560"/>
      <c r="AF119" s="560"/>
      <c r="AG119" s="560"/>
      <c r="AH119" s="560"/>
    </row>
    <row r="120" spans="2:34" ht="24.95" customHeight="1" x14ac:dyDescent="0.2">
      <c r="C120" s="161"/>
      <c r="D120" s="161"/>
      <c r="F120" s="160"/>
      <c r="G120" s="160"/>
      <c r="H120" s="160"/>
      <c r="I120" s="160"/>
      <c r="J120" s="160"/>
      <c r="K120" s="160"/>
      <c r="L120" s="160"/>
      <c r="M120" s="160"/>
      <c r="N120" s="160"/>
      <c r="O120" s="160"/>
      <c r="P120" s="160"/>
      <c r="Q120" s="160"/>
      <c r="R120" s="160"/>
      <c r="S120" s="160"/>
      <c r="T120" s="160"/>
      <c r="U120" s="160"/>
      <c r="V120" s="160"/>
      <c r="W120" s="160"/>
      <c r="AE120" s="561"/>
      <c r="AF120" s="561"/>
      <c r="AG120" s="561"/>
      <c r="AH120" s="561"/>
    </row>
    <row r="121" spans="2:34" ht="24.95" customHeight="1" x14ac:dyDescent="0.2">
      <c r="T121" s="150"/>
      <c r="U121" s="150"/>
      <c r="V121" s="150"/>
      <c r="W121" s="150"/>
      <c r="AE121" s="561"/>
      <c r="AF121" s="561"/>
      <c r="AG121" s="561"/>
      <c r="AH121" s="561"/>
    </row>
    <row r="122" spans="2:34" ht="24.95" customHeight="1" x14ac:dyDescent="0.2"/>
    <row r="123" spans="2:34" ht="24.95" customHeight="1" x14ac:dyDescent="0.2"/>
    <row r="124" spans="2:34" ht="24.95" customHeight="1" x14ac:dyDescent="0.2"/>
    <row r="125" spans="2:34" ht="24.95" customHeight="1" x14ac:dyDescent="0.2"/>
    <row r="126" spans="2:34" ht="24.95" customHeight="1" x14ac:dyDescent="0.2"/>
    <row r="127" spans="2:34" ht="24.95" customHeight="1" x14ac:dyDescent="0.2"/>
    <row r="128" spans="2:34" ht="24.95" customHeight="1" x14ac:dyDescent="0.2"/>
    <row r="129" spans="2:38" ht="24.95" customHeight="1" x14ac:dyDescent="0.2"/>
    <row r="130" spans="2:38" ht="24.95" customHeight="1" x14ac:dyDescent="0.2"/>
    <row r="131" spans="2:38" ht="24.95" customHeight="1" x14ac:dyDescent="0.2"/>
    <row r="132" spans="2:38" ht="24.95" customHeight="1" x14ac:dyDescent="0.2"/>
    <row r="133" spans="2:38" ht="24.95" customHeight="1" x14ac:dyDescent="0.2"/>
    <row r="134" spans="2:38" ht="24.95" customHeight="1" x14ac:dyDescent="0.2"/>
    <row r="135" spans="2:38" ht="24.95" customHeight="1" x14ac:dyDescent="0.2"/>
    <row r="136" spans="2:38" ht="24.95" customHeight="1" x14ac:dyDescent="0.2">
      <c r="B136" s="163" t="s">
        <v>405</v>
      </c>
      <c r="C136" s="164" t="str">
        <f>D3</f>
        <v>Jan'24</v>
      </c>
      <c r="D136" s="164" t="e">
        <f>#REF!</f>
        <v>#REF!</v>
      </c>
      <c r="E136" s="164" t="str">
        <f>F3</f>
        <v>Feb'24</v>
      </c>
      <c r="F136" s="162"/>
      <c r="G136" s="162"/>
      <c r="H136" s="162"/>
      <c r="I136" s="162"/>
      <c r="J136" s="162"/>
      <c r="K136" s="162"/>
      <c r="L136" s="162"/>
      <c r="M136" s="162"/>
      <c r="N136" s="162"/>
      <c r="O136" s="162"/>
      <c r="P136" s="162"/>
      <c r="Q136" s="162"/>
      <c r="R136" s="162"/>
      <c r="S136" s="162"/>
      <c r="T136" s="162"/>
      <c r="U136" s="162"/>
      <c r="V136" s="162"/>
      <c r="W136" s="162"/>
      <c r="X136" s="162"/>
      <c r="Y136" s="162"/>
      <c r="Z136" s="162"/>
      <c r="AA136" s="162"/>
      <c r="AB136" s="162"/>
      <c r="AC136" s="162"/>
      <c r="AD136" s="162"/>
      <c r="AE136" s="162"/>
      <c r="AF136" s="162"/>
      <c r="AG136" s="162"/>
      <c r="AH136" s="162"/>
      <c r="AI136" s="162"/>
      <c r="AJ136" s="162"/>
      <c r="AK136" s="162"/>
      <c r="AL136" s="162"/>
    </row>
    <row r="137" spans="2:38" ht="24.95" customHeight="1" x14ac:dyDescent="0.2">
      <c r="B137" s="165" t="s">
        <v>397</v>
      </c>
      <c r="C137" s="184">
        <v>2.5</v>
      </c>
      <c r="D137" s="184">
        <v>2.5</v>
      </c>
      <c r="E137" s="184">
        <v>2.5</v>
      </c>
    </row>
    <row r="138" spans="2:38" ht="24.95" customHeight="1" x14ac:dyDescent="0.2">
      <c r="B138" s="165" t="s">
        <v>398</v>
      </c>
      <c r="C138" s="184">
        <v>2.9</v>
      </c>
      <c r="D138" s="184">
        <v>3.16</v>
      </c>
      <c r="E138" s="184">
        <v>3.6</v>
      </c>
    </row>
    <row r="139" spans="2:38" ht="24.95" customHeight="1" thickBot="1" x14ac:dyDescent="0.25">
      <c r="B139" s="165"/>
      <c r="C139" s="166"/>
      <c r="D139" s="166"/>
      <c r="E139" s="166"/>
    </row>
    <row r="140" spans="2:38" ht="24.95" customHeight="1" thickBot="1" x14ac:dyDescent="0.25">
      <c r="B140" s="167" t="s">
        <v>394</v>
      </c>
      <c r="C140" s="233">
        <f>C137/C138</f>
        <v>0.86206896551724144</v>
      </c>
      <c r="D140" s="233">
        <f>D137/D138</f>
        <v>0.79113924050632911</v>
      </c>
      <c r="E140" s="233">
        <f>E137/E138</f>
        <v>0.69444444444444442</v>
      </c>
      <c r="F140" s="168" t="s">
        <v>406</v>
      </c>
      <c r="G140" s="169">
        <v>1</v>
      </c>
      <c r="H140" s="169">
        <v>2</v>
      </c>
      <c r="I140" s="169">
        <v>3</v>
      </c>
      <c r="J140" s="169">
        <v>4</v>
      </c>
      <c r="K140" s="169">
        <v>5</v>
      </c>
      <c r="L140" s="169">
        <v>6</v>
      </c>
      <c r="M140" s="169">
        <v>7</v>
      </c>
      <c r="N140" s="169">
        <v>8</v>
      </c>
      <c r="O140" s="169">
        <v>9</v>
      </c>
      <c r="P140" s="169">
        <v>10</v>
      </c>
      <c r="Q140" s="169">
        <v>11</v>
      </c>
      <c r="R140" s="169">
        <v>12</v>
      </c>
      <c r="S140" s="169">
        <v>13</v>
      </c>
      <c r="T140" s="169">
        <v>14</v>
      </c>
      <c r="U140" s="169">
        <v>15</v>
      </c>
      <c r="V140" s="169">
        <v>16</v>
      </c>
      <c r="W140" s="169">
        <v>17</v>
      </c>
      <c r="X140" s="169">
        <v>18</v>
      </c>
      <c r="Y140" s="169">
        <v>19</v>
      </c>
      <c r="Z140" s="169">
        <v>20</v>
      </c>
      <c r="AA140" s="169">
        <v>21</v>
      </c>
      <c r="AB140" s="169">
        <v>22</v>
      </c>
      <c r="AC140" s="169">
        <v>23</v>
      </c>
      <c r="AD140" s="169">
        <v>24</v>
      </c>
      <c r="AE140" s="169">
        <v>25</v>
      </c>
      <c r="AF140" s="169">
        <v>26</v>
      </c>
      <c r="AG140" s="169">
        <v>27</v>
      </c>
      <c r="AH140" s="169">
        <v>28</v>
      </c>
      <c r="AI140" s="169">
        <v>29</v>
      </c>
      <c r="AJ140" s="169">
        <v>30</v>
      </c>
      <c r="AK140" s="169">
        <v>31</v>
      </c>
    </row>
    <row r="141" spans="2:38" ht="24.95" customHeight="1" x14ac:dyDescent="0.2">
      <c r="C141" s="150"/>
      <c r="D141" s="235"/>
      <c r="E141" s="235"/>
      <c r="F141" s="170" t="s">
        <v>420</v>
      </c>
      <c r="G141" s="171">
        <v>1</v>
      </c>
      <c r="H141" s="171">
        <v>2</v>
      </c>
      <c r="I141" s="171">
        <v>3</v>
      </c>
      <c r="J141" s="171">
        <v>4</v>
      </c>
      <c r="K141" s="171">
        <v>5</v>
      </c>
      <c r="L141" s="171">
        <v>6</v>
      </c>
      <c r="M141" s="171">
        <v>7</v>
      </c>
      <c r="N141" s="171">
        <v>8</v>
      </c>
      <c r="O141" s="171">
        <v>9</v>
      </c>
      <c r="P141" s="171">
        <v>10</v>
      </c>
      <c r="Q141" s="171">
        <v>11</v>
      </c>
      <c r="R141" s="171">
        <v>12</v>
      </c>
      <c r="S141" s="171">
        <v>13</v>
      </c>
      <c r="T141" s="171">
        <v>14</v>
      </c>
      <c r="U141" s="171">
        <v>15</v>
      </c>
      <c r="V141" s="171">
        <v>16</v>
      </c>
      <c r="W141" s="171">
        <v>17</v>
      </c>
      <c r="X141" s="171">
        <v>18</v>
      </c>
      <c r="Y141" s="171">
        <v>19</v>
      </c>
      <c r="Z141" s="171">
        <v>20</v>
      </c>
      <c r="AA141" s="171">
        <v>21</v>
      </c>
      <c r="AB141" s="171">
        <v>22</v>
      </c>
      <c r="AC141" s="171">
        <v>23</v>
      </c>
      <c r="AD141" s="171">
        <v>24</v>
      </c>
      <c r="AE141" s="171">
        <v>25</v>
      </c>
      <c r="AF141" s="171">
        <v>26</v>
      </c>
      <c r="AG141" s="171">
        <v>27</v>
      </c>
      <c r="AH141" s="171">
        <v>28</v>
      </c>
      <c r="AI141" s="171">
        <v>29</v>
      </c>
      <c r="AJ141" s="171">
        <v>30</v>
      </c>
      <c r="AK141" s="171">
        <v>31</v>
      </c>
    </row>
    <row r="142" spans="2:38" ht="24.95" customHeight="1" thickBot="1" x14ac:dyDescent="0.25">
      <c r="F142" s="172" t="s">
        <v>397</v>
      </c>
      <c r="G142" s="173">
        <f>$C$10</f>
        <v>3</v>
      </c>
      <c r="H142" s="173">
        <f t="shared" ref="H142:AK142" si="12">$C$10</f>
        <v>3</v>
      </c>
      <c r="I142" s="173">
        <f t="shared" si="12"/>
        <v>3</v>
      </c>
      <c r="J142" s="173">
        <f t="shared" si="12"/>
        <v>3</v>
      </c>
      <c r="K142" s="173">
        <f t="shared" si="12"/>
        <v>3</v>
      </c>
      <c r="L142" s="173">
        <f t="shared" si="12"/>
        <v>3</v>
      </c>
      <c r="M142" s="173">
        <f t="shared" si="12"/>
        <v>3</v>
      </c>
      <c r="N142" s="173">
        <f t="shared" si="12"/>
        <v>3</v>
      </c>
      <c r="O142" s="173">
        <f t="shared" si="12"/>
        <v>3</v>
      </c>
      <c r="P142" s="173">
        <f t="shared" si="12"/>
        <v>3</v>
      </c>
      <c r="Q142" s="173">
        <f t="shared" si="12"/>
        <v>3</v>
      </c>
      <c r="R142" s="173">
        <f t="shared" si="12"/>
        <v>3</v>
      </c>
      <c r="S142" s="173">
        <f t="shared" si="12"/>
        <v>3</v>
      </c>
      <c r="T142" s="173">
        <f t="shared" si="12"/>
        <v>3</v>
      </c>
      <c r="U142" s="173">
        <f t="shared" si="12"/>
        <v>3</v>
      </c>
      <c r="V142" s="173">
        <f t="shared" si="12"/>
        <v>3</v>
      </c>
      <c r="W142" s="173">
        <f t="shared" si="12"/>
        <v>3</v>
      </c>
      <c r="X142" s="173">
        <f t="shared" si="12"/>
        <v>3</v>
      </c>
      <c r="Y142" s="173">
        <f t="shared" si="12"/>
        <v>3</v>
      </c>
      <c r="Z142" s="173">
        <f t="shared" si="12"/>
        <v>3</v>
      </c>
      <c r="AA142" s="173">
        <f t="shared" si="12"/>
        <v>3</v>
      </c>
      <c r="AB142" s="173">
        <f t="shared" si="12"/>
        <v>3</v>
      </c>
      <c r="AC142" s="173">
        <f t="shared" si="12"/>
        <v>3</v>
      </c>
      <c r="AD142" s="173">
        <f t="shared" si="12"/>
        <v>3</v>
      </c>
      <c r="AE142" s="173">
        <f t="shared" si="12"/>
        <v>3</v>
      </c>
      <c r="AF142" s="173">
        <f t="shared" si="12"/>
        <v>3</v>
      </c>
      <c r="AG142" s="173">
        <f t="shared" si="12"/>
        <v>3</v>
      </c>
      <c r="AH142" s="173">
        <f t="shared" si="12"/>
        <v>3</v>
      </c>
      <c r="AI142" s="173">
        <f t="shared" si="12"/>
        <v>3</v>
      </c>
      <c r="AJ142" s="173">
        <f t="shared" si="12"/>
        <v>3</v>
      </c>
      <c r="AK142" s="173">
        <f t="shared" si="12"/>
        <v>3</v>
      </c>
    </row>
    <row r="143" spans="2:38" ht="24.95" customHeight="1" x14ac:dyDescent="0.2">
      <c r="B143" s="556" t="s">
        <v>408</v>
      </c>
      <c r="C143" s="557"/>
      <c r="D143" s="558"/>
      <c r="F143" s="174" t="s">
        <v>398</v>
      </c>
      <c r="G143" s="173">
        <f>STATION!C$51</f>
        <v>1.8492879746835444</v>
      </c>
      <c r="H143" s="173">
        <f>STATION!D$51</f>
        <v>1.9426092101370676</v>
      </c>
      <c r="I143" s="173">
        <f>STATION!E$51</f>
        <v>1.6681214237222384</v>
      </c>
      <c r="J143" s="173">
        <f>STATION!F$51</f>
        <v>1.836521077171948</v>
      </c>
      <c r="K143" s="173">
        <f>STATION!G$51</f>
        <v>2.165823871767961</v>
      </c>
      <c r="L143" s="173">
        <f>STATION!H$51</f>
        <v>1.9119351100811124</v>
      </c>
      <c r="M143" s="173">
        <f>STATION!I$51</f>
        <v>1.9010317157050056</v>
      </c>
      <c r="N143" s="173">
        <f>STATION!J$51</f>
        <v>1.9391363153318519</v>
      </c>
      <c r="O143" s="173">
        <f>STATION!K$51</f>
        <v>1.8981631293423431</v>
      </c>
      <c r="P143" s="173">
        <f>STATION!L$51</f>
        <v>1.8928639030853682</v>
      </c>
      <c r="Q143" s="173">
        <f>STATION!M$51</f>
        <v>1.8718833908707326</v>
      </c>
      <c r="R143" s="173">
        <f>STATION!N$51</f>
        <v>1.9304682368396358</v>
      </c>
      <c r="S143" s="173">
        <f>STATION!O$51</f>
        <v>1.7725177645477244</v>
      </c>
      <c r="T143" s="173">
        <f>STATION!P$51</f>
        <v>1.7690646775934831</v>
      </c>
      <c r="U143" s="173">
        <f>STATION!Q$51</f>
        <v>1.9160942100098135</v>
      </c>
      <c r="V143" s="173">
        <f>STATION!R$51</f>
        <v>2.030090563832895</v>
      </c>
      <c r="W143" s="173">
        <f>STATION!S$51</f>
        <v>1.8353078267624783</v>
      </c>
      <c r="X143" s="173">
        <f>STATION!T$51</f>
        <v>1.9556451612903223</v>
      </c>
      <c r="Y143" s="173">
        <f>STATION!U$51</f>
        <v>1.7836142689141514</v>
      </c>
      <c r="Z143" s="173">
        <f>STATION!V$51</f>
        <v>2.0614851485148513</v>
      </c>
      <c r="AA143" s="173">
        <f>STATION!W$51</f>
        <v>1.9661773457647291</v>
      </c>
      <c r="AB143" s="173">
        <f>STATION!X$51</f>
        <v>1.9359785317232128</v>
      </c>
      <c r="AC143" s="173">
        <f>STATION!Y$51</f>
        <v>1.8122065727699528</v>
      </c>
      <c r="AD143" s="173">
        <f>STATION!Z$51</f>
        <v>1.7873018850229765</v>
      </c>
      <c r="AE143" s="173">
        <f>STATION!AA$51</f>
        <v>1.8498459239891678</v>
      </c>
      <c r="AF143" s="173">
        <f>STATION!AB$51</f>
        <v>2.3729033546325877</v>
      </c>
      <c r="AG143" s="173">
        <f>STATION!AC$51</f>
        <v>2.5484427310540734</v>
      </c>
      <c r="AH143" s="173">
        <f>STATION!AD$51</f>
        <v>2.0893719806763285</v>
      </c>
      <c r="AI143" s="173">
        <f>STATION!AE$51</f>
        <v>2.0652069065303365</v>
      </c>
      <c r="AJ143" s="173">
        <f>STATION!AF$51</f>
        <v>1.9174041297935103</v>
      </c>
      <c r="AK143" s="173">
        <f>STATION!AG$51</f>
        <v>0</v>
      </c>
    </row>
    <row r="144" spans="2:38" ht="24.95" customHeight="1" x14ac:dyDescent="0.2">
      <c r="B144" s="550" t="s">
        <v>409</v>
      </c>
      <c r="C144" s="175" t="s">
        <v>410</v>
      </c>
      <c r="D144" s="176" t="s">
        <v>411</v>
      </c>
      <c r="F144" s="174" t="s">
        <v>412</v>
      </c>
      <c r="G144" s="177">
        <v>3.5</v>
      </c>
      <c r="H144" s="177">
        <v>3.5</v>
      </c>
      <c r="I144" s="177">
        <v>3.5</v>
      </c>
      <c r="J144" s="177">
        <v>3.5</v>
      </c>
      <c r="K144" s="177">
        <v>3.5</v>
      </c>
      <c r="L144" s="177">
        <v>3.5</v>
      </c>
      <c r="M144" s="177">
        <v>3.5</v>
      </c>
      <c r="N144" s="177">
        <v>3.5</v>
      </c>
      <c r="O144" s="177">
        <v>3.5</v>
      </c>
      <c r="P144" s="177">
        <v>3.5</v>
      </c>
      <c r="Q144" s="177">
        <v>3.5</v>
      </c>
      <c r="R144" s="177">
        <v>3.5</v>
      </c>
      <c r="S144" s="177">
        <v>3.5</v>
      </c>
      <c r="T144" s="177">
        <v>3.5</v>
      </c>
      <c r="U144" s="177">
        <v>3.5</v>
      </c>
      <c r="V144" s="177">
        <v>3.5</v>
      </c>
      <c r="W144" s="177">
        <v>3.5</v>
      </c>
      <c r="X144" s="177">
        <v>3.5</v>
      </c>
      <c r="Y144" s="177">
        <v>3.5</v>
      </c>
      <c r="Z144" s="177">
        <v>3.5</v>
      </c>
      <c r="AA144" s="177">
        <v>3.5</v>
      </c>
      <c r="AB144" s="177">
        <v>3.5</v>
      </c>
      <c r="AC144" s="177">
        <v>3.5</v>
      </c>
      <c r="AD144" s="177">
        <v>3.5</v>
      </c>
      <c r="AE144" s="177">
        <v>3.5</v>
      </c>
      <c r="AF144" s="177">
        <v>3.5</v>
      </c>
      <c r="AG144" s="177">
        <v>3.5</v>
      </c>
      <c r="AH144" s="177">
        <v>3.5</v>
      </c>
      <c r="AI144" s="177">
        <v>3.5</v>
      </c>
      <c r="AJ144" s="177">
        <v>3.5</v>
      </c>
      <c r="AK144" s="177">
        <v>3.5</v>
      </c>
    </row>
    <row r="145" spans="2:37" ht="24.95" customHeight="1" x14ac:dyDescent="0.2">
      <c r="B145" s="551"/>
      <c r="C145" s="175" t="s">
        <v>413</v>
      </c>
      <c r="D145" s="77" t="s">
        <v>414</v>
      </c>
      <c r="F145" s="174" t="s">
        <v>415</v>
      </c>
      <c r="G145" s="177">
        <v>2</v>
      </c>
      <c r="H145" s="177">
        <v>2</v>
      </c>
      <c r="I145" s="177">
        <v>2</v>
      </c>
      <c r="J145" s="177">
        <v>2</v>
      </c>
      <c r="K145" s="177">
        <v>2</v>
      </c>
      <c r="L145" s="177">
        <v>2</v>
      </c>
      <c r="M145" s="177">
        <v>2</v>
      </c>
      <c r="N145" s="177">
        <v>2</v>
      </c>
      <c r="O145" s="177">
        <v>2</v>
      </c>
      <c r="P145" s="177">
        <v>2</v>
      </c>
      <c r="Q145" s="177">
        <v>2</v>
      </c>
      <c r="R145" s="177">
        <v>2</v>
      </c>
      <c r="S145" s="177">
        <v>2</v>
      </c>
      <c r="T145" s="177">
        <v>2</v>
      </c>
      <c r="U145" s="177">
        <v>2</v>
      </c>
      <c r="V145" s="177">
        <v>2</v>
      </c>
      <c r="W145" s="177">
        <v>2</v>
      </c>
      <c r="X145" s="177">
        <v>2</v>
      </c>
      <c r="Y145" s="177">
        <v>2</v>
      </c>
      <c r="Z145" s="177">
        <v>2</v>
      </c>
      <c r="AA145" s="177">
        <v>2</v>
      </c>
      <c r="AB145" s="177">
        <v>2</v>
      </c>
      <c r="AC145" s="177">
        <v>2</v>
      </c>
      <c r="AD145" s="177">
        <v>2</v>
      </c>
      <c r="AE145" s="177">
        <v>2</v>
      </c>
      <c r="AF145" s="177">
        <v>2</v>
      </c>
      <c r="AG145" s="177">
        <v>2</v>
      </c>
      <c r="AH145" s="177">
        <v>2</v>
      </c>
      <c r="AI145" s="177">
        <v>2</v>
      </c>
      <c r="AJ145" s="177">
        <v>2</v>
      </c>
      <c r="AK145" s="177">
        <v>2</v>
      </c>
    </row>
    <row r="146" spans="2:37" ht="24.95" customHeight="1" thickBot="1" x14ac:dyDescent="0.25">
      <c r="B146" s="552"/>
      <c r="C146" s="175" t="s">
        <v>416</v>
      </c>
      <c r="D146" s="178" t="s">
        <v>417</v>
      </c>
      <c r="F146" s="179" t="s">
        <v>394</v>
      </c>
      <c r="G146" s="232">
        <f>G142/G143</f>
        <v>1.6222459893048127</v>
      </c>
      <c r="H146" s="232">
        <f t="shared" ref="H146:AK146" si="13">H142/H143</f>
        <v>1.5443147208121826</v>
      </c>
      <c r="I146" s="232">
        <f t="shared" si="13"/>
        <v>1.7984302325581396</v>
      </c>
      <c r="J146" s="232">
        <f t="shared" si="13"/>
        <v>1.633523316062176</v>
      </c>
      <c r="K146" s="232">
        <f t="shared" si="13"/>
        <v>1.3851541850220266</v>
      </c>
      <c r="L146" s="232">
        <f t="shared" si="13"/>
        <v>1.5690909090909091</v>
      </c>
      <c r="M146" s="232">
        <f t="shared" si="13"/>
        <v>1.5780904522613066</v>
      </c>
      <c r="N146" s="232">
        <f>N142/N143</f>
        <v>1.5470805101634117</v>
      </c>
      <c r="O146" s="232">
        <f t="shared" si="13"/>
        <v>1.5804753309265946</v>
      </c>
      <c r="P146" s="232">
        <f t="shared" si="13"/>
        <v>1.5849</v>
      </c>
      <c r="Q146" s="232">
        <f>Q142/Q143</f>
        <v>1.6026639344262295</v>
      </c>
      <c r="R146" s="232">
        <f t="shared" si="13"/>
        <v>1.5540271229281097</v>
      </c>
      <c r="S146" s="232">
        <f t="shared" si="13"/>
        <v>1.692507719811474</v>
      </c>
      <c r="T146" s="232">
        <f t="shared" si="13"/>
        <v>1.6958113730929265</v>
      </c>
      <c r="U146" s="232">
        <f t="shared" si="13"/>
        <v>1.565685019206146</v>
      </c>
      <c r="V146" s="232">
        <f t="shared" si="13"/>
        <v>1.4777665851201613</v>
      </c>
      <c r="W146" s="232">
        <f t="shared" si="13"/>
        <v>1.6346031746031744</v>
      </c>
      <c r="X146" s="232">
        <f t="shared" si="13"/>
        <v>1.5340206185567014</v>
      </c>
      <c r="Y146" s="232">
        <f t="shared" si="13"/>
        <v>1.6819780219780218</v>
      </c>
      <c r="Z146" s="232">
        <f t="shared" si="13"/>
        <v>1.4552615148167716</v>
      </c>
      <c r="AA146" s="232">
        <f t="shared" si="13"/>
        <v>1.5258033597336429</v>
      </c>
      <c r="AB146" s="232">
        <f t="shared" si="13"/>
        <v>1.5496039603960394</v>
      </c>
      <c r="AC146" s="232">
        <f t="shared" si="13"/>
        <v>1.6554404145077724</v>
      </c>
      <c r="AD146" s="232">
        <f t="shared" si="13"/>
        <v>1.6785077132962536</v>
      </c>
      <c r="AE146" s="232">
        <f t="shared" si="13"/>
        <v>1.621756688541141</v>
      </c>
      <c r="AF146" s="232">
        <f t="shared" si="13"/>
        <v>1.264273993352127</v>
      </c>
      <c r="AG146" s="232">
        <f t="shared" si="13"/>
        <v>1.1771894904458597</v>
      </c>
      <c r="AH146" s="232">
        <f t="shared" si="13"/>
        <v>1.4358381502890174</v>
      </c>
      <c r="AI146" s="232">
        <f t="shared" si="13"/>
        <v>1.4526389537599254</v>
      </c>
      <c r="AJ146" s="232">
        <f t="shared" si="13"/>
        <v>1.5646153846153847</v>
      </c>
      <c r="AK146" s="232" t="e">
        <f t="shared" si="13"/>
        <v>#DIV/0!</v>
      </c>
    </row>
    <row r="147" spans="2:37" ht="24.95" customHeight="1" thickBot="1" x14ac:dyDescent="0.25">
      <c r="B147" s="553" t="s">
        <v>418</v>
      </c>
      <c r="C147" s="554"/>
      <c r="D147" s="555"/>
      <c r="F147" s="174"/>
      <c r="G147" s="180"/>
      <c r="H147" s="180"/>
      <c r="I147" s="180"/>
      <c r="J147" s="180"/>
      <c r="K147" s="180"/>
      <c r="L147" s="180"/>
      <c r="M147" s="180"/>
      <c r="N147" s="180"/>
      <c r="O147" s="180"/>
      <c r="P147" s="180"/>
      <c r="Q147" s="180"/>
      <c r="R147" s="180"/>
      <c r="S147" s="180"/>
      <c r="T147" s="180"/>
      <c r="U147" s="180"/>
      <c r="V147" s="180"/>
      <c r="W147" s="180"/>
      <c r="X147" s="180"/>
      <c r="Y147" s="180"/>
      <c r="Z147" s="180"/>
      <c r="AA147" s="180"/>
      <c r="AB147" s="180"/>
      <c r="AC147" s="180"/>
      <c r="AD147" s="180"/>
      <c r="AE147" s="180"/>
      <c r="AF147" s="180"/>
      <c r="AG147" s="180"/>
      <c r="AH147" s="180"/>
      <c r="AI147" s="180"/>
      <c r="AJ147" s="180"/>
      <c r="AK147" s="180"/>
    </row>
    <row r="148" spans="2:37" ht="24.95" customHeight="1" x14ac:dyDescent="0.2">
      <c r="E148" s="181"/>
      <c r="AC148" s="182"/>
      <c r="AD148" s="182"/>
      <c r="AE148" s="182"/>
    </row>
    <row r="149" spans="2:37" ht="24.95" customHeight="1" x14ac:dyDescent="0.2"/>
    <row r="150" spans="2:37" ht="24.95" customHeight="1" x14ac:dyDescent="0.2"/>
    <row r="151" spans="2:37" ht="24.95" customHeight="1" x14ac:dyDescent="0.2">
      <c r="F151" s="559"/>
      <c r="G151" s="559"/>
      <c r="H151" s="559"/>
      <c r="I151" s="559"/>
      <c r="J151" s="559"/>
      <c r="K151" s="559"/>
      <c r="L151" s="559"/>
      <c r="M151" s="559"/>
      <c r="N151" s="559"/>
      <c r="O151" s="559"/>
      <c r="P151" s="559"/>
      <c r="Q151" s="559"/>
      <c r="R151" s="559"/>
      <c r="S151" s="559"/>
      <c r="T151" s="559"/>
      <c r="U151" s="559"/>
      <c r="V151" s="559"/>
      <c r="W151" s="559"/>
    </row>
    <row r="152" spans="2:37" ht="24.95" customHeight="1" x14ac:dyDescent="0.2">
      <c r="B152" s="160" t="s">
        <v>404</v>
      </c>
    </row>
    <row r="153" spans="2:37" ht="24.95" customHeight="1" x14ac:dyDescent="0.2">
      <c r="AD153" s="560"/>
      <c r="AE153" s="560"/>
      <c r="AF153" s="560"/>
      <c r="AG153" s="560"/>
      <c r="AH153" s="560"/>
    </row>
    <row r="154" spans="2:37" ht="24.95" customHeight="1" x14ac:dyDescent="0.2">
      <c r="C154" s="161"/>
      <c r="D154" s="161"/>
      <c r="F154" s="160"/>
      <c r="G154" s="160"/>
      <c r="H154" s="160"/>
      <c r="I154" s="160"/>
      <c r="J154" s="160"/>
      <c r="K154" s="160"/>
      <c r="L154" s="160"/>
      <c r="M154" s="160"/>
      <c r="N154" s="160"/>
      <c r="O154" s="160"/>
      <c r="P154" s="160"/>
      <c r="Q154" s="160"/>
      <c r="R154" s="160"/>
      <c r="S154" s="160"/>
      <c r="T154" s="160"/>
      <c r="U154" s="160"/>
      <c r="V154" s="160"/>
      <c r="W154" s="160"/>
      <c r="AE154" s="561"/>
      <c r="AF154" s="561"/>
      <c r="AG154" s="561"/>
      <c r="AH154" s="561"/>
    </row>
    <row r="155" spans="2:37" ht="24.95" customHeight="1" x14ac:dyDescent="0.2">
      <c r="T155" s="150"/>
      <c r="U155" s="150"/>
      <c r="V155" s="150"/>
      <c r="W155" s="150"/>
      <c r="AE155" s="561"/>
      <c r="AF155" s="561"/>
      <c r="AG155" s="561"/>
      <c r="AH155" s="561"/>
    </row>
    <row r="156" spans="2:37" ht="24.95" customHeight="1" x14ac:dyDescent="0.2"/>
    <row r="157" spans="2:37" ht="24.95" customHeight="1" x14ac:dyDescent="0.2"/>
    <row r="158" spans="2:37" ht="24.95" customHeight="1" x14ac:dyDescent="0.2"/>
    <row r="159" spans="2:37" ht="24.95" customHeight="1" x14ac:dyDescent="0.2"/>
    <row r="160" spans="2:37" ht="24.95" customHeight="1" x14ac:dyDescent="0.2"/>
    <row r="161" spans="2:38" ht="24.95" customHeight="1" x14ac:dyDescent="0.2"/>
    <row r="162" spans="2:38" ht="24.95" customHeight="1" x14ac:dyDescent="0.2"/>
    <row r="163" spans="2:38" ht="24.95" customHeight="1" x14ac:dyDescent="0.2"/>
    <row r="164" spans="2:38" ht="24.95" customHeight="1" x14ac:dyDescent="0.2"/>
    <row r="165" spans="2:38" ht="24.95" customHeight="1" x14ac:dyDescent="0.2"/>
    <row r="166" spans="2:38" ht="24.95" customHeight="1" x14ac:dyDescent="0.2"/>
    <row r="167" spans="2:38" ht="24.95" customHeight="1" x14ac:dyDescent="0.2"/>
    <row r="168" spans="2:38" ht="24.95" customHeight="1" x14ac:dyDescent="0.2"/>
    <row r="169" spans="2:38" ht="24.95" customHeight="1" x14ac:dyDescent="0.2"/>
    <row r="170" spans="2:38" ht="24.95" customHeight="1" x14ac:dyDescent="0.2">
      <c r="B170" s="163" t="s">
        <v>405</v>
      </c>
      <c r="C170" s="164" t="str">
        <f>D3</f>
        <v>Jan'24</v>
      </c>
      <c r="D170" s="164" t="e">
        <f>#REF!</f>
        <v>#REF!</v>
      </c>
      <c r="E170" s="164" t="str">
        <f>F3</f>
        <v>Feb'24</v>
      </c>
      <c r="F170" s="162"/>
      <c r="G170" s="162"/>
      <c r="H170" s="162"/>
      <c r="I170" s="162"/>
      <c r="J170" s="162"/>
      <c r="K170" s="162"/>
      <c r="L170" s="162"/>
      <c r="M170" s="162"/>
      <c r="N170" s="162"/>
      <c r="O170" s="162"/>
      <c r="P170" s="162"/>
      <c r="Q170" s="162"/>
      <c r="R170" s="162"/>
      <c r="S170" s="162"/>
      <c r="T170" s="162"/>
      <c r="U170" s="162"/>
      <c r="V170" s="162"/>
      <c r="W170" s="162"/>
      <c r="X170" s="162"/>
      <c r="Y170" s="162"/>
      <c r="Z170" s="162"/>
      <c r="AA170" s="162"/>
      <c r="AB170" s="162"/>
      <c r="AC170" s="162"/>
      <c r="AD170" s="162"/>
      <c r="AE170" s="162"/>
      <c r="AF170" s="162"/>
      <c r="AG170" s="162"/>
      <c r="AH170" s="162"/>
      <c r="AI170" s="162"/>
      <c r="AJ170" s="162"/>
      <c r="AK170" s="162"/>
      <c r="AL170" s="162"/>
    </row>
    <row r="171" spans="2:38" ht="24.95" customHeight="1" x14ac:dyDescent="0.2">
      <c r="B171" s="165" t="s">
        <v>397</v>
      </c>
      <c r="C171" s="184">
        <v>72.66</v>
      </c>
      <c r="D171" s="184">
        <v>72.66</v>
      </c>
      <c r="E171" s="184">
        <v>65.627359456438356</v>
      </c>
    </row>
    <row r="172" spans="2:38" ht="24.95" customHeight="1" x14ac:dyDescent="0.2">
      <c r="B172" s="165" t="s">
        <v>398</v>
      </c>
      <c r="C172" s="184">
        <v>66.819999999999993</v>
      </c>
      <c r="D172" s="184">
        <v>64.06</v>
      </c>
      <c r="E172" s="184">
        <v>60.566699999999997</v>
      </c>
    </row>
    <row r="173" spans="2:38" ht="24.95" customHeight="1" thickBot="1" x14ac:dyDescent="0.25">
      <c r="B173" s="165"/>
      <c r="C173" s="166"/>
      <c r="D173" s="166"/>
      <c r="E173" s="166"/>
    </row>
    <row r="174" spans="2:38" ht="24.95" customHeight="1" thickBot="1" x14ac:dyDescent="0.25">
      <c r="B174" s="167" t="s">
        <v>394</v>
      </c>
      <c r="C174" s="233">
        <f>C172/C171</f>
        <v>0.91962565372969995</v>
      </c>
      <c r="D174" s="233">
        <f>D172/D171</f>
        <v>0.8816405174786679</v>
      </c>
      <c r="E174" s="234">
        <f>E172/E171</f>
        <v>0.92288796169229559</v>
      </c>
      <c r="F174" s="168" t="s">
        <v>406</v>
      </c>
      <c r="G174" s="169">
        <v>1</v>
      </c>
      <c r="H174" s="169">
        <v>2</v>
      </c>
      <c r="I174" s="169">
        <v>3</v>
      </c>
      <c r="J174" s="169">
        <v>4</v>
      </c>
      <c r="K174" s="169">
        <v>5</v>
      </c>
      <c r="L174" s="169">
        <v>6</v>
      </c>
      <c r="M174" s="169">
        <v>7</v>
      </c>
      <c r="N174" s="169">
        <v>8</v>
      </c>
      <c r="O174" s="169">
        <v>9</v>
      </c>
      <c r="P174" s="169">
        <v>10</v>
      </c>
      <c r="Q174" s="169">
        <v>11</v>
      </c>
      <c r="R174" s="169">
        <v>12</v>
      </c>
      <c r="S174" s="169">
        <v>13</v>
      </c>
      <c r="T174" s="169">
        <v>14</v>
      </c>
      <c r="U174" s="169">
        <v>15</v>
      </c>
      <c r="V174" s="169">
        <v>16</v>
      </c>
      <c r="W174" s="169">
        <v>17</v>
      </c>
      <c r="X174" s="169">
        <v>18</v>
      </c>
      <c r="Y174" s="169">
        <v>19</v>
      </c>
      <c r="Z174" s="169">
        <v>20</v>
      </c>
      <c r="AA174" s="169">
        <v>21</v>
      </c>
      <c r="AB174" s="169">
        <v>22</v>
      </c>
      <c r="AC174" s="169">
        <v>23</v>
      </c>
      <c r="AD174" s="169">
        <v>24</v>
      </c>
      <c r="AE174" s="169">
        <v>25</v>
      </c>
      <c r="AF174" s="169">
        <v>26</v>
      </c>
      <c r="AG174" s="169">
        <v>27</v>
      </c>
      <c r="AH174" s="169">
        <v>28</v>
      </c>
      <c r="AI174" s="169">
        <v>29</v>
      </c>
      <c r="AJ174" s="169">
        <v>30</v>
      </c>
      <c r="AK174" s="169">
        <v>31</v>
      </c>
    </row>
    <row r="175" spans="2:38" ht="24.95" customHeight="1" x14ac:dyDescent="0.2">
      <c r="C175" s="150"/>
      <c r="D175" s="235"/>
      <c r="E175" s="235"/>
      <c r="F175" s="170" t="s">
        <v>420</v>
      </c>
      <c r="G175" s="171">
        <v>1</v>
      </c>
      <c r="H175" s="171">
        <v>2</v>
      </c>
      <c r="I175" s="171">
        <v>3</v>
      </c>
      <c r="J175" s="171">
        <v>4</v>
      </c>
      <c r="K175" s="171">
        <v>5</v>
      </c>
      <c r="L175" s="171">
        <v>6</v>
      </c>
      <c r="M175" s="171">
        <v>7</v>
      </c>
      <c r="N175" s="171">
        <v>8</v>
      </c>
      <c r="O175" s="171">
        <v>9</v>
      </c>
      <c r="P175" s="171">
        <v>10</v>
      </c>
      <c r="Q175" s="171">
        <v>11</v>
      </c>
      <c r="R175" s="171">
        <v>12</v>
      </c>
      <c r="S175" s="171">
        <v>13</v>
      </c>
      <c r="T175" s="171">
        <v>14</v>
      </c>
      <c r="U175" s="171">
        <v>15</v>
      </c>
      <c r="V175" s="171">
        <v>16</v>
      </c>
      <c r="W175" s="171">
        <v>17</v>
      </c>
      <c r="X175" s="171">
        <v>18</v>
      </c>
      <c r="Y175" s="171">
        <v>19</v>
      </c>
      <c r="Z175" s="171">
        <v>20</v>
      </c>
      <c r="AA175" s="171">
        <v>21</v>
      </c>
      <c r="AB175" s="171">
        <v>22</v>
      </c>
      <c r="AC175" s="171">
        <v>23</v>
      </c>
      <c r="AD175" s="171">
        <v>24</v>
      </c>
      <c r="AE175" s="171">
        <v>25</v>
      </c>
      <c r="AF175" s="171">
        <v>26</v>
      </c>
      <c r="AG175" s="171">
        <v>27</v>
      </c>
      <c r="AH175" s="171">
        <v>28</v>
      </c>
      <c r="AI175" s="171">
        <v>29</v>
      </c>
      <c r="AJ175" s="171">
        <v>30</v>
      </c>
      <c r="AK175" s="171">
        <v>31</v>
      </c>
    </row>
    <row r="176" spans="2:38" ht="24.95" customHeight="1" thickBot="1" x14ac:dyDescent="0.25">
      <c r="F176" s="172" t="s">
        <v>397</v>
      </c>
      <c r="G176" s="173">
        <f>$C$8/31</f>
        <v>2.3548387096774195</v>
      </c>
      <c r="H176" s="173">
        <f t="shared" ref="H176:AJ176" si="14">$C$8/31</f>
        <v>2.3548387096774195</v>
      </c>
      <c r="I176" s="173">
        <f t="shared" si="14"/>
        <v>2.3548387096774195</v>
      </c>
      <c r="J176" s="173">
        <f t="shared" si="14"/>
        <v>2.3548387096774195</v>
      </c>
      <c r="K176" s="173">
        <f t="shared" si="14"/>
        <v>2.3548387096774195</v>
      </c>
      <c r="L176" s="173">
        <f t="shared" si="14"/>
        <v>2.3548387096774195</v>
      </c>
      <c r="M176" s="173">
        <f t="shared" si="14"/>
        <v>2.3548387096774195</v>
      </c>
      <c r="N176" s="173">
        <f t="shared" si="14"/>
        <v>2.3548387096774195</v>
      </c>
      <c r="O176" s="173">
        <f t="shared" si="14"/>
        <v>2.3548387096774195</v>
      </c>
      <c r="P176" s="173">
        <f t="shared" si="14"/>
        <v>2.3548387096774195</v>
      </c>
      <c r="Q176" s="173">
        <f t="shared" si="14"/>
        <v>2.3548387096774195</v>
      </c>
      <c r="R176" s="173">
        <f t="shared" si="14"/>
        <v>2.3548387096774195</v>
      </c>
      <c r="S176" s="173">
        <f t="shared" si="14"/>
        <v>2.3548387096774195</v>
      </c>
      <c r="T176" s="173">
        <f t="shared" si="14"/>
        <v>2.3548387096774195</v>
      </c>
      <c r="U176" s="173">
        <f t="shared" si="14"/>
        <v>2.3548387096774195</v>
      </c>
      <c r="V176" s="173">
        <f t="shared" si="14"/>
        <v>2.3548387096774195</v>
      </c>
      <c r="W176" s="173">
        <f t="shared" si="14"/>
        <v>2.3548387096774195</v>
      </c>
      <c r="X176" s="173">
        <f t="shared" si="14"/>
        <v>2.3548387096774195</v>
      </c>
      <c r="Y176" s="173">
        <f t="shared" si="14"/>
        <v>2.3548387096774195</v>
      </c>
      <c r="Z176" s="173">
        <f t="shared" si="14"/>
        <v>2.3548387096774195</v>
      </c>
      <c r="AA176" s="173">
        <f t="shared" si="14"/>
        <v>2.3548387096774195</v>
      </c>
      <c r="AB176" s="173">
        <f t="shared" si="14"/>
        <v>2.3548387096774195</v>
      </c>
      <c r="AC176" s="173">
        <f t="shared" si="14"/>
        <v>2.3548387096774195</v>
      </c>
      <c r="AD176" s="173">
        <f t="shared" si="14"/>
        <v>2.3548387096774195</v>
      </c>
      <c r="AE176" s="173">
        <f t="shared" si="14"/>
        <v>2.3548387096774195</v>
      </c>
      <c r="AF176" s="173">
        <f t="shared" si="14"/>
        <v>2.3548387096774195</v>
      </c>
      <c r="AG176" s="173">
        <f t="shared" si="14"/>
        <v>2.3548387096774195</v>
      </c>
      <c r="AH176" s="173">
        <f t="shared" si="14"/>
        <v>2.3548387096774195</v>
      </c>
      <c r="AI176" s="173">
        <f t="shared" si="14"/>
        <v>2.3548387096774195</v>
      </c>
      <c r="AJ176" s="173">
        <f t="shared" si="14"/>
        <v>2.3548387096774195</v>
      </c>
      <c r="AK176" s="173">
        <f>$C$8/31</f>
        <v>2.3548387096774195</v>
      </c>
    </row>
    <row r="177" spans="2:37" ht="24.95" customHeight="1" x14ac:dyDescent="0.2">
      <c r="B177" s="556" t="s">
        <v>408</v>
      </c>
      <c r="C177" s="557"/>
      <c r="D177" s="558"/>
      <c r="F177" s="174" t="s">
        <v>398</v>
      </c>
      <c r="G177" s="173">
        <f>STATION!C$43</f>
        <v>2.3784200000000002</v>
      </c>
      <c r="H177" s="173">
        <f>STATION!D$43</f>
        <v>2.3952100000000001</v>
      </c>
      <c r="I177" s="173">
        <f>STATION!E$43</f>
        <v>2.4068200000000002</v>
      </c>
      <c r="J177" s="173">
        <f>STATION!F$43</f>
        <v>2.5015399999999999</v>
      </c>
      <c r="K177" s="173">
        <f>STATION!G$43</f>
        <v>2.5185399999999998</v>
      </c>
      <c r="L177" s="173">
        <f>STATION!H$43</f>
        <v>2.4899300000000002</v>
      </c>
      <c r="M177" s="173">
        <f>STATION!I$43</f>
        <v>2.48861</v>
      </c>
      <c r="N177" s="173">
        <f>STATION!J$43</f>
        <v>2.4523700000000002</v>
      </c>
      <c r="O177" s="173">
        <f>STATION!K$43</f>
        <v>2.5040200000000001</v>
      </c>
      <c r="P177" s="173">
        <f>STATION!L$43</f>
        <v>2.5394700000000001</v>
      </c>
      <c r="Q177" s="173">
        <f>STATION!M$43</f>
        <v>2.5165099999999998</v>
      </c>
      <c r="R177" s="173">
        <f>STATION!N$43</f>
        <v>2.4936099999999999</v>
      </c>
      <c r="S177" s="173">
        <f>STATION!O$43</f>
        <v>2.4675500000000001</v>
      </c>
      <c r="T177" s="173">
        <f>STATION!P$43</f>
        <v>2.3702200000000002</v>
      </c>
      <c r="U177" s="173">
        <f>STATION!Q$43</f>
        <v>2.3856199999999999</v>
      </c>
      <c r="V177" s="173">
        <f>STATION!R$43</f>
        <v>2.39737</v>
      </c>
      <c r="W177" s="173">
        <f>STATION!S$43</f>
        <v>2.4313400000000001</v>
      </c>
      <c r="X177" s="173">
        <f>STATION!T$43</f>
        <v>2.4270399999999999</v>
      </c>
      <c r="Y177" s="173">
        <f>STATION!U$43</f>
        <v>2.3576700000000002</v>
      </c>
      <c r="Z177" s="173">
        <f>STATION!V$43</f>
        <v>2.3359000000000001</v>
      </c>
      <c r="AA177" s="173">
        <f>STATION!W$43</f>
        <v>2.30463</v>
      </c>
      <c r="AB177" s="173">
        <f>STATION!X$43</f>
        <v>2.44651</v>
      </c>
      <c r="AC177" s="173">
        <f>STATION!Y$43</f>
        <v>2.51695</v>
      </c>
      <c r="AD177" s="173">
        <f>STATION!Z$43</f>
        <v>2.56785</v>
      </c>
      <c r="AE177" s="173">
        <f>STATION!AA$43</f>
        <v>2.5918999999999999</v>
      </c>
      <c r="AF177" s="173">
        <f>STATION!AB$43</f>
        <v>2.3065500000000001</v>
      </c>
      <c r="AG177" s="173">
        <f>STATION!AC$43</f>
        <v>2.2482600000000001</v>
      </c>
      <c r="AH177" s="173">
        <f>STATION!AD$43</f>
        <v>2.2524899999999999</v>
      </c>
      <c r="AI177" s="173">
        <f>STATION!AE$43</f>
        <v>2.33392</v>
      </c>
      <c r="AJ177" s="173">
        <f>STATION!AF$43</f>
        <v>2.5643199999999999</v>
      </c>
      <c r="AK177" s="173">
        <f>STATION!AG$43</f>
        <v>0</v>
      </c>
    </row>
    <row r="178" spans="2:37" ht="24.95" customHeight="1" x14ac:dyDescent="0.2">
      <c r="B178" s="550" t="s">
        <v>409</v>
      </c>
      <c r="C178" s="175" t="s">
        <v>410</v>
      </c>
      <c r="D178" s="176" t="s">
        <v>411</v>
      </c>
      <c r="F178" s="174" t="s">
        <v>412</v>
      </c>
      <c r="G178" s="177">
        <v>2.6</v>
      </c>
      <c r="H178" s="177">
        <v>2.6</v>
      </c>
      <c r="I178" s="177">
        <v>2.6</v>
      </c>
      <c r="J178" s="177">
        <v>2.6</v>
      </c>
      <c r="K178" s="177">
        <v>2.6</v>
      </c>
      <c r="L178" s="177">
        <v>2.6</v>
      </c>
      <c r="M178" s="177">
        <v>2.6</v>
      </c>
      <c r="N178" s="177">
        <v>2.6</v>
      </c>
      <c r="O178" s="177">
        <v>2.6</v>
      </c>
      <c r="P178" s="177">
        <v>2.6</v>
      </c>
      <c r="Q178" s="177">
        <v>2.6</v>
      </c>
      <c r="R178" s="177">
        <v>2.6</v>
      </c>
      <c r="S178" s="177">
        <v>2.6</v>
      </c>
      <c r="T178" s="177">
        <v>2.6</v>
      </c>
      <c r="U178" s="177">
        <v>2.6</v>
      </c>
      <c r="V178" s="177">
        <v>2.6</v>
      </c>
      <c r="W178" s="177">
        <v>2.6</v>
      </c>
      <c r="X178" s="177">
        <v>2.6</v>
      </c>
      <c r="Y178" s="177">
        <v>2.6</v>
      </c>
      <c r="Z178" s="177">
        <v>2.6</v>
      </c>
      <c r="AA178" s="177">
        <v>2.6</v>
      </c>
      <c r="AB178" s="177">
        <v>2.6</v>
      </c>
      <c r="AC178" s="177">
        <v>2.6</v>
      </c>
      <c r="AD178" s="177">
        <v>2.6</v>
      </c>
      <c r="AE178" s="177">
        <v>2.6</v>
      </c>
      <c r="AF178" s="177">
        <v>2.6</v>
      </c>
      <c r="AG178" s="177">
        <v>2.6</v>
      </c>
      <c r="AH178" s="177">
        <v>2.6</v>
      </c>
      <c r="AI178" s="177">
        <v>2.6</v>
      </c>
      <c r="AJ178" s="177">
        <v>2.6</v>
      </c>
      <c r="AK178" s="177">
        <v>2.6</v>
      </c>
    </row>
    <row r="179" spans="2:37" ht="24.95" customHeight="1" x14ac:dyDescent="0.2">
      <c r="B179" s="551"/>
      <c r="C179" s="175" t="s">
        <v>413</v>
      </c>
      <c r="D179" s="77" t="s">
        <v>414</v>
      </c>
      <c r="F179" s="174" t="s">
        <v>415</v>
      </c>
      <c r="G179" s="177">
        <v>2</v>
      </c>
      <c r="H179" s="177">
        <v>2</v>
      </c>
      <c r="I179" s="177">
        <v>2</v>
      </c>
      <c r="J179" s="177">
        <v>2</v>
      </c>
      <c r="K179" s="177">
        <v>2</v>
      </c>
      <c r="L179" s="177">
        <v>2</v>
      </c>
      <c r="M179" s="177">
        <v>2</v>
      </c>
      <c r="N179" s="177">
        <v>2</v>
      </c>
      <c r="O179" s="177">
        <v>2</v>
      </c>
      <c r="P179" s="177">
        <v>2</v>
      </c>
      <c r="Q179" s="177">
        <v>2</v>
      </c>
      <c r="R179" s="177">
        <v>2</v>
      </c>
      <c r="S179" s="177">
        <v>2</v>
      </c>
      <c r="T179" s="177">
        <v>2</v>
      </c>
      <c r="U179" s="177">
        <v>2</v>
      </c>
      <c r="V179" s="177">
        <v>2</v>
      </c>
      <c r="W179" s="177">
        <v>2</v>
      </c>
      <c r="X179" s="177">
        <v>2</v>
      </c>
      <c r="Y179" s="177">
        <v>2</v>
      </c>
      <c r="Z179" s="177">
        <v>2</v>
      </c>
      <c r="AA179" s="177">
        <v>2</v>
      </c>
      <c r="AB179" s="177">
        <v>2</v>
      </c>
      <c r="AC179" s="177">
        <v>2</v>
      </c>
      <c r="AD179" s="177">
        <v>2</v>
      </c>
      <c r="AE179" s="177">
        <v>2</v>
      </c>
      <c r="AF179" s="177">
        <v>2</v>
      </c>
      <c r="AG179" s="177">
        <v>2</v>
      </c>
      <c r="AH179" s="177">
        <v>2</v>
      </c>
      <c r="AI179" s="177">
        <v>2</v>
      </c>
      <c r="AJ179" s="177">
        <v>2</v>
      </c>
      <c r="AK179" s="177">
        <v>2</v>
      </c>
    </row>
    <row r="180" spans="2:37" ht="24.95" customHeight="1" thickBot="1" x14ac:dyDescent="0.25">
      <c r="B180" s="552"/>
      <c r="C180" s="175" t="s">
        <v>416</v>
      </c>
      <c r="D180" s="178" t="s">
        <v>417</v>
      </c>
      <c r="F180" s="179" t="s">
        <v>394</v>
      </c>
      <c r="G180" s="233">
        <f>G177/G176</f>
        <v>1.0100139726027397</v>
      </c>
      <c r="H180" s="233">
        <f t="shared" ref="H180:AK180" si="15">H177/H176</f>
        <v>1.0171439726027396</v>
      </c>
      <c r="I180" s="233">
        <f t="shared" si="15"/>
        <v>1.0220742465753425</v>
      </c>
      <c r="J180" s="233">
        <f t="shared" si="15"/>
        <v>1.0622978082191781</v>
      </c>
      <c r="K180" s="233">
        <f t="shared" si="15"/>
        <v>1.0695169863013698</v>
      </c>
      <c r="L180" s="233">
        <f t="shared" si="15"/>
        <v>1.0573675342465754</v>
      </c>
      <c r="M180" s="233">
        <f t="shared" si="15"/>
        <v>1.0568069863013698</v>
      </c>
      <c r="N180" s="233">
        <f t="shared" si="15"/>
        <v>1.041417397260274</v>
      </c>
      <c r="O180" s="233">
        <f t="shared" si="15"/>
        <v>1.0633509589041097</v>
      </c>
      <c r="P180" s="233">
        <f t="shared" si="15"/>
        <v>1.0784050684931508</v>
      </c>
      <c r="Q180" s="233">
        <f t="shared" si="15"/>
        <v>1.0686549315068492</v>
      </c>
      <c r="R180" s="233">
        <f t="shared" si="15"/>
        <v>1.0589302739726025</v>
      </c>
      <c r="S180" s="233">
        <f t="shared" si="15"/>
        <v>1.0478636986301371</v>
      </c>
      <c r="T180" s="233">
        <f t="shared" si="15"/>
        <v>1.0065317808219179</v>
      </c>
      <c r="U180" s="233">
        <f t="shared" si="15"/>
        <v>1.013071506849315</v>
      </c>
      <c r="V180" s="233">
        <f t="shared" si="15"/>
        <v>1.0180612328767122</v>
      </c>
      <c r="W180" s="233">
        <f t="shared" si="15"/>
        <v>1.0324868493150685</v>
      </c>
      <c r="X180" s="233">
        <f t="shared" si="15"/>
        <v>1.0306608219178082</v>
      </c>
      <c r="Y180" s="233">
        <f t="shared" si="15"/>
        <v>1.0012023287671232</v>
      </c>
      <c r="Z180" s="233">
        <f t="shared" si="15"/>
        <v>0.99195753424657529</v>
      </c>
      <c r="AA180" s="233">
        <f t="shared" si="15"/>
        <v>0.97867849315068489</v>
      </c>
      <c r="AB180" s="233">
        <f t="shared" si="15"/>
        <v>1.038928904109589</v>
      </c>
      <c r="AC180" s="233">
        <f>AC177/AC176</f>
        <v>1.0688417808219177</v>
      </c>
      <c r="AD180" s="233">
        <f t="shared" si="15"/>
        <v>1.0904568493150684</v>
      </c>
      <c r="AE180" s="233">
        <f t="shared" si="15"/>
        <v>1.1006698630136986</v>
      </c>
      <c r="AF180" s="233">
        <f t="shared" si="15"/>
        <v>0.97949383561643832</v>
      </c>
      <c r="AG180" s="233">
        <f t="shared" si="15"/>
        <v>0.95474054794520546</v>
      </c>
      <c r="AH180" s="233">
        <f t="shared" si="15"/>
        <v>0.95653684931506844</v>
      </c>
      <c r="AI180" s="233">
        <f t="shared" si="15"/>
        <v>0.99111671232876708</v>
      </c>
      <c r="AJ180" s="232">
        <f t="shared" si="15"/>
        <v>1.088957808219178</v>
      </c>
      <c r="AK180" s="232">
        <f t="shared" si="15"/>
        <v>0</v>
      </c>
    </row>
    <row r="181" spans="2:37" ht="24.95" customHeight="1" thickBot="1" x14ac:dyDescent="0.25">
      <c r="B181" s="553" t="s">
        <v>418</v>
      </c>
      <c r="C181" s="554"/>
      <c r="D181" s="555"/>
      <c r="F181" s="174"/>
      <c r="G181" s="180"/>
      <c r="H181" s="180"/>
      <c r="I181" s="180"/>
      <c r="J181" s="180"/>
      <c r="K181" s="180"/>
      <c r="L181" s="180"/>
      <c r="M181" s="180"/>
      <c r="N181" s="180"/>
      <c r="O181" s="180"/>
      <c r="P181" s="180"/>
      <c r="Q181" s="180"/>
      <c r="R181" s="180"/>
      <c r="S181" s="180"/>
      <c r="T181" s="180"/>
      <c r="U181" s="180"/>
      <c r="V181" s="180"/>
      <c r="W181" s="180"/>
      <c r="X181" s="180"/>
      <c r="Y181" s="180"/>
      <c r="Z181" s="180"/>
      <c r="AA181" s="180"/>
      <c r="AB181" s="180"/>
      <c r="AC181" s="180"/>
      <c r="AD181" s="180"/>
      <c r="AE181" s="180"/>
      <c r="AF181" s="180"/>
      <c r="AG181" s="180"/>
      <c r="AH181" s="180"/>
      <c r="AI181" s="180"/>
      <c r="AJ181" s="180"/>
      <c r="AK181" s="180"/>
    </row>
    <row r="182" spans="2:37" ht="24.95" customHeight="1" x14ac:dyDescent="0.2">
      <c r="E182" s="181"/>
      <c r="AC182" s="182"/>
      <c r="AD182" s="182"/>
      <c r="AE182" s="182"/>
    </row>
    <row r="183" spans="2:37" ht="24.95" customHeight="1" x14ac:dyDescent="0.2"/>
    <row r="184" spans="2:37" ht="24.95" customHeight="1" x14ac:dyDescent="0.2">
      <c r="F184" s="559"/>
      <c r="G184" s="559"/>
      <c r="H184" s="559"/>
      <c r="I184" s="559"/>
      <c r="J184" s="559"/>
      <c r="K184" s="559"/>
      <c r="L184" s="559"/>
      <c r="M184" s="559"/>
      <c r="N184" s="559"/>
      <c r="O184" s="559"/>
      <c r="P184" s="559"/>
      <c r="Q184" s="559"/>
      <c r="R184" s="559"/>
      <c r="S184" s="559"/>
      <c r="T184" s="559"/>
      <c r="U184" s="559"/>
      <c r="V184" s="559"/>
      <c r="W184" s="559"/>
    </row>
    <row r="185" spans="2:37" ht="24.95" customHeight="1" x14ac:dyDescent="0.2">
      <c r="B185" s="160" t="s">
        <v>404</v>
      </c>
    </row>
    <row r="186" spans="2:37" ht="24.95" customHeight="1" x14ac:dyDescent="0.2">
      <c r="AD186" s="560"/>
      <c r="AE186" s="560"/>
      <c r="AF186" s="560"/>
      <c r="AG186" s="560"/>
      <c r="AH186" s="560"/>
    </row>
    <row r="187" spans="2:37" ht="24.95" customHeight="1" x14ac:dyDescent="0.2">
      <c r="C187" s="161"/>
      <c r="D187" s="161"/>
      <c r="F187" s="160"/>
      <c r="G187" s="160"/>
      <c r="H187" s="160"/>
      <c r="I187" s="160"/>
      <c r="J187" s="160"/>
      <c r="K187" s="160"/>
      <c r="L187" s="160"/>
      <c r="M187" s="160"/>
      <c r="N187" s="160"/>
      <c r="O187" s="160"/>
      <c r="P187" s="160"/>
      <c r="Q187" s="160"/>
      <c r="R187" s="160"/>
      <c r="S187" s="160"/>
      <c r="T187" s="160"/>
      <c r="U187" s="160"/>
      <c r="V187" s="160"/>
      <c r="W187" s="160"/>
      <c r="AE187" s="561"/>
      <c r="AF187" s="561"/>
      <c r="AG187" s="561"/>
      <c r="AH187" s="561"/>
    </row>
    <row r="188" spans="2:37" ht="24.95" customHeight="1" x14ac:dyDescent="0.2">
      <c r="T188" s="150"/>
      <c r="U188" s="150"/>
      <c r="V188" s="150"/>
      <c r="W188" s="150"/>
      <c r="AE188" s="561"/>
      <c r="AF188" s="561"/>
      <c r="AG188" s="561"/>
      <c r="AH188" s="561"/>
    </row>
    <row r="189" spans="2:37" ht="24.95" customHeight="1" x14ac:dyDescent="0.2"/>
    <row r="190" spans="2:37" ht="24.95" customHeight="1" x14ac:dyDescent="0.2"/>
    <row r="191" spans="2:37" ht="24.95" customHeight="1" x14ac:dyDescent="0.2"/>
    <row r="192" spans="2:37" ht="24.95" customHeight="1" x14ac:dyDescent="0.2"/>
    <row r="193" spans="2:38" ht="24.95" customHeight="1" x14ac:dyDescent="0.2"/>
    <row r="194" spans="2:38" ht="24.95" customHeight="1" x14ac:dyDescent="0.2"/>
    <row r="195" spans="2:38" ht="24.95" customHeight="1" x14ac:dyDescent="0.2"/>
    <row r="196" spans="2:38" ht="24.95" customHeight="1" x14ac:dyDescent="0.2"/>
    <row r="197" spans="2:38" ht="24.95" customHeight="1" x14ac:dyDescent="0.2"/>
    <row r="198" spans="2:38" ht="24.95" customHeight="1" x14ac:dyDescent="0.2"/>
    <row r="199" spans="2:38" ht="24.95" customHeight="1" x14ac:dyDescent="0.2"/>
    <row r="200" spans="2:38" ht="24.95" customHeight="1" x14ac:dyDescent="0.2"/>
    <row r="201" spans="2:38" ht="24.95" customHeight="1" x14ac:dyDescent="0.2"/>
    <row r="202" spans="2:38" ht="24.95" customHeight="1" x14ac:dyDescent="0.2"/>
    <row r="203" spans="2:38" ht="24.95" customHeight="1" x14ac:dyDescent="0.2">
      <c r="B203" s="163" t="s">
        <v>405</v>
      </c>
      <c r="C203" s="164" t="str">
        <f>D3</f>
        <v>Jan'24</v>
      </c>
      <c r="D203" s="164" t="e">
        <f>#REF!</f>
        <v>#REF!</v>
      </c>
      <c r="E203" s="164" t="str">
        <f>F3</f>
        <v>Feb'24</v>
      </c>
      <c r="F203" s="162"/>
      <c r="G203" s="162"/>
      <c r="H203" s="162"/>
      <c r="I203" s="162"/>
      <c r="J203" s="162"/>
      <c r="K203" s="162"/>
      <c r="L203" s="162"/>
      <c r="M203" s="162"/>
      <c r="N203" s="162"/>
      <c r="O203" s="162"/>
      <c r="P203" s="162"/>
      <c r="Q203" s="162"/>
      <c r="R203" s="162"/>
      <c r="S203" s="162"/>
      <c r="T203" s="162"/>
      <c r="U203" s="162"/>
      <c r="V203" s="162"/>
      <c r="W203" s="162"/>
      <c r="X203" s="162"/>
      <c r="Y203" s="162"/>
      <c r="Z203" s="162"/>
      <c r="AA203" s="162"/>
      <c r="AB203" s="162"/>
      <c r="AC203" s="162"/>
      <c r="AD203" s="162"/>
      <c r="AE203" s="162"/>
      <c r="AF203" s="162"/>
      <c r="AG203" s="162"/>
      <c r="AH203" s="162"/>
      <c r="AI203" s="162"/>
      <c r="AJ203" s="162"/>
      <c r="AK203" s="162"/>
      <c r="AL203" s="162"/>
    </row>
    <row r="204" spans="2:38" ht="24.95" customHeight="1" x14ac:dyDescent="0.2">
      <c r="B204" s="165" t="s">
        <v>397</v>
      </c>
      <c r="C204" s="184">
        <v>72.66</v>
      </c>
      <c r="D204" s="184">
        <v>72.66</v>
      </c>
      <c r="E204" s="184">
        <v>65.627359456438356</v>
      </c>
    </row>
    <row r="205" spans="2:38" ht="24.95" customHeight="1" x14ac:dyDescent="0.2">
      <c r="B205" s="165" t="s">
        <v>398</v>
      </c>
      <c r="C205" s="184">
        <v>66.819999999999993</v>
      </c>
      <c r="D205" s="184">
        <v>64.06</v>
      </c>
      <c r="E205" s="184">
        <v>60.566699999999997</v>
      </c>
    </row>
    <row r="206" spans="2:38" ht="24.95" customHeight="1" thickBot="1" x14ac:dyDescent="0.25">
      <c r="B206" s="165"/>
      <c r="C206" s="166"/>
      <c r="D206" s="166"/>
      <c r="E206" s="166"/>
    </row>
    <row r="207" spans="2:38" ht="24.95" customHeight="1" thickBot="1" x14ac:dyDescent="0.25">
      <c r="B207" s="167" t="s">
        <v>394</v>
      </c>
      <c r="C207" s="233">
        <f>C205/C204</f>
        <v>0.91962565372969995</v>
      </c>
      <c r="D207" s="233">
        <f>D205/D204</f>
        <v>0.8816405174786679</v>
      </c>
      <c r="E207" s="234">
        <f>E205/E204</f>
        <v>0.92288796169229559</v>
      </c>
      <c r="F207" s="168" t="s">
        <v>406</v>
      </c>
      <c r="G207" s="169">
        <v>1</v>
      </c>
      <c r="H207" s="169">
        <v>2</v>
      </c>
      <c r="I207" s="169">
        <v>3</v>
      </c>
      <c r="J207" s="169">
        <v>4</v>
      </c>
      <c r="K207" s="169">
        <v>5</v>
      </c>
      <c r="L207" s="169">
        <v>6</v>
      </c>
      <c r="M207" s="169">
        <v>7</v>
      </c>
      <c r="N207" s="169">
        <v>8</v>
      </c>
      <c r="O207" s="169">
        <v>9</v>
      </c>
      <c r="P207" s="169">
        <v>10</v>
      </c>
      <c r="Q207" s="169">
        <v>11</v>
      </c>
      <c r="R207" s="169">
        <v>12</v>
      </c>
      <c r="S207" s="169">
        <v>13</v>
      </c>
      <c r="T207" s="169">
        <v>14</v>
      </c>
      <c r="U207" s="169">
        <v>15</v>
      </c>
      <c r="V207" s="169">
        <v>16</v>
      </c>
      <c r="W207" s="169">
        <v>17</v>
      </c>
      <c r="X207" s="169">
        <v>18</v>
      </c>
      <c r="Y207" s="169">
        <v>19</v>
      </c>
      <c r="Z207" s="169">
        <v>20</v>
      </c>
      <c r="AA207" s="169">
        <v>21</v>
      </c>
      <c r="AB207" s="169">
        <v>22</v>
      </c>
      <c r="AC207" s="169">
        <v>23</v>
      </c>
      <c r="AD207" s="169">
        <v>24</v>
      </c>
      <c r="AE207" s="169">
        <v>25</v>
      </c>
      <c r="AF207" s="169">
        <v>26</v>
      </c>
      <c r="AG207" s="169">
        <v>27</v>
      </c>
      <c r="AH207" s="169">
        <v>28</v>
      </c>
      <c r="AI207" s="169">
        <v>29</v>
      </c>
      <c r="AJ207" s="169">
        <v>30</v>
      </c>
      <c r="AK207" s="169">
        <v>31</v>
      </c>
    </row>
    <row r="208" spans="2:38" ht="24.95" customHeight="1" x14ac:dyDescent="0.2">
      <c r="C208" s="150"/>
      <c r="D208" s="235"/>
      <c r="E208" s="235"/>
      <c r="F208" s="170" t="s">
        <v>421</v>
      </c>
      <c r="G208" s="171">
        <v>1</v>
      </c>
      <c r="H208" s="171">
        <v>2</v>
      </c>
      <c r="I208" s="171">
        <v>3</v>
      </c>
      <c r="J208" s="171">
        <v>4</v>
      </c>
      <c r="K208" s="171">
        <v>5</v>
      </c>
      <c r="L208" s="171">
        <v>6</v>
      </c>
      <c r="M208" s="171">
        <v>7</v>
      </c>
      <c r="N208" s="171">
        <v>8</v>
      </c>
      <c r="O208" s="171">
        <v>9</v>
      </c>
      <c r="P208" s="171">
        <v>10</v>
      </c>
      <c r="Q208" s="171">
        <v>11</v>
      </c>
      <c r="R208" s="171">
        <v>12</v>
      </c>
      <c r="S208" s="171">
        <v>13</v>
      </c>
      <c r="T208" s="171">
        <v>14</v>
      </c>
      <c r="U208" s="171">
        <v>15</v>
      </c>
      <c r="V208" s="171">
        <v>16</v>
      </c>
      <c r="W208" s="171">
        <v>17</v>
      </c>
      <c r="X208" s="171">
        <v>18</v>
      </c>
      <c r="Y208" s="171">
        <v>19</v>
      </c>
      <c r="Z208" s="171">
        <v>20</v>
      </c>
      <c r="AA208" s="171">
        <v>21</v>
      </c>
      <c r="AB208" s="171">
        <v>22</v>
      </c>
      <c r="AC208" s="171">
        <v>23</v>
      </c>
      <c r="AD208" s="171">
        <v>24</v>
      </c>
      <c r="AE208" s="171">
        <v>25</v>
      </c>
      <c r="AF208" s="171">
        <v>26</v>
      </c>
      <c r="AG208" s="171">
        <v>27</v>
      </c>
      <c r="AH208" s="171">
        <v>28</v>
      </c>
      <c r="AI208" s="171">
        <v>29</v>
      </c>
      <c r="AJ208" s="171">
        <v>30</v>
      </c>
      <c r="AK208" s="171">
        <v>31</v>
      </c>
    </row>
    <row r="209" spans="2:37" ht="24.95" customHeight="1" thickBot="1" x14ac:dyDescent="0.25">
      <c r="F209" s="172" t="s">
        <v>397</v>
      </c>
      <c r="G209" s="173">
        <f>$C$9/31</f>
        <v>2.3548387096774195</v>
      </c>
      <c r="H209" s="173">
        <f t="shared" ref="H209:AK209" si="16">$C$9/31</f>
        <v>2.3548387096774195</v>
      </c>
      <c r="I209" s="173">
        <f t="shared" si="16"/>
        <v>2.3548387096774195</v>
      </c>
      <c r="J209" s="173">
        <f t="shared" si="16"/>
        <v>2.3548387096774195</v>
      </c>
      <c r="K209" s="173">
        <f t="shared" si="16"/>
        <v>2.3548387096774195</v>
      </c>
      <c r="L209" s="173">
        <f t="shared" si="16"/>
        <v>2.3548387096774195</v>
      </c>
      <c r="M209" s="173">
        <f t="shared" si="16"/>
        <v>2.3548387096774195</v>
      </c>
      <c r="N209" s="173">
        <f t="shared" si="16"/>
        <v>2.3548387096774195</v>
      </c>
      <c r="O209" s="173">
        <f t="shared" si="16"/>
        <v>2.3548387096774195</v>
      </c>
      <c r="P209" s="173">
        <f t="shared" si="16"/>
        <v>2.3548387096774195</v>
      </c>
      <c r="Q209" s="173">
        <f t="shared" si="16"/>
        <v>2.3548387096774195</v>
      </c>
      <c r="R209" s="173">
        <f t="shared" si="16"/>
        <v>2.3548387096774195</v>
      </c>
      <c r="S209" s="173">
        <f t="shared" si="16"/>
        <v>2.3548387096774195</v>
      </c>
      <c r="T209" s="173">
        <f t="shared" si="16"/>
        <v>2.3548387096774195</v>
      </c>
      <c r="U209" s="173">
        <f t="shared" si="16"/>
        <v>2.3548387096774195</v>
      </c>
      <c r="V209" s="173">
        <f t="shared" si="16"/>
        <v>2.3548387096774195</v>
      </c>
      <c r="W209" s="173">
        <f t="shared" si="16"/>
        <v>2.3548387096774195</v>
      </c>
      <c r="X209" s="173">
        <f t="shared" si="16"/>
        <v>2.3548387096774195</v>
      </c>
      <c r="Y209" s="173">
        <f t="shared" si="16"/>
        <v>2.3548387096774195</v>
      </c>
      <c r="Z209" s="173">
        <f t="shared" si="16"/>
        <v>2.3548387096774195</v>
      </c>
      <c r="AA209" s="173">
        <f t="shared" si="16"/>
        <v>2.3548387096774195</v>
      </c>
      <c r="AB209" s="173">
        <f t="shared" si="16"/>
        <v>2.3548387096774195</v>
      </c>
      <c r="AC209" s="173">
        <f t="shared" si="16"/>
        <v>2.3548387096774195</v>
      </c>
      <c r="AD209" s="173">
        <f t="shared" si="16"/>
        <v>2.3548387096774195</v>
      </c>
      <c r="AE209" s="173">
        <f t="shared" si="16"/>
        <v>2.3548387096774195</v>
      </c>
      <c r="AF209" s="173">
        <f t="shared" si="16"/>
        <v>2.3548387096774195</v>
      </c>
      <c r="AG209" s="173">
        <f t="shared" si="16"/>
        <v>2.3548387096774195</v>
      </c>
      <c r="AH209" s="173">
        <f t="shared" si="16"/>
        <v>2.3548387096774195</v>
      </c>
      <c r="AI209" s="173">
        <f t="shared" si="16"/>
        <v>2.3548387096774195</v>
      </c>
      <c r="AJ209" s="173">
        <f t="shared" si="16"/>
        <v>2.3548387096774195</v>
      </c>
      <c r="AK209" s="173">
        <f t="shared" si="16"/>
        <v>2.3548387096774195</v>
      </c>
    </row>
    <row r="210" spans="2:37" ht="24.95" customHeight="1" x14ac:dyDescent="0.2">
      <c r="B210" s="556" t="s">
        <v>408</v>
      </c>
      <c r="C210" s="557"/>
      <c r="D210" s="558"/>
      <c r="F210" s="174" t="s">
        <v>398</v>
      </c>
      <c r="G210" s="173">
        <f>STATION!C$40</f>
        <v>2.3784200000000002</v>
      </c>
      <c r="H210" s="173">
        <f>STATION!D$40</f>
        <v>2.3952100000000001</v>
      </c>
      <c r="I210" s="173">
        <f>STATION!E$40</f>
        <v>2.4068200000000002</v>
      </c>
      <c r="J210" s="173">
        <f>STATION!F$40</f>
        <v>2.5015399999999999</v>
      </c>
      <c r="K210" s="173">
        <f>STATION!G$40</f>
        <v>2.5185399999999998</v>
      </c>
      <c r="L210" s="173">
        <f>STATION!H$40</f>
        <v>2.4899300000000002</v>
      </c>
      <c r="M210" s="173">
        <f>STATION!I$40</f>
        <v>2.48861</v>
      </c>
      <c r="N210" s="173">
        <f>STATION!J$40</f>
        <v>2.4523700000000002</v>
      </c>
      <c r="O210" s="173">
        <f>STATION!K$40</f>
        <v>2.5040200000000001</v>
      </c>
      <c r="P210" s="173">
        <f>STATION!L$40</f>
        <v>2.5394700000000001</v>
      </c>
      <c r="Q210" s="173">
        <f>STATION!M$40</f>
        <v>2.5165099999999998</v>
      </c>
      <c r="R210" s="173">
        <f>STATION!N$40</f>
        <v>2.4936099999999999</v>
      </c>
      <c r="S210" s="173">
        <f>STATION!O$40</f>
        <v>2.4675500000000001</v>
      </c>
      <c r="T210" s="173">
        <f>STATION!P$40</f>
        <v>2.3702200000000002</v>
      </c>
      <c r="U210" s="173">
        <f>STATION!Q$40</f>
        <v>2.3856199999999999</v>
      </c>
      <c r="V210" s="173">
        <f>STATION!R$40</f>
        <v>2.39737</v>
      </c>
      <c r="W210" s="173">
        <f>STATION!S$40</f>
        <v>2.4313400000000001</v>
      </c>
      <c r="X210" s="173">
        <f>STATION!T$40</f>
        <v>2.4270399999999999</v>
      </c>
      <c r="Y210" s="173">
        <f>STATION!U$40</f>
        <v>2.3576700000000002</v>
      </c>
      <c r="Z210" s="173">
        <f>STATION!V$40</f>
        <v>2.3359000000000001</v>
      </c>
      <c r="AA210" s="173">
        <f>STATION!W$40</f>
        <v>2.30463</v>
      </c>
      <c r="AB210" s="173">
        <f>STATION!X$40</f>
        <v>2.44651</v>
      </c>
      <c r="AC210" s="173">
        <f>STATION!Y$40</f>
        <v>2.51695</v>
      </c>
      <c r="AD210" s="173">
        <f>STATION!Z$40</f>
        <v>2.56785</v>
      </c>
      <c r="AE210" s="173">
        <f>STATION!AA$40</f>
        <v>2.5918999999999999</v>
      </c>
      <c r="AF210" s="173">
        <f>STATION!AB$40</f>
        <v>2.3065500000000001</v>
      </c>
      <c r="AG210" s="173">
        <f>STATION!AC$40</f>
        <v>2.2482600000000001</v>
      </c>
      <c r="AH210" s="173">
        <f>STATION!AD$40</f>
        <v>2.2524899999999999</v>
      </c>
      <c r="AI210" s="173">
        <f>STATION!AE$40</f>
        <v>2.33392</v>
      </c>
      <c r="AJ210" s="173">
        <f>STATION!AF$40</f>
        <v>2.5643199999999999</v>
      </c>
      <c r="AK210" s="173">
        <f>STATION!AG$40</f>
        <v>0</v>
      </c>
    </row>
    <row r="211" spans="2:37" ht="24.95" customHeight="1" x14ac:dyDescent="0.2">
      <c r="B211" s="550" t="s">
        <v>409</v>
      </c>
      <c r="C211" s="175" t="s">
        <v>410</v>
      </c>
      <c r="D211" s="176" t="s">
        <v>411</v>
      </c>
      <c r="F211" s="174" t="s">
        <v>412</v>
      </c>
      <c r="G211" s="177">
        <v>2.6</v>
      </c>
      <c r="H211" s="177">
        <v>2.6</v>
      </c>
      <c r="I211" s="177">
        <v>2.6</v>
      </c>
      <c r="J211" s="177">
        <v>2.6</v>
      </c>
      <c r="K211" s="177">
        <v>2.6</v>
      </c>
      <c r="L211" s="177">
        <v>2.6</v>
      </c>
      <c r="M211" s="177">
        <v>2.6</v>
      </c>
      <c r="N211" s="177">
        <v>2.6</v>
      </c>
      <c r="O211" s="177">
        <v>2.6</v>
      </c>
      <c r="P211" s="177">
        <v>2.6</v>
      </c>
      <c r="Q211" s="177">
        <v>2.6</v>
      </c>
      <c r="R211" s="177">
        <v>2.6</v>
      </c>
      <c r="S211" s="177">
        <v>2.6</v>
      </c>
      <c r="T211" s="177">
        <v>2.6</v>
      </c>
      <c r="U211" s="177">
        <v>2.6</v>
      </c>
      <c r="V211" s="177">
        <v>2.6</v>
      </c>
      <c r="W211" s="177">
        <v>2.6</v>
      </c>
      <c r="X211" s="177">
        <v>2.6</v>
      </c>
      <c r="Y211" s="177">
        <v>2.6</v>
      </c>
      <c r="Z211" s="177">
        <v>2.6</v>
      </c>
      <c r="AA211" s="177">
        <v>2.6</v>
      </c>
      <c r="AB211" s="177">
        <v>2.6</v>
      </c>
      <c r="AC211" s="177">
        <v>2.6</v>
      </c>
      <c r="AD211" s="177">
        <v>2.6</v>
      </c>
      <c r="AE211" s="177">
        <v>2.6</v>
      </c>
      <c r="AF211" s="177">
        <v>2.6</v>
      </c>
      <c r="AG211" s="177">
        <v>2.6</v>
      </c>
      <c r="AH211" s="177">
        <v>2.6</v>
      </c>
      <c r="AI211" s="177">
        <v>2.6</v>
      </c>
      <c r="AJ211" s="177">
        <v>2.6</v>
      </c>
      <c r="AK211" s="177">
        <v>2.6</v>
      </c>
    </row>
    <row r="212" spans="2:37" ht="24.95" customHeight="1" x14ac:dyDescent="0.2">
      <c r="B212" s="551"/>
      <c r="C212" s="175" t="s">
        <v>413</v>
      </c>
      <c r="D212" s="77" t="s">
        <v>414</v>
      </c>
      <c r="F212" s="174" t="s">
        <v>415</v>
      </c>
      <c r="G212" s="185">
        <f>G209*0.9</f>
        <v>2.1193548387096777</v>
      </c>
      <c r="H212" s="185">
        <f t="shared" ref="H212:AK212" si="17">H209*0.9</f>
        <v>2.1193548387096777</v>
      </c>
      <c r="I212" s="185">
        <f t="shared" si="17"/>
        <v>2.1193548387096777</v>
      </c>
      <c r="J212" s="185">
        <f t="shared" si="17"/>
        <v>2.1193548387096777</v>
      </c>
      <c r="K212" s="185">
        <f t="shared" si="17"/>
        <v>2.1193548387096777</v>
      </c>
      <c r="L212" s="185">
        <f t="shared" si="17"/>
        <v>2.1193548387096777</v>
      </c>
      <c r="M212" s="185">
        <f t="shared" si="17"/>
        <v>2.1193548387096777</v>
      </c>
      <c r="N212" s="185">
        <f t="shared" si="17"/>
        <v>2.1193548387096777</v>
      </c>
      <c r="O212" s="185">
        <f t="shared" si="17"/>
        <v>2.1193548387096777</v>
      </c>
      <c r="P212" s="185">
        <f t="shared" si="17"/>
        <v>2.1193548387096777</v>
      </c>
      <c r="Q212" s="185">
        <f t="shared" si="17"/>
        <v>2.1193548387096777</v>
      </c>
      <c r="R212" s="185">
        <f t="shared" si="17"/>
        <v>2.1193548387096777</v>
      </c>
      <c r="S212" s="185">
        <f t="shared" si="17"/>
        <v>2.1193548387096777</v>
      </c>
      <c r="T212" s="185">
        <f t="shared" si="17"/>
        <v>2.1193548387096777</v>
      </c>
      <c r="U212" s="185">
        <f t="shared" si="17"/>
        <v>2.1193548387096777</v>
      </c>
      <c r="V212" s="185">
        <f t="shared" si="17"/>
        <v>2.1193548387096777</v>
      </c>
      <c r="W212" s="185">
        <f t="shared" si="17"/>
        <v>2.1193548387096777</v>
      </c>
      <c r="X212" s="185">
        <f t="shared" si="17"/>
        <v>2.1193548387096777</v>
      </c>
      <c r="Y212" s="185">
        <f t="shared" si="17"/>
        <v>2.1193548387096777</v>
      </c>
      <c r="Z212" s="185">
        <f t="shared" si="17"/>
        <v>2.1193548387096777</v>
      </c>
      <c r="AA212" s="185">
        <f t="shared" si="17"/>
        <v>2.1193548387096777</v>
      </c>
      <c r="AB212" s="185">
        <f t="shared" si="17"/>
        <v>2.1193548387096777</v>
      </c>
      <c r="AC212" s="185">
        <f t="shared" si="17"/>
        <v>2.1193548387096777</v>
      </c>
      <c r="AD212" s="185">
        <f t="shared" si="17"/>
        <v>2.1193548387096777</v>
      </c>
      <c r="AE212" s="185">
        <f t="shared" si="17"/>
        <v>2.1193548387096777</v>
      </c>
      <c r="AF212" s="185">
        <f t="shared" si="17"/>
        <v>2.1193548387096777</v>
      </c>
      <c r="AG212" s="185">
        <f t="shared" si="17"/>
        <v>2.1193548387096777</v>
      </c>
      <c r="AH212" s="185">
        <f t="shared" si="17"/>
        <v>2.1193548387096777</v>
      </c>
      <c r="AI212" s="185">
        <f t="shared" si="17"/>
        <v>2.1193548387096777</v>
      </c>
      <c r="AJ212" s="185">
        <f t="shared" si="17"/>
        <v>2.1193548387096777</v>
      </c>
      <c r="AK212" s="185">
        <f t="shared" si="17"/>
        <v>2.1193548387096777</v>
      </c>
    </row>
    <row r="213" spans="2:37" ht="24.95" customHeight="1" thickBot="1" x14ac:dyDescent="0.25">
      <c r="B213" s="552"/>
      <c r="C213" s="175" t="s">
        <v>416</v>
      </c>
      <c r="D213" s="178" t="s">
        <v>417</v>
      </c>
      <c r="F213" s="179" t="s">
        <v>394</v>
      </c>
      <c r="G213" s="233">
        <f>G210/G209</f>
        <v>1.0100139726027397</v>
      </c>
      <c r="H213" s="233">
        <f t="shared" ref="H213:AK213" si="18">H210/H209</f>
        <v>1.0171439726027396</v>
      </c>
      <c r="I213" s="233">
        <f t="shared" si="18"/>
        <v>1.0220742465753425</v>
      </c>
      <c r="J213" s="233">
        <f t="shared" si="18"/>
        <v>1.0622978082191781</v>
      </c>
      <c r="K213" s="233">
        <f t="shared" si="18"/>
        <v>1.0695169863013698</v>
      </c>
      <c r="L213" s="233">
        <f t="shared" si="18"/>
        <v>1.0573675342465754</v>
      </c>
      <c r="M213" s="233">
        <f t="shared" si="18"/>
        <v>1.0568069863013698</v>
      </c>
      <c r="N213" s="233">
        <f t="shared" si="18"/>
        <v>1.041417397260274</v>
      </c>
      <c r="O213" s="233">
        <f t="shared" si="18"/>
        <v>1.0633509589041097</v>
      </c>
      <c r="P213" s="233">
        <f t="shared" si="18"/>
        <v>1.0784050684931508</v>
      </c>
      <c r="Q213" s="233">
        <f t="shared" si="18"/>
        <v>1.0686549315068492</v>
      </c>
      <c r="R213" s="233">
        <f t="shared" si="18"/>
        <v>1.0589302739726025</v>
      </c>
      <c r="S213" s="233">
        <f t="shared" si="18"/>
        <v>1.0478636986301371</v>
      </c>
      <c r="T213" s="233">
        <f t="shared" si="18"/>
        <v>1.0065317808219179</v>
      </c>
      <c r="U213" s="233">
        <f t="shared" si="18"/>
        <v>1.013071506849315</v>
      </c>
      <c r="V213" s="233">
        <f t="shared" si="18"/>
        <v>1.0180612328767122</v>
      </c>
      <c r="W213" s="233">
        <f t="shared" si="18"/>
        <v>1.0324868493150685</v>
      </c>
      <c r="X213" s="233">
        <f t="shared" si="18"/>
        <v>1.0306608219178082</v>
      </c>
      <c r="Y213" s="233">
        <f t="shared" si="18"/>
        <v>1.0012023287671232</v>
      </c>
      <c r="Z213" s="233">
        <f t="shared" si="18"/>
        <v>0.99195753424657529</v>
      </c>
      <c r="AA213" s="233">
        <f t="shared" si="18"/>
        <v>0.97867849315068489</v>
      </c>
      <c r="AB213" s="233">
        <f t="shared" si="18"/>
        <v>1.038928904109589</v>
      </c>
      <c r="AC213" s="233">
        <f t="shared" si="18"/>
        <v>1.0688417808219177</v>
      </c>
      <c r="AD213" s="233">
        <f t="shared" si="18"/>
        <v>1.0904568493150684</v>
      </c>
      <c r="AE213" s="233">
        <f t="shared" si="18"/>
        <v>1.1006698630136986</v>
      </c>
      <c r="AF213" s="233">
        <f t="shared" si="18"/>
        <v>0.97949383561643832</v>
      </c>
      <c r="AG213" s="233">
        <f t="shared" si="18"/>
        <v>0.95474054794520546</v>
      </c>
      <c r="AH213" s="233">
        <f t="shared" si="18"/>
        <v>0.95653684931506844</v>
      </c>
      <c r="AI213" s="233">
        <f t="shared" si="18"/>
        <v>0.99111671232876708</v>
      </c>
      <c r="AJ213" s="233">
        <f t="shared" si="18"/>
        <v>1.088957808219178</v>
      </c>
      <c r="AK213" s="233">
        <f t="shared" si="18"/>
        <v>0</v>
      </c>
    </row>
    <row r="214" spans="2:37" ht="24.95" customHeight="1" thickBot="1" x14ac:dyDescent="0.25">
      <c r="B214" s="553" t="s">
        <v>418</v>
      </c>
      <c r="C214" s="554"/>
      <c r="D214" s="555"/>
      <c r="F214" s="174"/>
      <c r="G214" s="180"/>
      <c r="H214" s="180"/>
      <c r="I214" s="180"/>
      <c r="J214" s="180"/>
      <c r="K214" s="180"/>
      <c r="L214" s="180"/>
      <c r="M214" s="180"/>
      <c r="N214" s="180"/>
      <c r="O214" s="180"/>
      <c r="P214" s="180"/>
      <c r="Q214" s="180"/>
      <c r="R214" s="180"/>
      <c r="S214" s="180"/>
      <c r="T214" s="180"/>
      <c r="U214" s="180"/>
      <c r="V214" s="180"/>
      <c r="W214" s="180"/>
      <c r="X214" s="180"/>
      <c r="Y214" s="180"/>
      <c r="Z214" s="180"/>
      <c r="AA214" s="180"/>
      <c r="AB214" s="180"/>
      <c r="AC214" s="180"/>
      <c r="AD214" s="180"/>
      <c r="AE214" s="180"/>
      <c r="AF214" s="180"/>
      <c r="AG214" s="180"/>
      <c r="AH214" s="180"/>
      <c r="AI214" s="180"/>
      <c r="AJ214" s="180"/>
      <c r="AK214" s="180"/>
    </row>
    <row r="215" spans="2:37" ht="24.95" customHeight="1" x14ac:dyDescent="0.2">
      <c r="E215" s="181"/>
      <c r="AC215" s="182"/>
      <c r="AD215" s="182"/>
      <c r="AE215" s="182"/>
    </row>
    <row r="216" spans="2:37" ht="24.95" customHeight="1" x14ac:dyDescent="0.2"/>
    <row r="217" spans="2:37" ht="24.95" customHeight="1" x14ac:dyDescent="0.2"/>
    <row r="218" spans="2:37" ht="24.95" customHeight="1" x14ac:dyDescent="0.2"/>
  </sheetData>
  <mergeCells count="48">
    <mergeCell ref="D3:E3"/>
    <mergeCell ref="F12:W12"/>
    <mergeCell ref="M2:M7"/>
    <mergeCell ref="F3:G3"/>
    <mergeCell ref="J3:K3"/>
    <mergeCell ref="H3:I3"/>
    <mergeCell ref="B73:D73"/>
    <mergeCell ref="AD14:AH14"/>
    <mergeCell ref="AE15:AH16"/>
    <mergeCell ref="B38:D38"/>
    <mergeCell ref="B39:B41"/>
    <mergeCell ref="B42:D42"/>
    <mergeCell ref="G44:J44"/>
    <mergeCell ref="K44:N44"/>
    <mergeCell ref="O44:R44"/>
    <mergeCell ref="S44:T44"/>
    <mergeCell ref="U44:V44"/>
    <mergeCell ref="W44:X44"/>
    <mergeCell ref="Y44:AB44"/>
    <mergeCell ref="F47:W47"/>
    <mergeCell ref="AD49:AH49"/>
    <mergeCell ref="AE50:AH51"/>
    <mergeCell ref="AE187:AH188"/>
    <mergeCell ref="B210:D210"/>
    <mergeCell ref="B144:B146"/>
    <mergeCell ref="B147:D147"/>
    <mergeCell ref="F151:W151"/>
    <mergeCell ref="AD153:AH153"/>
    <mergeCell ref="AE154:AH155"/>
    <mergeCell ref="B177:D177"/>
    <mergeCell ref="B74:B76"/>
    <mergeCell ref="B77:D77"/>
    <mergeCell ref="B112:D112"/>
    <mergeCell ref="F184:W184"/>
    <mergeCell ref="AD186:AH186"/>
    <mergeCell ref="F82:W82"/>
    <mergeCell ref="AD84:AH84"/>
    <mergeCell ref="AE85:AH86"/>
    <mergeCell ref="B108:D108"/>
    <mergeCell ref="B109:B111"/>
    <mergeCell ref="F117:W117"/>
    <mergeCell ref="AD119:AH119"/>
    <mergeCell ref="AE120:AH121"/>
    <mergeCell ref="B211:B213"/>
    <mergeCell ref="B214:D214"/>
    <mergeCell ref="B178:B180"/>
    <mergeCell ref="B181:D181"/>
    <mergeCell ref="B143:D143"/>
  </mergeCells>
  <conditionalFormatting sqref="C35:E35 C70:E70 C105:E105 C140:E140 C174:E174 C207:E207">
    <cfRule type="cellIs" dxfId="19" priority="20" stopIfTrue="1" operator="greaterThanOrEqual">
      <formula>0.9</formula>
    </cfRule>
    <cfRule type="cellIs" dxfId="18" priority="21" stopIfTrue="1" operator="lessThan">
      <formula>0.9</formula>
    </cfRule>
  </conditionalFormatting>
  <conditionalFormatting sqref="G72:AK73">
    <cfRule type="cellIs" dxfId="17" priority="18" stopIfTrue="1" operator="between">
      <formula>90</formula>
      <formula>110</formula>
    </cfRule>
    <cfRule type="cellIs" dxfId="16" priority="19" stopIfTrue="1" operator="lessThan">
      <formula>90</formula>
    </cfRule>
  </conditionalFormatting>
  <conditionalFormatting sqref="G76:AK76 G111:AK111 G180:AK180 G41:AK41 G213:AK213 G146:AK146 O3:AS7">
    <cfRule type="cellIs" dxfId="15" priority="15" stopIfTrue="1" operator="between">
      <formula>12</formula>
      <formula>0.9</formula>
    </cfRule>
    <cfRule type="cellIs" dxfId="14" priority="16" stopIfTrue="1" operator="between">
      <formula>0.9</formula>
      <formula>0.8</formula>
    </cfRule>
    <cfRule type="cellIs" dxfId="13" priority="17" stopIfTrue="1" operator="lessThan">
      <formula>0.8</formula>
    </cfRule>
  </conditionalFormatting>
  <conditionalFormatting sqref="G107:AK108">
    <cfRule type="cellIs" dxfId="12" priority="13" stopIfTrue="1" operator="between">
      <formula>5</formula>
      <formula>8.5</formula>
    </cfRule>
    <cfRule type="cellIs" dxfId="11" priority="14" stopIfTrue="1" operator="greaterThan">
      <formula>8.6</formula>
    </cfRule>
  </conditionalFormatting>
  <conditionalFormatting sqref="G142:AK143">
    <cfRule type="cellIs" dxfId="10" priority="11" stopIfTrue="1" operator="between">
      <formula>2</formula>
      <formula>4</formula>
    </cfRule>
    <cfRule type="cellIs" dxfId="9" priority="12" stopIfTrue="1" operator="greaterThan">
      <formula>2.5</formula>
    </cfRule>
  </conditionalFormatting>
  <conditionalFormatting sqref="G176:AK177">
    <cfRule type="cellIs" dxfId="8" priority="9" stopIfTrue="1" operator="between">
      <formula>2</formula>
      <formula>2.5</formula>
    </cfRule>
    <cfRule type="cellIs" dxfId="7" priority="10" stopIfTrue="1" operator="lessThan">
      <formula>2</formula>
    </cfRule>
  </conditionalFormatting>
  <conditionalFormatting sqref="G209:AK210">
    <cfRule type="cellIs" dxfId="6" priority="7" stopIfTrue="1" operator="between">
      <formula>2</formula>
      <formula>2.5</formula>
    </cfRule>
    <cfRule type="cellIs" dxfId="5" priority="8" stopIfTrue="1" operator="lessThan">
      <formula>1.8</formula>
    </cfRule>
  </conditionalFormatting>
  <conditionalFormatting sqref="O2:AS6">
    <cfRule type="cellIs" dxfId="4" priority="3" stopIfTrue="1" operator="greaterThan">
      <formula>0.9</formula>
    </cfRule>
    <cfRule type="cellIs" dxfId="3" priority="4" stopIfTrue="1" operator="between">
      <formula>0.9</formula>
      <formula>0.8</formula>
    </cfRule>
    <cfRule type="cellIs" dxfId="2" priority="5" stopIfTrue="1" operator="lessThan">
      <formula>0.8</formula>
    </cfRule>
  </conditionalFormatting>
  <conditionalFormatting sqref="G37:AK38">
    <cfRule type="cellIs" dxfId="1" priority="1" stopIfTrue="1" operator="between">
      <formula>90</formula>
      <formula>110</formula>
    </cfRule>
    <cfRule type="cellIs" dxfId="0" priority="2" stopIfTrue="1" operator="lessThan">
      <formula>90</formula>
    </cfRule>
  </conditionalFormatting>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V32"/>
  <sheetViews>
    <sheetView topLeftCell="A26" zoomScale="70" zoomScaleNormal="70" workbookViewId="0">
      <selection activeCell="B32" sqref="B32:V32"/>
    </sheetView>
  </sheetViews>
  <sheetFormatPr defaultColWidth="9.140625" defaultRowHeight="12.75" x14ac:dyDescent="0.2"/>
  <cols>
    <col min="1" max="1" width="5.85546875" style="6" customWidth="1"/>
    <col min="2" max="20" width="8" style="6" customWidth="1"/>
    <col min="21" max="21" width="21.7109375" style="6" customWidth="1"/>
    <col min="22" max="22" width="91.42578125" style="6" customWidth="1"/>
    <col min="23" max="16384" width="9.140625" style="6"/>
  </cols>
  <sheetData>
    <row r="1" spans="1:22" s="29" customFormat="1" ht="29.25" customHeight="1" x14ac:dyDescent="0.2">
      <c r="A1" s="572" t="s">
        <v>521</v>
      </c>
      <c r="B1" s="573"/>
      <c r="C1" s="573"/>
      <c r="D1" s="573"/>
      <c r="E1" s="573"/>
      <c r="F1" s="573"/>
      <c r="G1" s="573"/>
      <c r="H1" s="573"/>
      <c r="I1" s="573"/>
      <c r="J1" s="573"/>
      <c r="K1" s="573"/>
      <c r="L1" s="573"/>
      <c r="M1" s="573"/>
      <c r="N1" s="573"/>
      <c r="O1" s="573"/>
      <c r="P1" s="573"/>
      <c r="Q1" s="573"/>
      <c r="R1" s="573"/>
      <c r="S1" s="573"/>
      <c r="T1" s="573"/>
      <c r="U1" s="573"/>
      <c r="V1" s="574"/>
    </row>
    <row r="2" spans="1:22" ht="51.6" customHeight="1" x14ac:dyDescent="0.2">
      <c r="A2" s="7" t="s">
        <v>422</v>
      </c>
      <c r="B2" s="569" t="s">
        <v>525</v>
      </c>
      <c r="C2" s="570"/>
      <c r="D2" s="570"/>
      <c r="E2" s="570"/>
      <c r="F2" s="570"/>
      <c r="G2" s="570"/>
      <c r="H2" s="570"/>
      <c r="I2" s="570"/>
      <c r="J2" s="570"/>
      <c r="K2" s="570"/>
      <c r="L2" s="570"/>
      <c r="M2" s="570"/>
      <c r="N2" s="570"/>
      <c r="O2" s="570"/>
      <c r="P2" s="570"/>
      <c r="Q2" s="570"/>
      <c r="R2" s="570"/>
      <c r="S2" s="570"/>
      <c r="T2" s="570"/>
      <c r="U2" s="570"/>
      <c r="V2" s="571"/>
    </row>
    <row r="3" spans="1:22" ht="51.6" customHeight="1" x14ac:dyDescent="0.2">
      <c r="A3" s="7" t="s">
        <v>423</v>
      </c>
      <c r="B3" s="569" t="s">
        <v>526</v>
      </c>
      <c r="C3" s="570"/>
      <c r="D3" s="570"/>
      <c r="E3" s="570"/>
      <c r="F3" s="570"/>
      <c r="G3" s="570"/>
      <c r="H3" s="570"/>
      <c r="I3" s="570"/>
      <c r="J3" s="570"/>
      <c r="K3" s="570"/>
      <c r="L3" s="570"/>
      <c r="M3" s="570"/>
      <c r="N3" s="570"/>
      <c r="O3" s="570"/>
      <c r="P3" s="570"/>
      <c r="Q3" s="570"/>
      <c r="R3" s="570"/>
      <c r="S3" s="570"/>
      <c r="T3" s="570"/>
      <c r="U3" s="570"/>
      <c r="V3" s="571"/>
    </row>
    <row r="4" spans="1:22" ht="51.6" customHeight="1" x14ac:dyDescent="0.2">
      <c r="A4" s="7" t="s">
        <v>451</v>
      </c>
      <c r="B4" s="569" t="s">
        <v>528</v>
      </c>
      <c r="C4" s="570"/>
      <c r="D4" s="570"/>
      <c r="E4" s="570"/>
      <c r="F4" s="570"/>
      <c r="G4" s="570"/>
      <c r="H4" s="570"/>
      <c r="I4" s="570"/>
      <c r="J4" s="570"/>
      <c r="K4" s="570"/>
      <c r="L4" s="570"/>
      <c r="M4" s="570"/>
      <c r="N4" s="570"/>
      <c r="O4" s="570"/>
      <c r="P4" s="570"/>
      <c r="Q4" s="570"/>
      <c r="R4" s="570"/>
      <c r="S4" s="570"/>
      <c r="T4" s="570"/>
      <c r="U4" s="570"/>
      <c r="V4" s="571"/>
    </row>
    <row r="5" spans="1:22" ht="51.6" customHeight="1" x14ac:dyDescent="0.2">
      <c r="A5" s="7" t="s">
        <v>452</v>
      </c>
      <c r="B5" s="569" t="s">
        <v>532</v>
      </c>
      <c r="C5" s="570"/>
      <c r="D5" s="570"/>
      <c r="E5" s="570"/>
      <c r="F5" s="570"/>
      <c r="G5" s="570"/>
      <c r="H5" s="570"/>
      <c r="I5" s="570"/>
      <c r="J5" s="570"/>
      <c r="K5" s="570"/>
      <c r="L5" s="570"/>
      <c r="M5" s="570"/>
      <c r="N5" s="570"/>
      <c r="O5" s="570"/>
      <c r="P5" s="570"/>
      <c r="Q5" s="570"/>
      <c r="R5" s="570"/>
      <c r="S5" s="570"/>
      <c r="T5" s="570"/>
      <c r="U5" s="570"/>
      <c r="V5" s="571"/>
    </row>
    <row r="6" spans="1:22" ht="56.1" customHeight="1" x14ac:dyDescent="0.2">
      <c r="A6" s="7" t="s">
        <v>453</v>
      </c>
      <c r="B6" s="569" t="s">
        <v>534</v>
      </c>
      <c r="C6" s="570"/>
      <c r="D6" s="570"/>
      <c r="E6" s="570"/>
      <c r="F6" s="570"/>
      <c r="G6" s="570"/>
      <c r="H6" s="570"/>
      <c r="I6" s="570"/>
      <c r="J6" s="570"/>
      <c r="K6" s="570"/>
      <c r="L6" s="570"/>
      <c r="M6" s="570"/>
      <c r="N6" s="570"/>
      <c r="O6" s="570"/>
      <c r="P6" s="570"/>
      <c r="Q6" s="570"/>
      <c r="R6" s="570"/>
      <c r="S6" s="570"/>
      <c r="T6" s="570"/>
      <c r="U6" s="570"/>
      <c r="V6" s="571"/>
    </row>
    <row r="7" spans="1:22" ht="81.95" customHeight="1" x14ac:dyDescent="0.2">
      <c r="A7" s="7" t="s">
        <v>454</v>
      </c>
      <c r="B7" s="569" t="s">
        <v>535</v>
      </c>
      <c r="C7" s="570"/>
      <c r="D7" s="570"/>
      <c r="E7" s="570"/>
      <c r="F7" s="570"/>
      <c r="G7" s="570"/>
      <c r="H7" s="570"/>
      <c r="I7" s="570"/>
      <c r="J7" s="570"/>
      <c r="K7" s="570"/>
      <c r="L7" s="570"/>
      <c r="M7" s="570"/>
      <c r="N7" s="570"/>
      <c r="O7" s="570"/>
      <c r="P7" s="570"/>
      <c r="Q7" s="570"/>
      <c r="R7" s="570"/>
      <c r="S7" s="570"/>
      <c r="T7" s="570"/>
      <c r="U7" s="570"/>
      <c r="V7" s="571"/>
    </row>
    <row r="8" spans="1:22" ht="66" customHeight="1" x14ac:dyDescent="0.2">
      <c r="A8" s="7" t="s">
        <v>455</v>
      </c>
      <c r="B8" s="569" t="s">
        <v>539</v>
      </c>
      <c r="C8" s="570"/>
      <c r="D8" s="570"/>
      <c r="E8" s="570"/>
      <c r="F8" s="570"/>
      <c r="G8" s="570"/>
      <c r="H8" s="570"/>
      <c r="I8" s="570"/>
      <c r="J8" s="570"/>
      <c r="K8" s="570"/>
      <c r="L8" s="570"/>
      <c r="M8" s="570"/>
      <c r="N8" s="570"/>
      <c r="O8" s="570"/>
      <c r="P8" s="570"/>
      <c r="Q8" s="570"/>
      <c r="R8" s="570"/>
      <c r="S8" s="570"/>
      <c r="T8" s="570"/>
      <c r="U8" s="570"/>
      <c r="V8" s="571"/>
    </row>
    <row r="9" spans="1:22" ht="57" customHeight="1" x14ac:dyDescent="0.2">
      <c r="A9" s="7" t="s">
        <v>456</v>
      </c>
      <c r="B9" s="569" t="s">
        <v>541</v>
      </c>
      <c r="C9" s="570"/>
      <c r="D9" s="570"/>
      <c r="E9" s="570"/>
      <c r="F9" s="570"/>
      <c r="G9" s="570"/>
      <c r="H9" s="570"/>
      <c r="I9" s="570"/>
      <c r="J9" s="570"/>
      <c r="K9" s="570"/>
      <c r="L9" s="570"/>
      <c r="M9" s="570"/>
      <c r="N9" s="570"/>
      <c r="O9" s="570"/>
      <c r="P9" s="570"/>
      <c r="Q9" s="570"/>
      <c r="R9" s="570"/>
      <c r="S9" s="570"/>
      <c r="T9" s="570"/>
      <c r="U9" s="570"/>
      <c r="V9" s="571"/>
    </row>
    <row r="10" spans="1:22" ht="60.95" customHeight="1" x14ac:dyDescent="0.2">
      <c r="A10" s="7" t="s">
        <v>457</v>
      </c>
      <c r="B10" s="569" t="s">
        <v>543</v>
      </c>
      <c r="C10" s="570"/>
      <c r="D10" s="570"/>
      <c r="E10" s="570"/>
      <c r="F10" s="570"/>
      <c r="G10" s="570"/>
      <c r="H10" s="570"/>
      <c r="I10" s="570"/>
      <c r="J10" s="570"/>
      <c r="K10" s="570"/>
      <c r="L10" s="570"/>
      <c r="M10" s="570"/>
      <c r="N10" s="570"/>
      <c r="O10" s="570"/>
      <c r="P10" s="570"/>
      <c r="Q10" s="570"/>
      <c r="R10" s="570"/>
      <c r="S10" s="570"/>
      <c r="T10" s="570"/>
      <c r="U10" s="570"/>
      <c r="V10" s="571"/>
    </row>
    <row r="11" spans="1:22" ht="62.25" customHeight="1" x14ac:dyDescent="0.2">
      <c r="A11" s="7" t="s">
        <v>458</v>
      </c>
      <c r="B11" s="569" t="s">
        <v>545</v>
      </c>
      <c r="C11" s="570"/>
      <c r="D11" s="570"/>
      <c r="E11" s="570"/>
      <c r="F11" s="570"/>
      <c r="G11" s="570"/>
      <c r="H11" s="570"/>
      <c r="I11" s="570"/>
      <c r="J11" s="570"/>
      <c r="K11" s="570"/>
      <c r="L11" s="570"/>
      <c r="M11" s="570"/>
      <c r="N11" s="570"/>
      <c r="O11" s="570"/>
      <c r="P11" s="570"/>
      <c r="Q11" s="570"/>
      <c r="R11" s="570"/>
      <c r="S11" s="570"/>
      <c r="T11" s="570"/>
      <c r="U11" s="570"/>
      <c r="V11" s="571"/>
    </row>
    <row r="12" spans="1:22" ht="66.599999999999994" customHeight="1" x14ac:dyDescent="0.2">
      <c r="A12" s="7" t="s">
        <v>459</v>
      </c>
      <c r="B12" s="569" t="s">
        <v>549</v>
      </c>
      <c r="C12" s="570"/>
      <c r="D12" s="570"/>
      <c r="E12" s="570"/>
      <c r="F12" s="570"/>
      <c r="G12" s="570"/>
      <c r="H12" s="570"/>
      <c r="I12" s="570"/>
      <c r="J12" s="570"/>
      <c r="K12" s="570"/>
      <c r="L12" s="570"/>
      <c r="M12" s="570"/>
      <c r="N12" s="570"/>
      <c r="O12" s="570"/>
      <c r="P12" s="570"/>
      <c r="Q12" s="570"/>
      <c r="R12" s="570"/>
      <c r="S12" s="570"/>
      <c r="T12" s="570"/>
      <c r="U12" s="570"/>
      <c r="V12" s="571"/>
    </row>
    <row r="13" spans="1:22" ht="57" customHeight="1" x14ac:dyDescent="0.2">
      <c r="A13" s="7" t="s">
        <v>460</v>
      </c>
      <c r="B13" s="569" t="s">
        <v>551</v>
      </c>
      <c r="C13" s="570"/>
      <c r="D13" s="570"/>
      <c r="E13" s="570"/>
      <c r="F13" s="570"/>
      <c r="G13" s="570"/>
      <c r="H13" s="570"/>
      <c r="I13" s="570"/>
      <c r="J13" s="570"/>
      <c r="K13" s="570"/>
      <c r="L13" s="570"/>
      <c r="M13" s="570"/>
      <c r="N13" s="570"/>
      <c r="O13" s="570"/>
      <c r="P13" s="570"/>
      <c r="Q13" s="570"/>
      <c r="R13" s="570"/>
      <c r="S13" s="570"/>
      <c r="T13" s="570"/>
      <c r="U13" s="570"/>
      <c r="V13" s="571"/>
    </row>
    <row r="14" spans="1:22" ht="71.45" customHeight="1" x14ac:dyDescent="0.2">
      <c r="A14" s="7" t="s">
        <v>461</v>
      </c>
      <c r="B14" s="569" t="s">
        <v>553</v>
      </c>
      <c r="C14" s="570"/>
      <c r="D14" s="570"/>
      <c r="E14" s="570"/>
      <c r="F14" s="570"/>
      <c r="G14" s="570"/>
      <c r="H14" s="570"/>
      <c r="I14" s="570"/>
      <c r="J14" s="570"/>
      <c r="K14" s="570"/>
      <c r="L14" s="570"/>
      <c r="M14" s="570"/>
      <c r="N14" s="570"/>
      <c r="O14" s="570"/>
      <c r="P14" s="570"/>
      <c r="Q14" s="570"/>
      <c r="R14" s="570"/>
      <c r="S14" s="570"/>
      <c r="T14" s="570"/>
      <c r="U14" s="570"/>
      <c r="V14" s="571"/>
    </row>
    <row r="15" spans="1:22" ht="57" customHeight="1" x14ac:dyDescent="0.2">
      <c r="A15" s="7" t="s">
        <v>462</v>
      </c>
      <c r="B15" s="569" t="s">
        <v>556</v>
      </c>
      <c r="C15" s="570"/>
      <c r="D15" s="570"/>
      <c r="E15" s="570"/>
      <c r="F15" s="570"/>
      <c r="G15" s="570"/>
      <c r="H15" s="570"/>
      <c r="I15" s="570"/>
      <c r="J15" s="570"/>
      <c r="K15" s="570"/>
      <c r="L15" s="570"/>
      <c r="M15" s="570"/>
      <c r="N15" s="570"/>
      <c r="O15" s="570"/>
      <c r="P15" s="570"/>
      <c r="Q15" s="570"/>
      <c r="R15" s="570"/>
      <c r="S15" s="570"/>
      <c r="T15" s="570"/>
      <c r="U15" s="570"/>
      <c r="V15" s="571"/>
    </row>
    <row r="16" spans="1:22" ht="52.5" customHeight="1" x14ac:dyDescent="0.2">
      <c r="A16" s="7" t="s">
        <v>463</v>
      </c>
      <c r="B16" s="569" t="s">
        <v>558</v>
      </c>
      <c r="C16" s="570"/>
      <c r="D16" s="570"/>
      <c r="E16" s="570"/>
      <c r="F16" s="570"/>
      <c r="G16" s="570"/>
      <c r="H16" s="570"/>
      <c r="I16" s="570"/>
      <c r="J16" s="570"/>
      <c r="K16" s="570"/>
      <c r="L16" s="570"/>
      <c r="M16" s="570"/>
      <c r="N16" s="570"/>
      <c r="O16" s="570"/>
      <c r="P16" s="570"/>
      <c r="Q16" s="570"/>
      <c r="R16" s="570"/>
      <c r="S16" s="570"/>
      <c r="T16" s="570"/>
      <c r="U16" s="570"/>
      <c r="V16" s="571"/>
    </row>
    <row r="17" spans="1:22" ht="66" customHeight="1" x14ac:dyDescent="0.2">
      <c r="A17" s="7" t="s">
        <v>464</v>
      </c>
      <c r="B17" s="569" t="s">
        <v>561</v>
      </c>
      <c r="C17" s="570"/>
      <c r="D17" s="570"/>
      <c r="E17" s="570"/>
      <c r="F17" s="570"/>
      <c r="G17" s="570"/>
      <c r="H17" s="570"/>
      <c r="I17" s="570"/>
      <c r="J17" s="570"/>
      <c r="K17" s="570"/>
      <c r="L17" s="570"/>
      <c r="M17" s="570"/>
      <c r="N17" s="570"/>
      <c r="O17" s="570"/>
      <c r="P17" s="570"/>
      <c r="Q17" s="570"/>
      <c r="R17" s="570"/>
      <c r="S17" s="570"/>
      <c r="T17" s="570"/>
      <c r="U17" s="570"/>
      <c r="V17" s="571"/>
    </row>
    <row r="18" spans="1:22" ht="63" customHeight="1" x14ac:dyDescent="0.2">
      <c r="A18" s="7" t="s">
        <v>465</v>
      </c>
      <c r="B18" s="569" t="s">
        <v>563</v>
      </c>
      <c r="C18" s="570"/>
      <c r="D18" s="570"/>
      <c r="E18" s="570"/>
      <c r="F18" s="570"/>
      <c r="G18" s="570"/>
      <c r="H18" s="570"/>
      <c r="I18" s="570"/>
      <c r="J18" s="570"/>
      <c r="K18" s="570"/>
      <c r="L18" s="570"/>
      <c r="M18" s="570"/>
      <c r="N18" s="570"/>
      <c r="O18" s="570"/>
      <c r="P18" s="570"/>
      <c r="Q18" s="570"/>
      <c r="R18" s="570"/>
      <c r="S18" s="570"/>
      <c r="T18" s="570"/>
      <c r="U18" s="570"/>
      <c r="V18" s="571"/>
    </row>
    <row r="19" spans="1:22" ht="67.5" customHeight="1" x14ac:dyDescent="0.2">
      <c r="A19" s="7" t="s">
        <v>466</v>
      </c>
      <c r="B19" s="569" t="s">
        <v>566</v>
      </c>
      <c r="C19" s="570"/>
      <c r="D19" s="570"/>
      <c r="E19" s="570"/>
      <c r="F19" s="570"/>
      <c r="G19" s="570"/>
      <c r="H19" s="570"/>
      <c r="I19" s="570"/>
      <c r="J19" s="570"/>
      <c r="K19" s="570"/>
      <c r="L19" s="570"/>
      <c r="M19" s="570"/>
      <c r="N19" s="570"/>
      <c r="O19" s="570"/>
      <c r="P19" s="570"/>
      <c r="Q19" s="570"/>
      <c r="R19" s="570"/>
      <c r="S19" s="570"/>
      <c r="T19" s="570"/>
      <c r="U19" s="570"/>
      <c r="V19" s="571"/>
    </row>
    <row r="20" spans="1:22" ht="61.5" customHeight="1" x14ac:dyDescent="0.2">
      <c r="A20" s="7" t="s">
        <v>467</v>
      </c>
      <c r="B20" s="569" t="s">
        <v>571</v>
      </c>
      <c r="C20" s="570"/>
      <c r="D20" s="570"/>
      <c r="E20" s="570"/>
      <c r="F20" s="570"/>
      <c r="G20" s="570"/>
      <c r="H20" s="570"/>
      <c r="I20" s="570"/>
      <c r="J20" s="570"/>
      <c r="K20" s="570"/>
      <c r="L20" s="570"/>
      <c r="M20" s="570"/>
      <c r="N20" s="570"/>
      <c r="O20" s="570"/>
      <c r="P20" s="570"/>
      <c r="Q20" s="570"/>
      <c r="R20" s="570"/>
      <c r="S20" s="570"/>
      <c r="T20" s="570"/>
      <c r="U20" s="570"/>
      <c r="V20" s="571"/>
    </row>
    <row r="21" spans="1:22" ht="73.5" customHeight="1" x14ac:dyDescent="0.2">
      <c r="A21" s="7" t="s">
        <v>468</v>
      </c>
      <c r="B21" s="569" t="s">
        <v>576</v>
      </c>
      <c r="C21" s="570"/>
      <c r="D21" s="570"/>
      <c r="E21" s="570"/>
      <c r="F21" s="570"/>
      <c r="G21" s="570"/>
      <c r="H21" s="570"/>
      <c r="I21" s="570"/>
      <c r="J21" s="570"/>
      <c r="K21" s="570"/>
      <c r="L21" s="570"/>
      <c r="M21" s="570"/>
      <c r="N21" s="570"/>
      <c r="O21" s="570"/>
      <c r="P21" s="570"/>
      <c r="Q21" s="570"/>
      <c r="R21" s="570"/>
      <c r="S21" s="570"/>
      <c r="T21" s="570"/>
      <c r="U21" s="570"/>
      <c r="V21" s="571"/>
    </row>
    <row r="22" spans="1:22" ht="59.25" customHeight="1" x14ac:dyDescent="0.2">
      <c r="A22" s="7" t="s">
        <v>469</v>
      </c>
      <c r="B22" s="569" t="s">
        <v>579</v>
      </c>
      <c r="C22" s="570"/>
      <c r="D22" s="570"/>
      <c r="E22" s="570"/>
      <c r="F22" s="570"/>
      <c r="G22" s="570"/>
      <c r="H22" s="570"/>
      <c r="I22" s="570"/>
      <c r="J22" s="570"/>
      <c r="K22" s="570"/>
      <c r="L22" s="570"/>
      <c r="M22" s="570"/>
      <c r="N22" s="570"/>
      <c r="O22" s="570"/>
      <c r="P22" s="570"/>
      <c r="Q22" s="570"/>
      <c r="R22" s="570"/>
      <c r="S22" s="570"/>
      <c r="T22" s="570"/>
      <c r="U22" s="570"/>
      <c r="V22" s="571"/>
    </row>
    <row r="23" spans="1:22" ht="68.25" customHeight="1" x14ac:dyDescent="0.2">
      <c r="A23" s="7" t="s">
        <v>470</v>
      </c>
      <c r="B23" s="569" t="s">
        <v>582</v>
      </c>
      <c r="C23" s="570"/>
      <c r="D23" s="570"/>
      <c r="E23" s="570"/>
      <c r="F23" s="570"/>
      <c r="G23" s="570"/>
      <c r="H23" s="570"/>
      <c r="I23" s="570"/>
      <c r="J23" s="570"/>
      <c r="K23" s="570"/>
      <c r="L23" s="570"/>
      <c r="M23" s="570"/>
      <c r="N23" s="570"/>
      <c r="O23" s="570"/>
      <c r="P23" s="570"/>
      <c r="Q23" s="570"/>
      <c r="R23" s="570"/>
      <c r="S23" s="570"/>
      <c r="T23" s="570"/>
      <c r="U23" s="570"/>
      <c r="V23" s="571"/>
    </row>
    <row r="24" spans="1:22" ht="54" customHeight="1" x14ac:dyDescent="0.2">
      <c r="A24" s="7" t="s">
        <v>471</v>
      </c>
      <c r="B24" s="569" t="s">
        <v>586</v>
      </c>
      <c r="C24" s="570"/>
      <c r="D24" s="570"/>
      <c r="E24" s="570"/>
      <c r="F24" s="570"/>
      <c r="G24" s="570"/>
      <c r="H24" s="570"/>
      <c r="I24" s="570"/>
      <c r="J24" s="570"/>
      <c r="K24" s="570"/>
      <c r="L24" s="570"/>
      <c r="M24" s="570"/>
      <c r="N24" s="570"/>
      <c r="O24" s="570"/>
      <c r="P24" s="570"/>
      <c r="Q24" s="570"/>
      <c r="R24" s="570"/>
      <c r="S24" s="570"/>
      <c r="T24" s="570"/>
      <c r="U24" s="570"/>
      <c r="V24" s="571"/>
    </row>
    <row r="25" spans="1:22" ht="64.5" customHeight="1" x14ac:dyDescent="0.2">
      <c r="A25" s="7" t="s">
        <v>472</v>
      </c>
      <c r="B25" s="569" t="s">
        <v>589</v>
      </c>
      <c r="C25" s="570"/>
      <c r="D25" s="570"/>
      <c r="E25" s="570"/>
      <c r="F25" s="570"/>
      <c r="G25" s="570"/>
      <c r="H25" s="570"/>
      <c r="I25" s="570"/>
      <c r="J25" s="570"/>
      <c r="K25" s="570"/>
      <c r="L25" s="570"/>
      <c r="M25" s="570"/>
      <c r="N25" s="570"/>
      <c r="O25" s="570"/>
      <c r="P25" s="570"/>
      <c r="Q25" s="570"/>
      <c r="R25" s="570"/>
      <c r="S25" s="570"/>
      <c r="T25" s="570"/>
      <c r="U25" s="570"/>
      <c r="V25" s="571"/>
    </row>
    <row r="26" spans="1:22" ht="69.75" customHeight="1" x14ac:dyDescent="0.2">
      <c r="A26" s="7" t="s">
        <v>473</v>
      </c>
      <c r="B26" s="569" t="s">
        <v>597</v>
      </c>
      <c r="C26" s="570"/>
      <c r="D26" s="570"/>
      <c r="E26" s="570"/>
      <c r="F26" s="570"/>
      <c r="G26" s="570"/>
      <c r="H26" s="570"/>
      <c r="I26" s="570"/>
      <c r="J26" s="570"/>
      <c r="K26" s="570"/>
      <c r="L26" s="570"/>
      <c r="M26" s="570"/>
      <c r="N26" s="570"/>
      <c r="O26" s="570"/>
      <c r="P26" s="570"/>
      <c r="Q26" s="570"/>
      <c r="R26" s="570"/>
      <c r="S26" s="570"/>
      <c r="T26" s="570"/>
      <c r="U26" s="570"/>
      <c r="V26" s="571"/>
    </row>
    <row r="27" spans="1:22" ht="60" customHeight="1" x14ac:dyDescent="0.2">
      <c r="A27" s="7" t="s">
        <v>474</v>
      </c>
      <c r="B27" s="569" t="s">
        <v>601</v>
      </c>
      <c r="C27" s="570"/>
      <c r="D27" s="570"/>
      <c r="E27" s="570"/>
      <c r="F27" s="570"/>
      <c r="G27" s="570"/>
      <c r="H27" s="570"/>
      <c r="I27" s="570"/>
      <c r="J27" s="570"/>
      <c r="K27" s="570"/>
      <c r="L27" s="570"/>
      <c r="M27" s="570"/>
      <c r="N27" s="570"/>
      <c r="O27" s="570"/>
      <c r="P27" s="570"/>
      <c r="Q27" s="570"/>
      <c r="R27" s="570"/>
      <c r="S27" s="570"/>
      <c r="T27" s="570"/>
      <c r="U27" s="570"/>
      <c r="V27" s="571"/>
    </row>
    <row r="28" spans="1:22" ht="62.25" customHeight="1" x14ac:dyDescent="0.2">
      <c r="A28" s="7" t="s">
        <v>475</v>
      </c>
      <c r="B28" s="569" t="s">
        <v>604</v>
      </c>
      <c r="C28" s="570"/>
      <c r="D28" s="570"/>
      <c r="E28" s="570"/>
      <c r="F28" s="570"/>
      <c r="G28" s="570"/>
      <c r="H28" s="570"/>
      <c r="I28" s="570"/>
      <c r="J28" s="570"/>
      <c r="K28" s="570"/>
      <c r="L28" s="570"/>
      <c r="M28" s="570"/>
      <c r="N28" s="570"/>
      <c r="O28" s="570"/>
      <c r="P28" s="570"/>
      <c r="Q28" s="570"/>
      <c r="R28" s="570"/>
      <c r="S28" s="570"/>
      <c r="T28" s="570"/>
      <c r="U28" s="570"/>
      <c r="V28" s="571"/>
    </row>
    <row r="29" spans="1:22" ht="54.75" customHeight="1" x14ac:dyDescent="0.2">
      <c r="A29" s="7" t="s">
        <v>476</v>
      </c>
      <c r="B29" s="569" t="s">
        <v>606</v>
      </c>
      <c r="C29" s="570"/>
      <c r="D29" s="570"/>
      <c r="E29" s="570"/>
      <c r="F29" s="570"/>
      <c r="G29" s="570"/>
      <c r="H29" s="570"/>
      <c r="I29" s="570"/>
      <c r="J29" s="570"/>
      <c r="K29" s="570"/>
      <c r="L29" s="570"/>
      <c r="M29" s="570"/>
      <c r="N29" s="570"/>
      <c r="O29" s="570"/>
      <c r="P29" s="570"/>
      <c r="Q29" s="570"/>
      <c r="R29" s="570"/>
      <c r="S29" s="570"/>
      <c r="T29" s="570"/>
      <c r="U29" s="570"/>
      <c r="V29" s="571"/>
    </row>
    <row r="30" spans="1:22" ht="54.75" customHeight="1" x14ac:dyDescent="0.2">
      <c r="A30" s="7" t="s">
        <v>477</v>
      </c>
      <c r="B30" s="569" t="s">
        <v>609</v>
      </c>
      <c r="C30" s="570"/>
      <c r="D30" s="570"/>
      <c r="E30" s="570"/>
      <c r="F30" s="570"/>
      <c r="G30" s="570"/>
      <c r="H30" s="570"/>
      <c r="I30" s="570"/>
      <c r="J30" s="570"/>
      <c r="K30" s="570"/>
      <c r="L30" s="570"/>
      <c r="M30" s="570"/>
      <c r="N30" s="570"/>
      <c r="O30" s="570"/>
      <c r="P30" s="570"/>
      <c r="Q30" s="570"/>
      <c r="R30" s="570"/>
      <c r="S30" s="570"/>
      <c r="T30" s="570"/>
      <c r="U30" s="570"/>
      <c r="V30" s="571"/>
    </row>
    <row r="31" spans="1:22" ht="62.45" customHeight="1" x14ac:dyDescent="0.2">
      <c r="A31" s="7" t="s">
        <v>478</v>
      </c>
      <c r="B31" s="569" t="s">
        <v>612</v>
      </c>
      <c r="C31" s="570"/>
      <c r="D31" s="570"/>
      <c r="E31" s="570"/>
      <c r="F31" s="570"/>
      <c r="G31" s="570"/>
      <c r="H31" s="570"/>
      <c r="I31" s="570"/>
      <c r="J31" s="570"/>
      <c r="K31" s="570"/>
      <c r="L31" s="570"/>
      <c r="M31" s="570"/>
      <c r="N31" s="570"/>
      <c r="O31" s="570"/>
      <c r="P31" s="570"/>
      <c r="Q31" s="570"/>
      <c r="R31" s="570"/>
      <c r="S31" s="570"/>
      <c r="T31" s="570"/>
      <c r="U31" s="570"/>
      <c r="V31" s="571"/>
    </row>
    <row r="32" spans="1:22" ht="65.099999999999994" customHeight="1" x14ac:dyDescent="0.2">
      <c r="A32" s="7" t="s">
        <v>479</v>
      </c>
      <c r="B32" s="569"/>
      <c r="C32" s="570"/>
      <c r="D32" s="570"/>
      <c r="E32" s="570"/>
      <c r="F32" s="570"/>
      <c r="G32" s="570"/>
      <c r="H32" s="570"/>
      <c r="I32" s="570"/>
      <c r="J32" s="570"/>
      <c r="K32" s="570"/>
      <c r="L32" s="570"/>
      <c r="M32" s="570"/>
      <c r="N32" s="570"/>
      <c r="O32" s="570"/>
      <c r="P32" s="570"/>
      <c r="Q32" s="570"/>
      <c r="R32" s="570"/>
      <c r="S32" s="570"/>
      <c r="T32" s="570"/>
      <c r="U32" s="570"/>
      <c r="V32" s="571"/>
    </row>
  </sheetData>
  <mergeCells count="32">
    <mergeCell ref="B2:V2"/>
    <mergeCell ref="B3:V3"/>
    <mergeCell ref="A1:V1"/>
    <mergeCell ref="B4:V4"/>
    <mergeCell ref="B5:V5"/>
    <mergeCell ref="B6:V6"/>
    <mergeCell ref="B7:V7"/>
    <mergeCell ref="B8:V8"/>
    <mergeCell ref="B9:V9"/>
    <mergeCell ref="B10:V10"/>
    <mergeCell ref="B11:V11"/>
    <mergeCell ref="B12:V12"/>
    <mergeCell ref="B13:V13"/>
    <mergeCell ref="B14:V14"/>
    <mergeCell ref="B15:V15"/>
    <mergeCell ref="B16:V16"/>
    <mergeCell ref="B17:V17"/>
    <mergeCell ref="B18:V18"/>
    <mergeCell ref="B19:V19"/>
    <mergeCell ref="B20:V20"/>
    <mergeCell ref="B21:V21"/>
    <mergeCell ref="B22:V22"/>
    <mergeCell ref="B23:V23"/>
    <mergeCell ref="B24:V24"/>
    <mergeCell ref="B25:V25"/>
    <mergeCell ref="B31:V31"/>
    <mergeCell ref="B32:V32"/>
    <mergeCell ref="B26:V26"/>
    <mergeCell ref="B27:V27"/>
    <mergeCell ref="B28:V28"/>
    <mergeCell ref="B29:V29"/>
    <mergeCell ref="B30:V30"/>
  </mergeCells>
  <phoneticPr fontId="24" type="noConversion"/>
  <printOptions horizontalCentered="1" verticalCentered="1"/>
  <pageMargins left="0.25" right="0.25" top="0.25" bottom="0.25" header="0.25" footer="0.25"/>
  <pageSetup scale="43"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2:CH219"/>
  <sheetViews>
    <sheetView topLeftCell="A201" zoomScale="90" zoomScaleNormal="90" workbookViewId="0">
      <selection activeCell="C226" sqref="C226"/>
    </sheetView>
  </sheetViews>
  <sheetFormatPr defaultRowHeight="12.75" x14ac:dyDescent="0.2"/>
  <cols>
    <col min="1" max="1" width="18.5703125" customWidth="1"/>
    <col min="2" max="2" width="16.28515625" customWidth="1"/>
    <col min="3" max="3" width="40.5703125" customWidth="1"/>
    <col min="4" max="4" width="49.5703125" customWidth="1"/>
    <col min="5" max="5" width="29.7109375" customWidth="1"/>
    <col min="6" max="6" width="26.7109375" customWidth="1"/>
    <col min="7" max="8" width="15.5703125" customWidth="1"/>
    <col min="9" max="9" width="28.5703125" customWidth="1"/>
  </cols>
  <sheetData>
    <row r="2" spans="1:86" s="187" customFormat="1" ht="25.5" x14ac:dyDescent="0.2">
      <c r="A2" s="336" t="s">
        <v>424</v>
      </c>
      <c r="B2" s="336" t="s">
        <v>425</v>
      </c>
      <c r="C2" s="336" t="s">
        <v>426</v>
      </c>
      <c r="D2" s="336" t="s">
        <v>427</v>
      </c>
      <c r="E2" s="336" t="s">
        <v>428</v>
      </c>
      <c r="F2" s="336" t="s">
        <v>429</v>
      </c>
      <c r="G2" s="336" t="s">
        <v>430</v>
      </c>
      <c r="H2" s="336" t="s">
        <v>431</v>
      </c>
      <c r="I2" s="230" t="s">
        <v>432</v>
      </c>
      <c r="J2" s="186"/>
      <c r="K2" s="186"/>
      <c r="L2" s="186"/>
      <c r="M2" s="186"/>
      <c r="N2" s="186"/>
      <c r="O2" s="186"/>
      <c r="P2" s="186"/>
      <c r="Q2" s="186"/>
      <c r="R2" s="186"/>
      <c r="S2" s="186"/>
      <c r="T2" s="186"/>
      <c r="U2" s="186"/>
      <c r="V2" s="186"/>
      <c r="W2" s="186"/>
      <c r="X2" s="186"/>
      <c r="Y2" s="186"/>
      <c r="Z2" s="186"/>
      <c r="AA2" s="186"/>
      <c r="AB2" s="186"/>
      <c r="AC2" s="186"/>
      <c r="AD2" s="186"/>
      <c r="AE2" s="186"/>
      <c r="AF2" s="186"/>
      <c r="AG2" s="186"/>
      <c r="AH2" s="186"/>
      <c r="AI2" s="186"/>
      <c r="AJ2" s="186"/>
      <c r="AK2" s="186"/>
      <c r="AL2" s="186"/>
      <c r="AM2" s="186"/>
      <c r="AN2" s="186"/>
      <c r="AO2" s="186"/>
      <c r="AP2" s="186"/>
      <c r="AQ2" s="186"/>
      <c r="AR2" s="186"/>
      <c r="AS2" s="186"/>
      <c r="AT2" s="186"/>
      <c r="AU2" s="186"/>
      <c r="AV2" s="186"/>
      <c r="AW2" s="186"/>
      <c r="AX2" s="186"/>
      <c r="AY2" s="186"/>
      <c r="AZ2" s="186"/>
      <c r="BA2" s="186"/>
      <c r="BB2" s="186"/>
      <c r="BC2" s="186"/>
      <c r="BD2" s="186"/>
      <c r="BE2" s="186"/>
      <c r="BF2" s="186"/>
      <c r="BG2" s="186"/>
      <c r="BH2" s="186"/>
      <c r="BI2" s="186"/>
      <c r="BJ2" s="186"/>
      <c r="BK2" s="186"/>
      <c r="BL2" s="186"/>
      <c r="BM2" s="186"/>
      <c r="BN2" s="186"/>
      <c r="BO2" s="186"/>
      <c r="BP2" s="186"/>
      <c r="BQ2" s="186"/>
      <c r="BR2" s="186"/>
      <c r="BS2" s="186"/>
      <c r="BT2" s="186"/>
      <c r="BU2" s="186"/>
      <c r="BV2" s="186"/>
      <c r="BW2" s="186"/>
      <c r="BX2" s="186"/>
      <c r="BY2" s="186"/>
      <c r="BZ2" s="186"/>
      <c r="CA2" s="186"/>
      <c r="CB2" s="186"/>
      <c r="CC2" s="186"/>
      <c r="CD2" s="186"/>
      <c r="CE2" s="186"/>
      <c r="CF2" s="186"/>
      <c r="CG2" s="186"/>
      <c r="CH2" s="186"/>
    </row>
    <row r="4" spans="1:86" ht="12.6" customHeight="1" x14ac:dyDescent="0.2">
      <c r="A4" s="578" t="s">
        <v>523</v>
      </c>
      <c r="B4" s="405" t="s">
        <v>395</v>
      </c>
      <c r="C4" s="578" t="s">
        <v>530</v>
      </c>
      <c r="D4" s="578"/>
      <c r="E4" s="578"/>
      <c r="F4" s="575"/>
      <c r="G4" s="575"/>
    </row>
    <row r="5" spans="1:86" x14ac:dyDescent="0.2">
      <c r="A5" s="579"/>
      <c r="B5" s="405" t="s">
        <v>396</v>
      </c>
      <c r="C5" s="579"/>
      <c r="D5" s="579"/>
      <c r="E5" s="576"/>
      <c r="F5" s="576"/>
      <c r="G5" s="576"/>
    </row>
    <row r="6" spans="1:86" x14ac:dyDescent="0.2">
      <c r="A6" s="579"/>
      <c r="B6" s="352" t="s">
        <v>402</v>
      </c>
      <c r="C6" s="579"/>
      <c r="D6" s="579"/>
      <c r="E6" s="576"/>
      <c r="F6" s="576"/>
      <c r="G6" s="576"/>
    </row>
    <row r="7" spans="1:86" x14ac:dyDescent="0.2">
      <c r="A7" s="579"/>
      <c r="B7" s="352" t="s">
        <v>400</v>
      </c>
      <c r="C7" s="579"/>
      <c r="D7" s="579"/>
      <c r="E7" s="576"/>
      <c r="F7" s="576"/>
      <c r="G7" s="576"/>
    </row>
    <row r="8" spans="1:86" x14ac:dyDescent="0.2">
      <c r="A8" s="579"/>
      <c r="B8" s="352" t="s">
        <v>401</v>
      </c>
      <c r="C8" s="579"/>
      <c r="D8" s="579"/>
      <c r="E8" s="576"/>
      <c r="F8" s="576"/>
      <c r="G8" s="576"/>
    </row>
    <row r="9" spans="1:86" x14ac:dyDescent="0.2">
      <c r="A9" s="580"/>
      <c r="B9" s="352" t="s">
        <v>403</v>
      </c>
      <c r="C9" s="580"/>
      <c r="D9" s="580"/>
      <c r="E9" s="577"/>
      <c r="F9" s="577"/>
      <c r="G9" s="577"/>
    </row>
    <row r="11" spans="1:86" ht="12.6" customHeight="1" x14ac:dyDescent="0.2">
      <c r="A11" s="578" t="s">
        <v>527</v>
      </c>
      <c r="B11" s="405" t="s">
        <v>395</v>
      </c>
      <c r="C11" s="578" t="s">
        <v>530</v>
      </c>
      <c r="D11" s="578"/>
      <c r="E11" s="578"/>
      <c r="F11" s="575"/>
      <c r="G11" s="575"/>
    </row>
    <row r="12" spans="1:86" x14ac:dyDescent="0.2">
      <c r="A12" s="579"/>
      <c r="B12" s="405" t="s">
        <v>396</v>
      </c>
      <c r="C12" s="579"/>
      <c r="D12" s="579"/>
      <c r="E12" s="576"/>
      <c r="F12" s="576"/>
      <c r="G12" s="576"/>
    </row>
    <row r="13" spans="1:86" x14ac:dyDescent="0.2">
      <c r="A13" s="579"/>
      <c r="B13" s="352" t="s">
        <v>402</v>
      </c>
      <c r="C13" s="579"/>
      <c r="D13" s="579"/>
      <c r="E13" s="576"/>
      <c r="F13" s="576"/>
      <c r="G13" s="576"/>
    </row>
    <row r="14" spans="1:86" x14ac:dyDescent="0.2">
      <c r="A14" s="579"/>
      <c r="B14" s="352" t="s">
        <v>400</v>
      </c>
      <c r="C14" s="579"/>
      <c r="D14" s="579"/>
      <c r="E14" s="576"/>
      <c r="F14" s="576"/>
      <c r="G14" s="576"/>
    </row>
    <row r="15" spans="1:86" x14ac:dyDescent="0.2">
      <c r="A15" s="579"/>
      <c r="B15" s="352" t="s">
        <v>401</v>
      </c>
      <c r="C15" s="579"/>
      <c r="D15" s="579"/>
      <c r="E15" s="576"/>
      <c r="F15" s="576"/>
      <c r="G15" s="576"/>
    </row>
    <row r="16" spans="1:86" x14ac:dyDescent="0.2">
      <c r="A16" s="580"/>
      <c r="B16" s="352" t="s">
        <v>403</v>
      </c>
      <c r="C16" s="580"/>
      <c r="D16" s="580"/>
      <c r="E16" s="577"/>
      <c r="F16" s="577"/>
      <c r="G16" s="577"/>
    </row>
    <row r="18" spans="1:7" ht="12.6" customHeight="1" x14ac:dyDescent="0.2">
      <c r="A18" s="578" t="s">
        <v>529</v>
      </c>
      <c r="B18" s="352" t="s">
        <v>395</v>
      </c>
      <c r="C18" s="578" t="s">
        <v>530</v>
      </c>
      <c r="D18" s="578"/>
      <c r="E18" s="578"/>
      <c r="F18" s="575"/>
      <c r="G18" s="575"/>
    </row>
    <row r="19" spans="1:7" x14ac:dyDescent="0.2">
      <c r="A19" s="579"/>
      <c r="B19" s="352" t="s">
        <v>396</v>
      </c>
      <c r="C19" s="579"/>
      <c r="D19" s="579"/>
      <c r="E19" s="576"/>
      <c r="F19" s="576"/>
      <c r="G19" s="576"/>
    </row>
    <row r="20" spans="1:7" x14ac:dyDescent="0.2">
      <c r="A20" s="579"/>
      <c r="B20" s="352" t="s">
        <v>402</v>
      </c>
      <c r="C20" s="579"/>
      <c r="D20" s="579"/>
      <c r="E20" s="576"/>
      <c r="F20" s="576"/>
      <c r="G20" s="576"/>
    </row>
    <row r="21" spans="1:7" x14ac:dyDescent="0.2">
      <c r="A21" s="579"/>
      <c r="B21" s="352" t="s">
        <v>400</v>
      </c>
      <c r="C21" s="579"/>
      <c r="D21" s="579"/>
      <c r="E21" s="576"/>
      <c r="F21" s="576"/>
      <c r="G21" s="576"/>
    </row>
    <row r="22" spans="1:7" x14ac:dyDescent="0.2">
      <c r="A22" s="579"/>
      <c r="B22" s="352" t="s">
        <v>401</v>
      </c>
      <c r="C22" s="579"/>
      <c r="D22" s="579"/>
      <c r="E22" s="576"/>
      <c r="F22" s="576"/>
      <c r="G22" s="576"/>
    </row>
    <row r="23" spans="1:7" x14ac:dyDescent="0.2">
      <c r="A23" s="580"/>
      <c r="B23" s="352" t="s">
        <v>403</v>
      </c>
      <c r="C23" s="580"/>
      <c r="D23" s="580"/>
      <c r="E23" s="577"/>
      <c r="F23" s="577"/>
      <c r="G23" s="577"/>
    </row>
    <row r="25" spans="1:7" ht="12.6" customHeight="1" x14ac:dyDescent="0.2">
      <c r="A25" s="578" t="s">
        <v>531</v>
      </c>
      <c r="B25" s="352" t="s">
        <v>395</v>
      </c>
      <c r="C25" s="578" t="s">
        <v>530</v>
      </c>
      <c r="D25" s="578"/>
      <c r="E25" s="578"/>
      <c r="F25" s="575"/>
      <c r="G25" s="575"/>
    </row>
    <row r="26" spans="1:7" x14ac:dyDescent="0.2">
      <c r="A26" s="579"/>
      <c r="B26" s="352" t="s">
        <v>396</v>
      </c>
      <c r="C26" s="579"/>
      <c r="D26" s="579"/>
      <c r="E26" s="576"/>
      <c r="F26" s="576"/>
      <c r="G26" s="576"/>
    </row>
    <row r="27" spans="1:7" x14ac:dyDescent="0.2">
      <c r="A27" s="579"/>
      <c r="B27" s="352" t="s">
        <v>402</v>
      </c>
      <c r="C27" s="579"/>
      <c r="D27" s="579"/>
      <c r="E27" s="576"/>
      <c r="F27" s="576"/>
      <c r="G27" s="576"/>
    </row>
    <row r="28" spans="1:7" x14ac:dyDescent="0.2">
      <c r="A28" s="579"/>
      <c r="B28" s="352" t="s">
        <v>400</v>
      </c>
      <c r="C28" s="579"/>
      <c r="D28" s="579"/>
      <c r="E28" s="576"/>
      <c r="F28" s="576"/>
      <c r="G28" s="576"/>
    </row>
    <row r="29" spans="1:7" x14ac:dyDescent="0.2">
      <c r="A29" s="579"/>
      <c r="B29" s="352" t="s">
        <v>401</v>
      </c>
      <c r="C29" s="579"/>
      <c r="D29" s="579"/>
      <c r="E29" s="576"/>
      <c r="F29" s="576"/>
      <c r="G29" s="576"/>
    </row>
    <row r="30" spans="1:7" x14ac:dyDescent="0.2">
      <c r="A30" s="580"/>
      <c r="B30" s="352" t="s">
        <v>403</v>
      </c>
      <c r="C30" s="580"/>
      <c r="D30" s="580"/>
      <c r="E30" s="577"/>
      <c r="F30" s="577"/>
      <c r="G30" s="577"/>
    </row>
    <row r="32" spans="1:7" ht="12.6" customHeight="1" x14ac:dyDescent="0.2">
      <c r="A32" s="578" t="s">
        <v>533</v>
      </c>
      <c r="B32" s="352" t="s">
        <v>395</v>
      </c>
      <c r="C32" s="578" t="s">
        <v>530</v>
      </c>
      <c r="D32" s="578"/>
      <c r="E32" s="578"/>
      <c r="F32" s="575"/>
      <c r="G32" s="575"/>
    </row>
    <row r="33" spans="1:7" x14ac:dyDescent="0.2">
      <c r="A33" s="579"/>
      <c r="B33" s="352" t="s">
        <v>396</v>
      </c>
      <c r="C33" s="579"/>
      <c r="D33" s="579"/>
      <c r="E33" s="576"/>
      <c r="F33" s="576"/>
      <c r="G33" s="576"/>
    </row>
    <row r="34" spans="1:7" x14ac:dyDescent="0.2">
      <c r="A34" s="579"/>
      <c r="B34" s="352" t="s">
        <v>402</v>
      </c>
      <c r="C34" s="579"/>
      <c r="D34" s="579"/>
      <c r="E34" s="576"/>
      <c r="F34" s="576"/>
      <c r="G34" s="576"/>
    </row>
    <row r="35" spans="1:7" x14ac:dyDescent="0.2">
      <c r="A35" s="579"/>
      <c r="B35" s="352" t="s">
        <v>400</v>
      </c>
      <c r="C35" s="579"/>
      <c r="D35" s="579"/>
      <c r="E35" s="576"/>
      <c r="F35" s="576"/>
      <c r="G35" s="576"/>
    </row>
    <row r="36" spans="1:7" x14ac:dyDescent="0.2">
      <c r="A36" s="579"/>
      <c r="B36" s="352" t="s">
        <v>401</v>
      </c>
      <c r="C36" s="579"/>
      <c r="D36" s="579"/>
      <c r="E36" s="576"/>
      <c r="F36" s="576"/>
      <c r="G36" s="576"/>
    </row>
    <row r="37" spans="1:7" x14ac:dyDescent="0.2">
      <c r="A37" s="580"/>
      <c r="B37" s="352" t="s">
        <v>403</v>
      </c>
      <c r="C37" s="580"/>
      <c r="D37" s="580"/>
      <c r="E37" s="577"/>
      <c r="F37" s="577"/>
      <c r="G37" s="577"/>
    </row>
    <row r="39" spans="1:7" ht="12.6" customHeight="1" x14ac:dyDescent="0.2">
      <c r="A39" s="578" t="s">
        <v>536</v>
      </c>
      <c r="B39" s="352" t="s">
        <v>395</v>
      </c>
      <c r="C39" s="578" t="s">
        <v>530</v>
      </c>
      <c r="D39" s="578"/>
      <c r="E39" s="578"/>
      <c r="F39" s="575"/>
      <c r="G39" s="575"/>
    </row>
    <row r="40" spans="1:7" x14ac:dyDescent="0.2">
      <c r="A40" s="579"/>
      <c r="B40" s="352" t="s">
        <v>396</v>
      </c>
      <c r="C40" s="579"/>
      <c r="D40" s="579"/>
      <c r="E40" s="576"/>
      <c r="F40" s="576"/>
      <c r="G40" s="576"/>
    </row>
    <row r="41" spans="1:7" x14ac:dyDescent="0.2">
      <c r="A41" s="579"/>
      <c r="B41" s="352" t="s">
        <v>402</v>
      </c>
      <c r="C41" s="579"/>
      <c r="D41" s="579"/>
      <c r="E41" s="576"/>
      <c r="F41" s="576"/>
      <c r="G41" s="576"/>
    </row>
    <row r="42" spans="1:7" x14ac:dyDescent="0.2">
      <c r="A42" s="579"/>
      <c r="B42" s="352" t="s">
        <v>400</v>
      </c>
      <c r="C42" s="579"/>
      <c r="D42" s="579"/>
      <c r="E42" s="576"/>
      <c r="F42" s="576"/>
      <c r="G42" s="576"/>
    </row>
    <row r="43" spans="1:7" x14ac:dyDescent="0.2">
      <c r="A43" s="579"/>
      <c r="B43" s="352" t="s">
        <v>401</v>
      </c>
      <c r="C43" s="579"/>
      <c r="D43" s="579"/>
      <c r="E43" s="576"/>
      <c r="F43" s="576"/>
      <c r="G43" s="576"/>
    </row>
    <row r="44" spans="1:7" x14ac:dyDescent="0.2">
      <c r="A44" s="580"/>
      <c r="B44" s="352" t="s">
        <v>403</v>
      </c>
      <c r="C44" s="580"/>
      <c r="D44" s="580"/>
      <c r="E44" s="577"/>
      <c r="F44" s="577"/>
      <c r="G44" s="577"/>
    </row>
    <row r="46" spans="1:7" ht="12.6" customHeight="1" x14ac:dyDescent="0.2">
      <c r="A46" s="578" t="s">
        <v>538</v>
      </c>
      <c r="B46" s="352" t="s">
        <v>395</v>
      </c>
      <c r="C46" s="578" t="s">
        <v>530</v>
      </c>
      <c r="D46" s="578"/>
      <c r="E46" s="578"/>
      <c r="F46" s="575"/>
      <c r="G46" s="575"/>
    </row>
    <row r="47" spans="1:7" x14ac:dyDescent="0.2">
      <c r="A47" s="579"/>
      <c r="B47" s="352" t="s">
        <v>396</v>
      </c>
      <c r="C47" s="579"/>
      <c r="D47" s="579"/>
      <c r="E47" s="576"/>
      <c r="F47" s="576"/>
      <c r="G47" s="576"/>
    </row>
    <row r="48" spans="1:7" x14ac:dyDescent="0.2">
      <c r="A48" s="579"/>
      <c r="B48" s="352" t="s">
        <v>402</v>
      </c>
      <c r="C48" s="579"/>
      <c r="D48" s="579"/>
      <c r="E48" s="576"/>
      <c r="F48" s="576"/>
      <c r="G48" s="576"/>
    </row>
    <row r="49" spans="1:7" x14ac:dyDescent="0.2">
      <c r="A49" s="579"/>
      <c r="B49" s="352" t="s">
        <v>400</v>
      </c>
      <c r="C49" s="579"/>
      <c r="D49" s="579"/>
      <c r="E49" s="576"/>
      <c r="F49" s="576"/>
      <c r="G49" s="576"/>
    </row>
    <row r="50" spans="1:7" x14ac:dyDescent="0.2">
      <c r="A50" s="579"/>
      <c r="B50" s="352" t="s">
        <v>401</v>
      </c>
      <c r="C50" s="579"/>
      <c r="D50" s="579"/>
      <c r="E50" s="576"/>
      <c r="F50" s="576"/>
      <c r="G50" s="576"/>
    </row>
    <row r="51" spans="1:7" x14ac:dyDescent="0.2">
      <c r="A51" s="580"/>
      <c r="B51" s="352" t="s">
        <v>403</v>
      </c>
      <c r="C51" s="580"/>
      <c r="D51" s="580"/>
      <c r="E51" s="577"/>
      <c r="F51" s="577"/>
      <c r="G51" s="577"/>
    </row>
    <row r="53" spans="1:7" ht="12.6" customHeight="1" x14ac:dyDescent="0.2">
      <c r="A53" s="578" t="s">
        <v>538</v>
      </c>
      <c r="B53" s="352" t="s">
        <v>395</v>
      </c>
      <c r="C53" s="578" t="s">
        <v>530</v>
      </c>
      <c r="D53" s="578"/>
      <c r="E53" s="578"/>
      <c r="F53" s="575"/>
      <c r="G53" s="575"/>
    </row>
    <row r="54" spans="1:7" x14ac:dyDescent="0.2">
      <c r="A54" s="579"/>
      <c r="B54" s="352" t="s">
        <v>396</v>
      </c>
      <c r="C54" s="579"/>
      <c r="D54" s="579"/>
      <c r="E54" s="576"/>
      <c r="F54" s="576"/>
      <c r="G54" s="576"/>
    </row>
    <row r="55" spans="1:7" x14ac:dyDescent="0.2">
      <c r="A55" s="579"/>
      <c r="B55" s="352" t="s">
        <v>402</v>
      </c>
      <c r="C55" s="579"/>
      <c r="D55" s="579"/>
      <c r="E55" s="576"/>
      <c r="F55" s="576"/>
      <c r="G55" s="576"/>
    </row>
    <row r="56" spans="1:7" x14ac:dyDescent="0.2">
      <c r="A56" s="579"/>
      <c r="B56" s="352" t="s">
        <v>400</v>
      </c>
      <c r="C56" s="579"/>
      <c r="D56" s="579"/>
      <c r="E56" s="576"/>
      <c r="F56" s="576"/>
      <c r="G56" s="576"/>
    </row>
    <row r="57" spans="1:7" x14ac:dyDescent="0.2">
      <c r="A57" s="579"/>
      <c r="B57" s="352" t="s">
        <v>401</v>
      </c>
      <c r="C57" s="579"/>
      <c r="D57" s="579"/>
      <c r="E57" s="576"/>
      <c r="F57" s="576"/>
      <c r="G57" s="576"/>
    </row>
    <row r="58" spans="1:7" x14ac:dyDescent="0.2">
      <c r="A58" s="580"/>
      <c r="B58" s="352" t="s">
        <v>403</v>
      </c>
      <c r="C58" s="580"/>
      <c r="D58" s="580"/>
      <c r="E58" s="577"/>
      <c r="F58" s="577"/>
      <c r="G58" s="577"/>
    </row>
    <row r="60" spans="1:7" ht="12.6" customHeight="1" x14ac:dyDescent="0.2">
      <c r="A60" s="578" t="s">
        <v>542</v>
      </c>
      <c r="B60" s="352" t="s">
        <v>395</v>
      </c>
      <c r="C60" s="578" t="s">
        <v>530</v>
      </c>
      <c r="D60" s="578"/>
      <c r="E60" s="578"/>
      <c r="F60" s="575"/>
      <c r="G60" s="575"/>
    </row>
    <row r="61" spans="1:7" x14ac:dyDescent="0.2">
      <c r="A61" s="579"/>
      <c r="B61" s="352" t="s">
        <v>396</v>
      </c>
      <c r="C61" s="579"/>
      <c r="D61" s="579"/>
      <c r="E61" s="576"/>
      <c r="F61" s="576"/>
      <c r="G61" s="576"/>
    </row>
    <row r="62" spans="1:7" x14ac:dyDescent="0.2">
      <c r="A62" s="579"/>
      <c r="B62" s="352" t="s">
        <v>402</v>
      </c>
      <c r="C62" s="579"/>
      <c r="D62" s="579"/>
      <c r="E62" s="576"/>
      <c r="F62" s="576"/>
      <c r="G62" s="576"/>
    </row>
    <row r="63" spans="1:7" x14ac:dyDescent="0.2">
      <c r="A63" s="579"/>
      <c r="B63" s="352" t="s">
        <v>400</v>
      </c>
      <c r="C63" s="579"/>
      <c r="D63" s="579"/>
      <c r="E63" s="576"/>
      <c r="F63" s="576"/>
      <c r="G63" s="576"/>
    </row>
    <row r="64" spans="1:7" x14ac:dyDescent="0.2">
      <c r="A64" s="579"/>
      <c r="B64" s="352" t="s">
        <v>401</v>
      </c>
      <c r="C64" s="579"/>
      <c r="D64" s="579"/>
      <c r="E64" s="576"/>
      <c r="F64" s="576"/>
      <c r="G64" s="576"/>
    </row>
    <row r="65" spans="1:7" x14ac:dyDescent="0.2">
      <c r="A65" s="580"/>
      <c r="B65" s="352" t="s">
        <v>403</v>
      </c>
      <c r="C65" s="580"/>
      <c r="D65" s="580"/>
      <c r="E65" s="577"/>
      <c r="F65" s="577"/>
      <c r="G65" s="577"/>
    </row>
    <row r="67" spans="1:7" ht="12.6" customHeight="1" x14ac:dyDescent="0.2">
      <c r="A67" s="578" t="s">
        <v>546</v>
      </c>
      <c r="B67" s="352" t="s">
        <v>395</v>
      </c>
      <c r="C67" s="578" t="s">
        <v>530</v>
      </c>
      <c r="D67" s="578"/>
      <c r="E67" s="578"/>
      <c r="F67" s="575"/>
      <c r="G67" s="575"/>
    </row>
    <row r="68" spans="1:7" x14ac:dyDescent="0.2">
      <c r="A68" s="579"/>
      <c r="B68" s="352" t="s">
        <v>396</v>
      </c>
      <c r="C68" s="579"/>
      <c r="D68" s="579"/>
      <c r="E68" s="576"/>
      <c r="F68" s="576"/>
      <c r="G68" s="576"/>
    </row>
    <row r="69" spans="1:7" x14ac:dyDescent="0.2">
      <c r="A69" s="579"/>
      <c r="B69" s="352" t="s">
        <v>402</v>
      </c>
      <c r="C69" s="579"/>
      <c r="D69" s="579"/>
      <c r="E69" s="576"/>
      <c r="F69" s="576"/>
      <c r="G69" s="576"/>
    </row>
    <row r="70" spans="1:7" x14ac:dyDescent="0.2">
      <c r="A70" s="579"/>
      <c r="B70" s="352" t="s">
        <v>400</v>
      </c>
      <c r="C70" s="579"/>
      <c r="D70" s="579"/>
      <c r="E70" s="576"/>
      <c r="F70" s="576"/>
      <c r="G70" s="576"/>
    </row>
    <row r="71" spans="1:7" x14ac:dyDescent="0.2">
      <c r="A71" s="579"/>
      <c r="B71" s="352" t="s">
        <v>401</v>
      </c>
      <c r="C71" s="579"/>
      <c r="D71" s="579"/>
      <c r="E71" s="576"/>
      <c r="F71" s="576"/>
      <c r="G71" s="576"/>
    </row>
    <row r="72" spans="1:7" x14ac:dyDescent="0.2">
      <c r="A72" s="580"/>
      <c r="B72" s="352" t="s">
        <v>403</v>
      </c>
      <c r="C72" s="580"/>
      <c r="D72" s="580"/>
      <c r="E72" s="577"/>
      <c r="F72" s="577"/>
      <c r="G72" s="577"/>
    </row>
    <row r="74" spans="1:7" ht="12.6" customHeight="1" x14ac:dyDescent="0.2">
      <c r="A74" s="578" t="s">
        <v>547</v>
      </c>
      <c r="B74" s="352" t="s">
        <v>395</v>
      </c>
      <c r="C74" s="578" t="s">
        <v>530</v>
      </c>
      <c r="D74" s="578"/>
      <c r="E74" s="578"/>
      <c r="F74" s="575"/>
      <c r="G74" s="575"/>
    </row>
    <row r="75" spans="1:7" x14ac:dyDescent="0.2">
      <c r="A75" s="579"/>
      <c r="B75" s="352" t="s">
        <v>396</v>
      </c>
      <c r="C75" s="579"/>
      <c r="D75" s="579"/>
      <c r="E75" s="576"/>
      <c r="F75" s="576"/>
      <c r="G75" s="576"/>
    </row>
    <row r="76" spans="1:7" x14ac:dyDescent="0.2">
      <c r="A76" s="579"/>
      <c r="B76" s="352" t="s">
        <v>402</v>
      </c>
      <c r="C76" s="579"/>
      <c r="D76" s="579"/>
      <c r="E76" s="576"/>
      <c r="F76" s="576"/>
      <c r="G76" s="576"/>
    </row>
    <row r="77" spans="1:7" x14ac:dyDescent="0.2">
      <c r="A77" s="579"/>
      <c r="B77" s="352" t="s">
        <v>400</v>
      </c>
      <c r="C77" s="579"/>
      <c r="D77" s="579"/>
      <c r="E77" s="576"/>
      <c r="F77" s="576"/>
      <c r="G77" s="576"/>
    </row>
    <row r="78" spans="1:7" x14ac:dyDescent="0.2">
      <c r="A78" s="579"/>
      <c r="B78" s="352" t="s">
        <v>401</v>
      </c>
      <c r="C78" s="579"/>
      <c r="D78" s="579"/>
      <c r="E78" s="576"/>
      <c r="F78" s="576"/>
      <c r="G78" s="576"/>
    </row>
    <row r="79" spans="1:7" x14ac:dyDescent="0.2">
      <c r="A79" s="580"/>
      <c r="B79" s="352" t="s">
        <v>403</v>
      </c>
      <c r="C79" s="580"/>
      <c r="D79" s="580"/>
      <c r="E79" s="577"/>
      <c r="F79" s="577"/>
      <c r="G79" s="577"/>
    </row>
    <row r="81" spans="1:7" ht="12.6" customHeight="1" x14ac:dyDescent="0.2">
      <c r="A81" s="578" t="s">
        <v>548</v>
      </c>
      <c r="B81" s="352" t="s">
        <v>395</v>
      </c>
      <c r="C81" s="578" t="s">
        <v>530</v>
      </c>
      <c r="D81" s="578"/>
      <c r="E81" s="578"/>
      <c r="F81" s="575"/>
      <c r="G81" s="575"/>
    </row>
    <row r="82" spans="1:7" x14ac:dyDescent="0.2">
      <c r="A82" s="579"/>
      <c r="B82" s="352" t="s">
        <v>396</v>
      </c>
      <c r="C82" s="579"/>
      <c r="D82" s="579"/>
      <c r="E82" s="576"/>
      <c r="F82" s="576"/>
      <c r="G82" s="576"/>
    </row>
    <row r="83" spans="1:7" x14ac:dyDescent="0.2">
      <c r="A83" s="579"/>
      <c r="B83" s="352" t="s">
        <v>402</v>
      </c>
      <c r="C83" s="579"/>
      <c r="D83" s="579"/>
      <c r="E83" s="576"/>
      <c r="F83" s="576"/>
      <c r="G83" s="576"/>
    </row>
    <row r="84" spans="1:7" x14ac:dyDescent="0.2">
      <c r="A84" s="579"/>
      <c r="B84" s="352" t="s">
        <v>400</v>
      </c>
      <c r="C84" s="579"/>
      <c r="D84" s="579"/>
      <c r="E84" s="576"/>
      <c r="F84" s="576"/>
      <c r="G84" s="576"/>
    </row>
    <row r="85" spans="1:7" x14ac:dyDescent="0.2">
      <c r="A85" s="579"/>
      <c r="B85" s="352" t="s">
        <v>401</v>
      </c>
      <c r="C85" s="579"/>
      <c r="D85" s="579"/>
      <c r="E85" s="576"/>
      <c r="F85" s="576"/>
      <c r="G85" s="576"/>
    </row>
    <row r="86" spans="1:7" x14ac:dyDescent="0.2">
      <c r="A86" s="580"/>
      <c r="B86" s="352" t="s">
        <v>403</v>
      </c>
      <c r="C86" s="580"/>
      <c r="D86" s="580"/>
      <c r="E86" s="577"/>
      <c r="F86" s="577"/>
      <c r="G86" s="577"/>
    </row>
    <row r="88" spans="1:7" ht="12.6" customHeight="1" x14ac:dyDescent="0.2">
      <c r="A88" s="578" t="s">
        <v>550</v>
      </c>
      <c r="B88" s="352" t="s">
        <v>395</v>
      </c>
      <c r="C88" s="578" t="s">
        <v>530</v>
      </c>
      <c r="D88" s="578"/>
      <c r="E88" s="578"/>
      <c r="F88" s="575"/>
      <c r="G88" s="575"/>
    </row>
    <row r="89" spans="1:7" x14ac:dyDescent="0.2">
      <c r="A89" s="579"/>
      <c r="B89" s="352" t="s">
        <v>396</v>
      </c>
      <c r="C89" s="579"/>
      <c r="D89" s="579"/>
      <c r="E89" s="576"/>
      <c r="F89" s="576"/>
      <c r="G89" s="576"/>
    </row>
    <row r="90" spans="1:7" x14ac:dyDescent="0.2">
      <c r="A90" s="579"/>
      <c r="B90" s="352" t="s">
        <v>402</v>
      </c>
      <c r="C90" s="579"/>
      <c r="D90" s="579"/>
      <c r="E90" s="576"/>
      <c r="F90" s="576"/>
      <c r="G90" s="576"/>
    </row>
    <row r="91" spans="1:7" x14ac:dyDescent="0.2">
      <c r="A91" s="579"/>
      <c r="B91" s="352" t="s">
        <v>400</v>
      </c>
      <c r="C91" s="579"/>
      <c r="D91" s="579"/>
      <c r="E91" s="576"/>
      <c r="F91" s="576"/>
      <c r="G91" s="576"/>
    </row>
    <row r="92" spans="1:7" x14ac:dyDescent="0.2">
      <c r="A92" s="579"/>
      <c r="B92" s="352" t="s">
        <v>401</v>
      </c>
      <c r="C92" s="579"/>
      <c r="D92" s="579"/>
      <c r="E92" s="576"/>
      <c r="F92" s="576"/>
      <c r="G92" s="576"/>
    </row>
    <row r="93" spans="1:7" x14ac:dyDescent="0.2">
      <c r="A93" s="580"/>
      <c r="B93" s="352" t="s">
        <v>403</v>
      </c>
      <c r="C93" s="580"/>
      <c r="D93" s="580"/>
      <c r="E93" s="577"/>
      <c r="F93" s="577"/>
      <c r="G93" s="577"/>
    </row>
    <row r="95" spans="1:7" ht="12.6" customHeight="1" x14ac:dyDescent="0.2">
      <c r="A95" s="578" t="s">
        <v>552</v>
      </c>
      <c r="B95" s="352" t="s">
        <v>395</v>
      </c>
      <c r="C95" s="578" t="s">
        <v>530</v>
      </c>
      <c r="D95" s="578"/>
      <c r="E95" s="578"/>
      <c r="F95" s="575"/>
      <c r="G95" s="575"/>
    </row>
    <row r="96" spans="1:7" x14ac:dyDescent="0.2">
      <c r="A96" s="579"/>
      <c r="B96" s="352" t="s">
        <v>396</v>
      </c>
      <c r="C96" s="579"/>
      <c r="D96" s="579"/>
      <c r="E96" s="576"/>
      <c r="F96" s="576"/>
      <c r="G96" s="576"/>
    </row>
    <row r="97" spans="1:7" x14ac:dyDescent="0.2">
      <c r="A97" s="579"/>
      <c r="B97" s="352" t="s">
        <v>402</v>
      </c>
      <c r="C97" s="579"/>
      <c r="D97" s="579"/>
      <c r="E97" s="576"/>
      <c r="F97" s="576"/>
      <c r="G97" s="576"/>
    </row>
    <row r="98" spans="1:7" x14ac:dyDescent="0.2">
      <c r="A98" s="579"/>
      <c r="B98" s="352" t="s">
        <v>400</v>
      </c>
      <c r="C98" s="579"/>
      <c r="D98" s="579"/>
      <c r="E98" s="576"/>
      <c r="F98" s="576"/>
      <c r="G98" s="576"/>
    </row>
    <row r="99" spans="1:7" x14ac:dyDescent="0.2">
      <c r="A99" s="579"/>
      <c r="B99" s="352" t="s">
        <v>401</v>
      </c>
      <c r="C99" s="579"/>
      <c r="D99" s="579"/>
      <c r="E99" s="576"/>
      <c r="F99" s="576"/>
      <c r="G99" s="576"/>
    </row>
    <row r="100" spans="1:7" x14ac:dyDescent="0.2">
      <c r="A100" s="580"/>
      <c r="B100" s="352" t="s">
        <v>403</v>
      </c>
      <c r="C100" s="580"/>
      <c r="D100" s="580"/>
      <c r="E100" s="577"/>
      <c r="F100" s="577"/>
      <c r="G100" s="577"/>
    </row>
    <row r="102" spans="1:7" ht="12.6" customHeight="1" x14ac:dyDescent="0.2">
      <c r="A102" s="578" t="s">
        <v>555</v>
      </c>
      <c r="B102" s="352" t="s">
        <v>395</v>
      </c>
      <c r="C102" s="578" t="s">
        <v>530</v>
      </c>
      <c r="D102" s="578"/>
      <c r="E102" s="578"/>
      <c r="F102" s="575"/>
      <c r="G102" s="575"/>
    </row>
    <row r="103" spans="1:7" x14ac:dyDescent="0.2">
      <c r="A103" s="579"/>
      <c r="B103" s="352" t="s">
        <v>396</v>
      </c>
      <c r="C103" s="579"/>
      <c r="D103" s="579"/>
      <c r="E103" s="576"/>
      <c r="F103" s="576"/>
      <c r="G103" s="576"/>
    </row>
    <row r="104" spans="1:7" x14ac:dyDescent="0.2">
      <c r="A104" s="579"/>
      <c r="B104" s="352" t="s">
        <v>402</v>
      </c>
      <c r="C104" s="579"/>
      <c r="D104" s="579"/>
      <c r="E104" s="576"/>
      <c r="F104" s="576"/>
      <c r="G104" s="576"/>
    </row>
    <row r="105" spans="1:7" x14ac:dyDescent="0.2">
      <c r="A105" s="579"/>
      <c r="B105" s="352" t="s">
        <v>400</v>
      </c>
      <c r="C105" s="579"/>
      <c r="D105" s="579"/>
      <c r="E105" s="576"/>
      <c r="F105" s="576"/>
      <c r="G105" s="576"/>
    </row>
    <row r="106" spans="1:7" x14ac:dyDescent="0.2">
      <c r="A106" s="579"/>
      <c r="B106" s="352" t="s">
        <v>401</v>
      </c>
      <c r="C106" s="579"/>
      <c r="D106" s="579"/>
      <c r="E106" s="576"/>
      <c r="F106" s="576"/>
      <c r="G106" s="576"/>
    </row>
    <row r="107" spans="1:7" x14ac:dyDescent="0.2">
      <c r="A107" s="580"/>
      <c r="B107" s="352" t="s">
        <v>403</v>
      </c>
      <c r="C107" s="580"/>
      <c r="D107" s="580"/>
      <c r="E107" s="577"/>
      <c r="F107" s="577"/>
      <c r="G107" s="577"/>
    </row>
    <row r="109" spans="1:7" x14ac:dyDescent="0.2">
      <c r="A109" s="578" t="s">
        <v>559</v>
      </c>
      <c r="B109" s="352" t="s">
        <v>395</v>
      </c>
      <c r="C109" s="578" t="s">
        <v>530</v>
      </c>
      <c r="D109" s="575"/>
      <c r="E109" s="575"/>
      <c r="F109" s="575"/>
      <c r="G109" s="575"/>
    </row>
    <row r="110" spans="1:7" x14ac:dyDescent="0.2">
      <c r="A110" s="579"/>
      <c r="B110" s="352" t="s">
        <v>396</v>
      </c>
      <c r="C110" s="579"/>
      <c r="D110" s="576"/>
      <c r="E110" s="576"/>
      <c r="F110" s="576"/>
      <c r="G110" s="576"/>
    </row>
    <row r="111" spans="1:7" x14ac:dyDescent="0.2">
      <c r="A111" s="579"/>
      <c r="B111" s="352" t="s">
        <v>402</v>
      </c>
      <c r="C111" s="579"/>
      <c r="D111" s="576"/>
      <c r="E111" s="576"/>
      <c r="F111" s="576"/>
      <c r="G111" s="576"/>
    </row>
    <row r="112" spans="1:7" x14ac:dyDescent="0.2">
      <c r="A112" s="579"/>
      <c r="B112" s="352" t="s">
        <v>400</v>
      </c>
      <c r="C112" s="579"/>
      <c r="D112" s="576"/>
      <c r="E112" s="576"/>
      <c r="F112" s="576"/>
      <c r="G112" s="576"/>
    </row>
    <row r="113" spans="1:7" x14ac:dyDescent="0.2">
      <c r="A113" s="579"/>
      <c r="B113" s="352" t="s">
        <v>401</v>
      </c>
      <c r="C113" s="579"/>
      <c r="D113" s="576"/>
      <c r="E113" s="576"/>
      <c r="F113" s="576"/>
      <c r="G113" s="576"/>
    </row>
    <row r="114" spans="1:7" x14ac:dyDescent="0.2">
      <c r="A114" s="580"/>
      <c r="B114" s="352" t="s">
        <v>403</v>
      </c>
      <c r="C114" s="580"/>
      <c r="D114" s="577"/>
      <c r="E114" s="577"/>
      <c r="F114" s="577"/>
      <c r="G114" s="577"/>
    </row>
    <row r="116" spans="1:7" x14ac:dyDescent="0.2">
      <c r="A116" s="578" t="s">
        <v>560</v>
      </c>
      <c r="B116" s="352" t="s">
        <v>395</v>
      </c>
      <c r="C116" s="578" t="s">
        <v>530</v>
      </c>
      <c r="D116" s="575"/>
      <c r="E116" s="575"/>
      <c r="F116" s="575"/>
      <c r="G116" s="575"/>
    </row>
    <row r="117" spans="1:7" x14ac:dyDescent="0.2">
      <c r="A117" s="579"/>
      <c r="B117" s="352" t="s">
        <v>396</v>
      </c>
      <c r="C117" s="579"/>
      <c r="D117" s="576"/>
      <c r="E117" s="576"/>
      <c r="F117" s="576"/>
      <c r="G117" s="576"/>
    </row>
    <row r="118" spans="1:7" x14ac:dyDescent="0.2">
      <c r="A118" s="579"/>
      <c r="B118" s="352" t="s">
        <v>402</v>
      </c>
      <c r="C118" s="579"/>
      <c r="D118" s="576"/>
      <c r="E118" s="576"/>
      <c r="F118" s="576"/>
      <c r="G118" s="576"/>
    </row>
    <row r="119" spans="1:7" x14ac:dyDescent="0.2">
      <c r="A119" s="579"/>
      <c r="B119" s="352" t="s">
        <v>400</v>
      </c>
      <c r="C119" s="579"/>
      <c r="D119" s="576"/>
      <c r="E119" s="576"/>
      <c r="F119" s="576"/>
      <c r="G119" s="576"/>
    </row>
    <row r="120" spans="1:7" x14ac:dyDescent="0.2">
      <c r="A120" s="579"/>
      <c r="B120" s="352" t="s">
        <v>401</v>
      </c>
      <c r="C120" s="579"/>
      <c r="D120" s="576"/>
      <c r="E120" s="576"/>
      <c r="F120" s="576"/>
      <c r="G120" s="576"/>
    </row>
    <row r="121" spans="1:7" x14ac:dyDescent="0.2">
      <c r="A121" s="580"/>
      <c r="B121" s="352" t="s">
        <v>403</v>
      </c>
      <c r="C121" s="580"/>
      <c r="D121" s="577"/>
      <c r="E121" s="577"/>
      <c r="F121" s="577"/>
      <c r="G121" s="577"/>
    </row>
    <row r="123" spans="1:7" x14ac:dyDescent="0.2">
      <c r="A123" s="578" t="s">
        <v>564</v>
      </c>
      <c r="B123" s="352" t="s">
        <v>395</v>
      </c>
      <c r="C123" s="578" t="s">
        <v>530</v>
      </c>
      <c r="D123" s="575"/>
      <c r="E123" s="575"/>
      <c r="F123" s="575"/>
      <c r="G123" s="575"/>
    </row>
    <row r="124" spans="1:7" x14ac:dyDescent="0.2">
      <c r="A124" s="579"/>
      <c r="B124" s="352" t="s">
        <v>396</v>
      </c>
      <c r="C124" s="579"/>
      <c r="D124" s="576"/>
      <c r="E124" s="576"/>
      <c r="F124" s="576"/>
      <c r="G124" s="576"/>
    </row>
    <row r="125" spans="1:7" x14ac:dyDescent="0.2">
      <c r="A125" s="579"/>
      <c r="B125" s="352" t="s">
        <v>402</v>
      </c>
      <c r="C125" s="579"/>
      <c r="D125" s="576"/>
      <c r="E125" s="576"/>
      <c r="F125" s="576"/>
      <c r="G125" s="576"/>
    </row>
    <row r="126" spans="1:7" x14ac:dyDescent="0.2">
      <c r="A126" s="579"/>
      <c r="B126" s="352" t="s">
        <v>400</v>
      </c>
      <c r="C126" s="579"/>
      <c r="D126" s="576"/>
      <c r="E126" s="576"/>
      <c r="F126" s="576"/>
      <c r="G126" s="576"/>
    </row>
    <row r="127" spans="1:7" x14ac:dyDescent="0.2">
      <c r="A127" s="579"/>
      <c r="B127" s="352" t="s">
        <v>401</v>
      </c>
      <c r="C127" s="579"/>
      <c r="D127" s="576"/>
      <c r="E127" s="576"/>
      <c r="F127" s="576"/>
      <c r="G127" s="576"/>
    </row>
    <row r="128" spans="1:7" x14ac:dyDescent="0.2">
      <c r="A128" s="580"/>
      <c r="B128" s="352" t="s">
        <v>403</v>
      </c>
      <c r="C128" s="580"/>
      <c r="D128" s="577"/>
      <c r="E128" s="577"/>
      <c r="F128" s="577"/>
      <c r="G128" s="577"/>
    </row>
    <row r="130" spans="1:7" x14ac:dyDescent="0.2">
      <c r="A130" s="578" t="s">
        <v>565</v>
      </c>
      <c r="B130" s="352" t="s">
        <v>395</v>
      </c>
      <c r="C130" s="578" t="s">
        <v>530</v>
      </c>
      <c r="D130" s="575"/>
      <c r="E130" s="575"/>
      <c r="F130" s="575"/>
      <c r="G130" s="575"/>
    </row>
    <row r="131" spans="1:7" x14ac:dyDescent="0.2">
      <c r="A131" s="579"/>
      <c r="B131" s="352" t="s">
        <v>396</v>
      </c>
      <c r="C131" s="579"/>
      <c r="D131" s="576"/>
      <c r="E131" s="576"/>
      <c r="F131" s="576"/>
      <c r="G131" s="576"/>
    </row>
    <row r="132" spans="1:7" x14ac:dyDescent="0.2">
      <c r="A132" s="579"/>
      <c r="B132" s="352" t="s">
        <v>402</v>
      </c>
      <c r="C132" s="579"/>
      <c r="D132" s="576"/>
      <c r="E132" s="576"/>
      <c r="F132" s="576"/>
      <c r="G132" s="576"/>
    </row>
    <row r="133" spans="1:7" x14ac:dyDescent="0.2">
      <c r="A133" s="579"/>
      <c r="B133" s="352" t="s">
        <v>400</v>
      </c>
      <c r="C133" s="579"/>
      <c r="D133" s="576"/>
      <c r="E133" s="576"/>
      <c r="F133" s="576"/>
      <c r="G133" s="576"/>
    </row>
    <row r="134" spans="1:7" x14ac:dyDescent="0.2">
      <c r="A134" s="579"/>
      <c r="B134" s="352" t="s">
        <v>401</v>
      </c>
      <c r="C134" s="579"/>
      <c r="D134" s="576"/>
      <c r="E134" s="576"/>
      <c r="F134" s="576"/>
      <c r="G134" s="576"/>
    </row>
    <row r="135" spans="1:7" x14ac:dyDescent="0.2">
      <c r="A135" s="580"/>
      <c r="B135" s="352" t="s">
        <v>403</v>
      </c>
      <c r="C135" s="580"/>
      <c r="D135" s="577"/>
      <c r="E135" s="577"/>
      <c r="F135" s="577"/>
      <c r="G135" s="577"/>
    </row>
    <row r="137" spans="1:7" x14ac:dyDescent="0.2">
      <c r="A137" s="578" t="s">
        <v>572</v>
      </c>
      <c r="B137" s="352" t="s">
        <v>395</v>
      </c>
      <c r="C137" s="578" t="s">
        <v>530</v>
      </c>
      <c r="D137" s="575"/>
      <c r="E137" s="575"/>
      <c r="F137" s="575"/>
      <c r="G137" s="575"/>
    </row>
    <row r="138" spans="1:7" x14ac:dyDescent="0.2">
      <c r="A138" s="579"/>
      <c r="B138" s="352" t="s">
        <v>396</v>
      </c>
      <c r="C138" s="579"/>
      <c r="D138" s="576"/>
      <c r="E138" s="576"/>
      <c r="F138" s="576"/>
      <c r="G138" s="576"/>
    </row>
    <row r="139" spans="1:7" x14ac:dyDescent="0.2">
      <c r="A139" s="579"/>
      <c r="B139" s="352" t="s">
        <v>402</v>
      </c>
      <c r="C139" s="579"/>
      <c r="D139" s="576"/>
      <c r="E139" s="576"/>
      <c r="F139" s="576"/>
      <c r="G139" s="576"/>
    </row>
    <row r="140" spans="1:7" x14ac:dyDescent="0.2">
      <c r="A140" s="579"/>
      <c r="B140" s="352" t="s">
        <v>400</v>
      </c>
      <c r="C140" s="579"/>
      <c r="D140" s="576"/>
      <c r="E140" s="576"/>
      <c r="F140" s="576"/>
      <c r="G140" s="576"/>
    </row>
    <row r="141" spans="1:7" x14ac:dyDescent="0.2">
      <c r="A141" s="579"/>
      <c r="B141" s="352" t="s">
        <v>401</v>
      </c>
      <c r="C141" s="579"/>
      <c r="D141" s="576"/>
      <c r="E141" s="576"/>
      <c r="F141" s="576"/>
      <c r="G141" s="576"/>
    </row>
    <row r="142" spans="1:7" x14ac:dyDescent="0.2">
      <c r="A142" s="580"/>
      <c r="B142" s="352" t="s">
        <v>403</v>
      </c>
      <c r="C142" s="580"/>
      <c r="D142" s="577"/>
      <c r="E142" s="577"/>
      <c r="F142" s="577"/>
      <c r="G142" s="577"/>
    </row>
    <row r="144" spans="1:7" x14ac:dyDescent="0.2">
      <c r="A144" s="578" t="s">
        <v>575</v>
      </c>
      <c r="B144" s="352" t="s">
        <v>395</v>
      </c>
      <c r="C144" s="578" t="s">
        <v>530</v>
      </c>
      <c r="D144" s="575"/>
      <c r="E144" s="575"/>
      <c r="F144" s="575"/>
      <c r="G144" s="575"/>
    </row>
    <row r="145" spans="1:7" x14ac:dyDescent="0.2">
      <c r="A145" s="579"/>
      <c r="B145" s="352" t="s">
        <v>396</v>
      </c>
      <c r="C145" s="579"/>
      <c r="D145" s="576"/>
      <c r="E145" s="576"/>
      <c r="F145" s="576"/>
      <c r="G145" s="576"/>
    </row>
    <row r="146" spans="1:7" x14ac:dyDescent="0.2">
      <c r="A146" s="579"/>
      <c r="B146" s="352" t="s">
        <v>402</v>
      </c>
      <c r="C146" s="579"/>
      <c r="D146" s="576"/>
      <c r="E146" s="576"/>
      <c r="F146" s="576"/>
      <c r="G146" s="576"/>
    </row>
    <row r="147" spans="1:7" x14ac:dyDescent="0.2">
      <c r="A147" s="579"/>
      <c r="B147" s="352" t="s">
        <v>400</v>
      </c>
      <c r="C147" s="579"/>
      <c r="D147" s="576"/>
      <c r="E147" s="576"/>
      <c r="F147" s="576"/>
      <c r="G147" s="576"/>
    </row>
    <row r="148" spans="1:7" x14ac:dyDescent="0.2">
      <c r="A148" s="579"/>
      <c r="B148" s="352" t="s">
        <v>401</v>
      </c>
      <c r="C148" s="579"/>
      <c r="D148" s="576"/>
      <c r="E148" s="576"/>
      <c r="F148" s="576"/>
      <c r="G148" s="576"/>
    </row>
    <row r="149" spans="1:7" x14ac:dyDescent="0.2">
      <c r="A149" s="580"/>
      <c r="B149" s="352" t="s">
        <v>403</v>
      </c>
      <c r="C149" s="580"/>
      <c r="D149" s="577"/>
      <c r="E149" s="577"/>
      <c r="F149" s="577"/>
      <c r="G149" s="577"/>
    </row>
    <row r="151" spans="1:7" x14ac:dyDescent="0.2">
      <c r="A151" s="578" t="s">
        <v>580</v>
      </c>
      <c r="B151" s="352" t="s">
        <v>395</v>
      </c>
      <c r="C151" s="578" t="s">
        <v>530</v>
      </c>
      <c r="D151" s="575"/>
      <c r="E151" s="575"/>
      <c r="F151" s="575"/>
      <c r="G151" s="575"/>
    </row>
    <row r="152" spans="1:7" x14ac:dyDescent="0.2">
      <c r="A152" s="579"/>
      <c r="B152" s="352" t="s">
        <v>396</v>
      </c>
      <c r="C152" s="579"/>
      <c r="D152" s="576"/>
      <c r="E152" s="576"/>
      <c r="F152" s="576"/>
      <c r="G152" s="576"/>
    </row>
    <row r="153" spans="1:7" x14ac:dyDescent="0.2">
      <c r="A153" s="579"/>
      <c r="B153" s="352" t="s">
        <v>402</v>
      </c>
      <c r="C153" s="579"/>
      <c r="D153" s="576"/>
      <c r="E153" s="576"/>
      <c r="F153" s="576"/>
      <c r="G153" s="576"/>
    </row>
    <row r="154" spans="1:7" x14ac:dyDescent="0.2">
      <c r="A154" s="579"/>
      <c r="B154" s="352" t="s">
        <v>400</v>
      </c>
      <c r="C154" s="579"/>
      <c r="D154" s="576"/>
      <c r="E154" s="576"/>
      <c r="F154" s="576"/>
      <c r="G154" s="576"/>
    </row>
    <row r="155" spans="1:7" x14ac:dyDescent="0.2">
      <c r="A155" s="579"/>
      <c r="B155" s="352" t="s">
        <v>401</v>
      </c>
      <c r="C155" s="579"/>
      <c r="D155" s="576"/>
      <c r="E155" s="576"/>
      <c r="F155" s="576"/>
      <c r="G155" s="576"/>
    </row>
    <row r="156" spans="1:7" x14ac:dyDescent="0.2">
      <c r="A156" s="580"/>
      <c r="B156" s="352" t="s">
        <v>403</v>
      </c>
      <c r="C156" s="580"/>
      <c r="D156" s="577"/>
      <c r="E156" s="577"/>
      <c r="F156" s="577"/>
      <c r="G156" s="577"/>
    </row>
    <row r="158" spans="1:7" x14ac:dyDescent="0.2">
      <c r="A158" s="578" t="s">
        <v>581</v>
      </c>
      <c r="B158" s="352" t="s">
        <v>395</v>
      </c>
      <c r="C158" s="578" t="s">
        <v>530</v>
      </c>
      <c r="D158" s="575"/>
      <c r="E158" s="575"/>
      <c r="F158" s="575"/>
      <c r="G158" s="575"/>
    </row>
    <row r="159" spans="1:7" x14ac:dyDescent="0.2">
      <c r="A159" s="579"/>
      <c r="B159" s="352" t="s">
        <v>396</v>
      </c>
      <c r="C159" s="579"/>
      <c r="D159" s="576"/>
      <c r="E159" s="576"/>
      <c r="F159" s="576"/>
      <c r="G159" s="576"/>
    </row>
    <row r="160" spans="1:7" x14ac:dyDescent="0.2">
      <c r="A160" s="579"/>
      <c r="B160" s="352" t="s">
        <v>402</v>
      </c>
      <c r="C160" s="579"/>
      <c r="D160" s="576"/>
      <c r="E160" s="576"/>
      <c r="F160" s="576"/>
      <c r="G160" s="576"/>
    </row>
    <row r="161" spans="1:7" x14ac:dyDescent="0.2">
      <c r="A161" s="579"/>
      <c r="B161" s="352" t="s">
        <v>400</v>
      </c>
      <c r="C161" s="579"/>
      <c r="D161" s="576"/>
      <c r="E161" s="576"/>
      <c r="F161" s="576"/>
      <c r="G161" s="576"/>
    </row>
    <row r="162" spans="1:7" x14ac:dyDescent="0.2">
      <c r="A162" s="579"/>
      <c r="B162" s="352" t="s">
        <v>401</v>
      </c>
      <c r="C162" s="579"/>
      <c r="D162" s="576"/>
      <c r="E162" s="576"/>
      <c r="F162" s="576"/>
      <c r="G162" s="576"/>
    </row>
    <row r="163" spans="1:7" x14ac:dyDescent="0.2">
      <c r="A163" s="580"/>
      <c r="B163" s="352" t="s">
        <v>403</v>
      </c>
      <c r="C163" s="580"/>
      <c r="D163" s="577"/>
      <c r="E163" s="577"/>
      <c r="F163" s="577"/>
      <c r="G163" s="577"/>
    </row>
    <row r="165" spans="1:7" x14ac:dyDescent="0.2">
      <c r="A165" s="578" t="s">
        <v>587</v>
      </c>
      <c r="B165" s="352" t="s">
        <v>395</v>
      </c>
      <c r="C165" s="578" t="s">
        <v>530</v>
      </c>
      <c r="D165" s="575"/>
      <c r="E165" s="575"/>
      <c r="F165" s="575"/>
      <c r="G165" s="575"/>
    </row>
    <row r="166" spans="1:7" x14ac:dyDescent="0.2">
      <c r="A166" s="579"/>
      <c r="B166" s="352" t="s">
        <v>396</v>
      </c>
      <c r="C166" s="579"/>
      <c r="D166" s="576"/>
      <c r="E166" s="576"/>
      <c r="F166" s="576"/>
      <c r="G166" s="576"/>
    </row>
    <row r="167" spans="1:7" x14ac:dyDescent="0.2">
      <c r="A167" s="579"/>
      <c r="B167" s="352" t="s">
        <v>402</v>
      </c>
      <c r="C167" s="579"/>
      <c r="D167" s="576"/>
      <c r="E167" s="576"/>
      <c r="F167" s="576"/>
      <c r="G167" s="576"/>
    </row>
    <row r="168" spans="1:7" x14ac:dyDescent="0.2">
      <c r="A168" s="579"/>
      <c r="B168" s="352" t="s">
        <v>400</v>
      </c>
      <c r="C168" s="579"/>
      <c r="D168" s="576"/>
      <c r="E168" s="576"/>
      <c r="F168" s="576"/>
      <c r="G168" s="576"/>
    </row>
    <row r="169" spans="1:7" x14ac:dyDescent="0.2">
      <c r="A169" s="579"/>
      <c r="B169" s="352" t="s">
        <v>401</v>
      </c>
      <c r="C169" s="579"/>
      <c r="D169" s="576"/>
      <c r="E169" s="576"/>
      <c r="F169" s="576"/>
      <c r="G169" s="576"/>
    </row>
    <row r="170" spans="1:7" x14ac:dyDescent="0.2">
      <c r="A170" s="580"/>
      <c r="B170" s="352" t="s">
        <v>403</v>
      </c>
      <c r="C170" s="580"/>
      <c r="D170" s="577"/>
      <c r="E170" s="577"/>
      <c r="F170" s="577"/>
      <c r="G170" s="577"/>
    </row>
    <row r="172" spans="1:7" x14ac:dyDescent="0.2">
      <c r="A172" s="578" t="s">
        <v>588</v>
      </c>
      <c r="B172" s="352" t="s">
        <v>395</v>
      </c>
      <c r="C172" s="578" t="s">
        <v>530</v>
      </c>
      <c r="D172" s="575"/>
      <c r="E172" s="575"/>
      <c r="F172" s="575"/>
      <c r="G172" s="575"/>
    </row>
    <row r="173" spans="1:7" x14ac:dyDescent="0.2">
      <c r="A173" s="579"/>
      <c r="B173" s="352" t="s">
        <v>396</v>
      </c>
      <c r="C173" s="579"/>
      <c r="D173" s="576"/>
      <c r="E173" s="576"/>
      <c r="F173" s="576"/>
      <c r="G173" s="576"/>
    </row>
    <row r="174" spans="1:7" x14ac:dyDescent="0.2">
      <c r="A174" s="579"/>
      <c r="B174" s="352" t="s">
        <v>402</v>
      </c>
      <c r="C174" s="579"/>
      <c r="D174" s="576"/>
      <c r="E174" s="576"/>
      <c r="F174" s="576"/>
      <c r="G174" s="576"/>
    </row>
    <row r="175" spans="1:7" x14ac:dyDescent="0.2">
      <c r="A175" s="579"/>
      <c r="B175" s="352" t="s">
        <v>400</v>
      </c>
      <c r="C175" s="579"/>
      <c r="D175" s="576"/>
      <c r="E175" s="576"/>
      <c r="F175" s="576"/>
      <c r="G175" s="576"/>
    </row>
    <row r="176" spans="1:7" x14ac:dyDescent="0.2">
      <c r="A176" s="579"/>
      <c r="B176" s="352" t="s">
        <v>401</v>
      </c>
      <c r="C176" s="579"/>
      <c r="D176" s="576"/>
      <c r="E176" s="576"/>
      <c r="F176" s="576"/>
      <c r="G176" s="576"/>
    </row>
    <row r="177" spans="1:7" x14ac:dyDescent="0.2">
      <c r="A177" s="580"/>
      <c r="B177" s="352" t="s">
        <v>403</v>
      </c>
      <c r="C177" s="580"/>
      <c r="D177" s="577"/>
      <c r="E177" s="577"/>
      <c r="F177" s="577"/>
      <c r="G177" s="577"/>
    </row>
    <row r="179" spans="1:7" x14ac:dyDescent="0.2">
      <c r="A179" s="578" t="s">
        <v>590</v>
      </c>
      <c r="B179" s="352" t="s">
        <v>395</v>
      </c>
      <c r="C179" s="578" t="s">
        <v>530</v>
      </c>
      <c r="D179" s="575"/>
      <c r="E179" s="575"/>
      <c r="F179" s="575"/>
      <c r="G179" s="575"/>
    </row>
    <row r="180" spans="1:7" x14ac:dyDescent="0.2">
      <c r="A180" s="579"/>
      <c r="B180" s="352" t="s">
        <v>396</v>
      </c>
      <c r="C180" s="579"/>
      <c r="D180" s="576"/>
      <c r="E180" s="576"/>
      <c r="F180" s="576"/>
      <c r="G180" s="576"/>
    </row>
    <row r="181" spans="1:7" x14ac:dyDescent="0.2">
      <c r="A181" s="579"/>
      <c r="B181" s="352" t="s">
        <v>402</v>
      </c>
      <c r="C181" s="579"/>
      <c r="D181" s="576"/>
      <c r="E181" s="576"/>
      <c r="F181" s="576"/>
      <c r="G181" s="576"/>
    </row>
    <row r="182" spans="1:7" x14ac:dyDescent="0.2">
      <c r="A182" s="579"/>
      <c r="B182" s="352" t="s">
        <v>400</v>
      </c>
      <c r="C182" s="579"/>
      <c r="D182" s="576"/>
      <c r="E182" s="576"/>
      <c r="F182" s="576"/>
      <c r="G182" s="576"/>
    </row>
    <row r="183" spans="1:7" x14ac:dyDescent="0.2">
      <c r="A183" s="579"/>
      <c r="B183" s="352" t="s">
        <v>401</v>
      </c>
      <c r="C183" s="579"/>
      <c r="D183" s="576"/>
      <c r="E183" s="576"/>
      <c r="F183" s="576"/>
      <c r="G183" s="576"/>
    </row>
    <row r="184" spans="1:7" x14ac:dyDescent="0.2">
      <c r="A184" s="580"/>
      <c r="B184" s="352" t="s">
        <v>403</v>
      </c>
      <c r="C184" s="580"/>
      <c r="D184" s="577"/>
      <c r="E184" s="577"/>
      <c r="F184" s="577"/>
      <c r="G184" s="577"/>
    </row>
    <row r="186" spans="1:7" x14ac:dyDescent="0.2">
      <c r="A186" s="578" t="s">
        <v>598</v>
      </c>
      <c r="B186" s="352" t="s">
        <v>395</v>
      </c>
      <c r="C186" s="578" t="s">
        <v>599</v>
      </c>
      <c r="D186" s="578" t="s">
        <v>600</v>
      </c>
      <c r="E186" s="575"/>
      <c r="F186" s="575"/>
      <c r="G186" s="575"/>
    </row>
    <row r="187" spans="1:7" x14ac:dyDescent="0.2">
      <c r="A187" s="579"/>
      <c r="B187" s="352" t="s">
        <v>396</v>
      </c>
      <c r="C187" s="579"/>
      <c r="D187" s="576"/>
      <c r="E187" s="576"/>
      <c r="F187" s="576"/>
      <c r="G187" s="576"/>
    </row>
    <row r="188" spans="1:7" x14ac:dyDescent="0.2">
      <c r="A188" s="579"/>
      <c r="B188" s="352" t="s">
        <v>402</v>
      </c>
      <c r="C188" s="579"/>
      <c r="D188" s="576"/>
      <c r="E188" s="576"/>
      <c r="F188" s="576"/>
      <c r="G188" s="576"/>
    </row>
    <row r="189" spans="1:7" x14ac:dyDescent="0.2">
      <c r="A189" s="579"/>
      <c r="B189" s="352" t="s">
        <v>400</v>
      </c>
      <c r="C189" s="579"/>
      <c r="D189" s="576"/>
      <c r="E189" s="576"/>
      <c r="F189" s="576"/>
      <c r="G189" s="576"/>
    </row>
    <row r="190" spans="1:7" x14ac:dyDescent="0.2">
      <c r="A190" s="579"/>
      <c r="B190" s="352" t="s">
        <v>401</v>
      </c>
      <c r="C190" s="579"/>
      <c r="D190" s="576"/>
      <c r="E190" s="576"/>
      <c r="F190" s="576"/>
      <c r="G190" s="576"/>
    </row>
    <row r="191" spans="1:7" x14ac:dyDescent="0.2">
      <c r="A191" s="580"/>
      <c r="B191" s="352" t="s">
        <v>403</v>
      </c>
      <c r="C191" s="580"/>
      <c r="D191" s="577"/>
      <c r="E191" s="577"/>
      <c r="F191" s="577"/>
      <c r="G191" s="577"/>
    </row>
    <row r="193" spans="1:7" x14ac:dyDescent="0.2">
      <c r="A193" s="578" t="s">
        <v>602</v>
      </c>
      <c r="B193" s="352" t="s">
        <v>395</v>
      </c>
      <c r="C193" s="578" t="s">
        <v>599</v>
      </c>
      <c r="D193" s="575" t="s">
        <v>600</v>
      </c>
      <c r="E193" s="575"/>
      <c r="F193" s="575"/>
      <c r="G193" s="575"/>
    </row>
    <row r="194" spans="1:7" x14ac:dyDescent="0.2">
      <c r="A194" s="579"/>
      <c r="B194" s="352" t="s">
        <v>396</v>
      </c>
      <c r="C194" s="579"/>
      <c r="D194" s="576"/>
      <c r="E194" s="576"/>
      <c r="F194" s="576"/>
      <c r="G194" s="576"/>
    </row>
    <row r="195" spans="1:7" x14ac:dyDescent="0.2">
      <c r="A195" s="579"/>
      <c r="B195" s="352" t="s">
        <v>402</v>
      </c>
      <c r="C195" s="579"/>
      <c r="D195" s="576"/>
      <c r="E195" s="576"/>
      <c r="F195" s="576"/>
      <c r="G195" s="576"/>
    </row>
    <row r="196" spans="1:7" x14ac:dyDescent="0.2">
      <c r="A196" s="579"/>
      <c r="B196" s="352" t="s">
        <v>400</v>
      </c>
      <c r="C196" s="579"/>
      <c r="D196" s="576"/>
      <c r="E196" s="576"/>
      <c r="F196" s="576"/>
      <c r="G196" s="576"/>
    </row>
    <row r="197" spans="1:7" x14ac:dyDescent="0.2">
      <c r="A197" s="579"/>
      <c r="B197" s="352" t="s">
        <v>401</v>
      </c>
      <c r="C197" s="579"/>
      <c r="D197" s="576"/>
      <c r="E197" s="576"/>
      <c r="F197" s="576"/>
      <c r="G197" s="576"/>
    </row>
    <row r="198" spans="1:7" x14ac:dyDescent="0.2">
      <c r="A198" s="580"/>
      <c r="B198" s="352" t="s">
        <v>403</v>
      </c>
      <c r="C198" s="580"/>
      <c r="D198" s="577"/>
      <c r="E198" s="577"/>
      <c r="F198" s="577"/>
      <c r="G198" s="577"/>
    </row>
    <row r="200" spans="1:7" x14ac:dyDescent="0.2">
      <c r="A200" s="575" t="s">
        <v>605</v>
      </c>
      <c r="B200" s="352" t="s">
        <v>395</v>
      </c>
      <c r="C200" s="575" t="s">
        <v>599</v>
      </c>
      <c r="D200" s="575" t="s">
        <v>600</v>
      </c>
      <c r="E200" s="575"/>
      <c r="F200" s="575"/>
      <c r="G200" s="575"/>
    </row>
    <row r="201" spans="1:7" x14ac:dyDescent="0.2">
      <c r="A201" s="576"/>
      <c r="B201" s="352" t="s">
        <v>396</v>
      </c>
      <c r="C201" s="576"/>
      <c r="D201" s="576"/>
      <c r="E201" s="576"/>
      <c r="F201" s="576"/>
      <c r="G201" s="576"/>
    </row>
    <row r="202" spans="1:7" x14ac:dyDescent="0.2">
      <c r="A202" s="576"/>
      <c r="B202" s="352" t="s">
        <v>402</v>
      </c>
      <c r="C202" s="576"/>
      <c r="D202" s="576"/>
      <c r="E202" s="576"/>
      <c r="F202" s="576"/>
      <c r="G202" s="576"/>
    </row>
    <row r="203" spans="1:7" x14ac:dyDescent="0.2">
      <c r="A203" s="576"/>
      <c r="B203" s="352" t="s">
        <v>400</v>
      </c>
      <c r="C203" s="576"/>
      <c r="D203" s="576"/>
      <c r="E203" s="576"/>
      <c r="F203" s="576"/>
      <c r="G203" s="576"/>
    </row>
    <row r="204" spans="1:7" x14ac:dyDescent="0.2">
      <c r="A204" s="576"/>
      <c r="B204" s="352" t="s">
        <v>401</v>
      </c>
      <c r="C204" s="576"/>
      <c r="D204" s="576"/>
      <c r="E204" s="576"/>
      <c r="F204" s="576"/>
      <c r="G204" s="576"/>
    </row>
    <row r="205" spans="1:7" x14ac:dyDescent="0.2">
      <c r="A205" s="577"/>
      <c r="B205" s="352" t="s">
        <v>403</v>
      </c>
      <c r="C205" s="577"/>
      <c r="D205" s="577"/>
      <c r="E205" s="577"/>
      <c r="F205" s="577"/>
      <c r="G205" s="577"/>
    </row>
    <row r="207" spans="1:7" x14ac:dyDescent="0.2">
      <c r="A207" s="575" t="s">
        <v>610</v>
      </c>
      <c r="B207" s="352" t="s">
        <v>395</v>
      </c>
      <c r="C207" s="575" t="s">
        <v>599</v>
      </c>
      <c r="D207" s="578" t="s">
        <v>608</v>
      </c>
      <c r="E207" s="575"/>
      <c r="F207" s="575"/>
      <c r="G207" s="575"/>
    </row>
    <row r="208" spans="1:7" x14ac:dyDescent="0.2">
      <c r="A208" s="576"/>
      <c r="B208" s="352" t="s">
        <v>396</v>
      </c>
      <c r="C208" s="576"/>
      <c r="D208" s="576"/>
      <c r="E208" s="576"/>
      <c r="F208" s="576"/>
      <c r="G208" s="576"/>
    </row>
    <row r="209" spans="1:7" x14ac:dyDescent="0.2">
      <c r="A209" s="576"/>
      <c r="B209" s="352" t="s">
        <v>402</v>
      </c>
      <c r="C209" s="576"/>
      <c r="D209" s="576"/>
      <c r="E209" s="576"/>
      <c r="F209" s="576"/>
      <c r="G209" s="576"/>
    </row>
    <row r="210" spans="1:7" x14ac:dyDescent="0.2">
      <c r="A210" s="576"/>
      <c r="B210" s="352" t="s">
        <v>400</v>
      </c>
      <c r="C210" s="576"/>
      <c r="D210" s="576"/>
      <c r="E210" s="576"/>
      <c r="F210" s="576"/>
      <c r="G210" s="576"/>
    </row>
    <row r="211" spans="1:7" x14ac:dyDescent="0.2">
      <c r="A211" s="576"/>
      <c r="B211" s="352" t="s">
        <v>401</v>
      </c>
      <c r="C211" s="576"/>
      <c r="D211" s="576"/>
      <c r="E211" s="576"/>
      <c r="F211" s="576"/>
      <c r="G211" s="576"/>
    </row>
    <row r="212" spans="1:7" x14ac:dyDescent="0.2">
      <c r="A212" s="577"/>
      <c r="B212" s="352" t="s">
        <v>403</v>
      </c>
      <c r="C212" s="577"/>
      <c r="D212" s="577"/>
      <c r="E212" s="577"/>
      <c r="F212" s="577"/>
      <c r="G212" s="577"/>
    </row>
    <row r="214" spans="1:7" x14ac:dyDescent="0.2">
      <c r="A214" s="575" t="s">
        <v>611</v>
      </c>
      <c r="B214" s="352" t="s">
        <v>395</v>
      </c>
      <c r="C214" s="578" t="s">
        <v>530</v>
      </c>
      <c r="D214" s="578"/>
      <c r="E214" s="575"/>
      <c r="F214" s="575"/>
      <c r="G214" s="575"/>
    </row>
    <row r="215" spans="1:7" x14ac:dyDescent="0.2">
      <c r="A215" s="576"/>
      <c r="B215" s="352" t="s">
        <v>396</v>
      </c>
      <c r="C215" s="579"/>
      <c r="D215" s="576"/>
      <c r="E215" s="576"/>
      <c r="F215" s="576"/>
      <c r="G215" s="576"/>
    </row>
    <row r="216" spans="1:7" x14ac:dyDescent="0.2">
      <c r="A216" s="576"/>
      <c r="B216" s="352" t="s">
        <v>402</v>
      </c>
      <c r="C216" s="579"/>
      <c r="D216" s="576"/>
      <c r="E216" s="576"/>
      <c r="F216" s="576"/>
      <c r="G216" s="576"/>
    </row>
    <row r="217" spans="1:7" x14ac:dyDescent="0.2">
      <c r="A217" s="576"/>
      <c r="B217" s="352" t="s">
        <v>400</v>
      </c>
      <c r="C217" s="579"/>
      <c r="D217" s="576"/>
      <c r="E217" s="576"/>
      <c r="F217" s="576"/>
      <c r="G217" s="576"/>
    </row>
    <row r="218" spans="1:7" x14ac:dyDescent="0.2">
      <c r="A218" s="576"/>
      <c r="B218" s="352" t="s">
        <v>401</v>
      </c>
      <c r="C218" s="579"/>
      <c r="D218" s="576"/>
      <c r="E218" s="576"/>
      <c r="F218" s="576"/>
      <c r="G218" s="576"/>
    </row>
    <row r="219" spans="1:7" x14ac:dyDescent="0.2">
      <c r="A219" s="577"/>
      <c r="B219" s="352" t="s">
        <v>403</v>
      </c>
      <c r="C219" s="580"/>
      <c r="D219" s="577"/>
      <c r="E219" s="577"/>
      <c r="F219" s="577"/>
      <c r="G219" s="577"/>
    </row>
  </sheetData>
  <mergeCells count="186">
    <mergeCell ref="G60:G65"/>
    <mergeCell ref="A60:A65"/>
    <mergeCell ref="C60:C65"/>
    <mergeCell ref="D60:D65"/>
    <mergeCell ref="E60:E65"/>
    <mergeCell ref="F60:F65"/>
    <mergeCell ref="G81:G86"/>
    <mergeCell ref="A81:A86"/>
    <mergeCell ref="C81:C86"/>
    <mergeCell ref="D81:D86"/>
    <mergeCell ref="E81:E86"/>
    <mergeCell ref="F81:F86"/>
    <mergeCell ref="G74:G79"/>
    <mergeCell ref="A74:A79"/>
    <mergeCell ref="C74:C79"/>
    <mergeCell ref="D74:D79"/>
    <mergeCell ref="E74:E79"/>
    <mergeCell ref="F74:F79"/>
    <mergeCell ref="G67:G72"/>
    <mergeCell ref="A67:A72"/>
    <mergeCell ref="C67:C72"/>
    <mergeCell ref="D67:D72"/>
    <mergeCell ref="E67:E72"/>
    <mergeCell ref="F67:F72"/>
    <mergeCell ref="G4:G9"/>
    <mergeCell ref="A4:A9"/>
    <mergeCell ref="C4:C9"/>
    <mergeCell ref="D4:D9"/>
    <mergeCell ref="E4:E9"/>
    <mergeCell ref="F4:F9"/>
    <mergeCell ref="G11:G16"/>
    <mergeCell ref="A11:A16"/>
    <mergeCell ref="C11:C16"/>
    <mergeCell ref="D11:D16"/>
    <mergeCell ref="E11:E16"/>
    <mergeCell ref="F11:F16"/>
    <mergeCell ref="G39:G44"/>
    <mergeCell ref="A39:A44"/>
    <mergeCell ref="C39:C44"/>
    <mergeCell ref="D39:D44"/>
    <mergeCell ref="E39:E44"/>
    <mergeCell ref="F39:F44"/>
    <mergeCell ref="G18:G23"/>
    <mergeCell ref="A18:A23"/>
    <mergeCell ref="C18:C23"/>
    <mergeCell ref="D18:D23"/>
    <mergeCell ref="E18:E23"/>
    <mergeCell ref="F18:F23"/>
    <mergeCell ref="G25:G30"/>
    <mergeCell ref="A25:A30"/>
    <mergeCell ref="C25:C30"/>
    <mergeCell ref="D25:D30"/>
    <mergeCell ref="E25:E30"/>
    <mergeCell ref="F25:F30"/>
    <mergeCell ref="G32:G37"/>
    <mergeCell ref="A32:A37"/>
    <mergeCell ref="C32:C37"/>
    <mergeCell ref="D32:D37"/>
    <mergeCell ref="E32:E37"/>
    <mergeCell ref="F32:F37"/>
    <mergeCell ref="G53:G58"/>
    <mergeCell ref="A53:A58"/>
    <mergeCell ref="C53:C58"/>
    <mergeCell ref="D53:D58"/>
    <mergeCell ref="E53:E58"/>
    <mergeCell ref="F53:F58"/>
    <mergeCell ref="G46:G51"/>
    <mergeCell ref="A46:A51"/>
    <mergeCell ref="C46:C51"/>
    <mergeCell ref="D46:D51"/>
    <mergeCell ref="E46:E51"/>
    <mergeCell ref="F46:F51"/>
    <mergeCell ref="G88:G93"/>
    <mergeCell ref="A95:A100"/>
    <mergeCell ref="C95:C100"/>
    <mergeCell ref="D95:D100"/>
    <mergeCell ref="E95:E100"/>
    <mergeCell ref="F95:F100"/>
    <mergeCell ref="G95:G100"/>
    <mergeCell ref="A88:A93"/>
    <mergeCell ref="C88:C93"/>
    <mergeCell ref="D88:D93"/>
    <mergeCell ref="E88:E93"/>
    <mergeCell ref="F88:F93"/>
    <mergeCell ref="G102:G107"/>
    <mergeCell ref="A102:A107"/>
    <mergeCell ref="C102:C107"/>
    <mergeCell ref="D102:D107"/>
    <mergeCell ref="E102:E107"/>
    <mergeCell ref="F102:F107"/>
    <mergeCell ref="G109:G114"/>
    <mergeCell ref="A109:A114"/>
    <mergeCell ref="C109:C114"/>
    <mergeCell ref="D109:D114"/>
    <mergeCell ref="E109:E114"/>
    <mergeCell ref="F109:F114"/>
    <mergeCell ref="A123:A128"/>
    <mergeCell ref="C123:C128"/>
    <mergeCell ref="D123:D128"/>
    <mergeCell ref="E123:E128"/>
    <mergeCell ref="F123:F128"/>
    <mergeCell ref="G123:G128"/>
    <mergeCell ref="G116:G121"/>
    <mergeCell ref="A116:A121"/>
    <mergeCell ref="C116:C121"/>
    <mergeCell ref="D116:D121"/>
    <mergeCell ref="E116:E121"/>
    <mergeCell ref="F116:F121"/>
    <mergeCell ref="A137:A142"/>
    <mergeCell ref="C137:C142"/>
    <mergeCell ref="D137:D142"/>
    <mergeCell ref="E137:E142"/>
    <mergeCell ref="F137:F142"/>
    <mergeCell ref="G137:G142"/>
    <mergeCell ref="A130:A135"/>
    <mergeCell ref="C130:C135"/>
    <mergeCell ref="D130:D135"/>
    <mergeCell ref="E130:E135"/>
    <mergeCell ref="F130:F135"/>
    <mergeCell ref="G130:G135"/>
    <mergeCell ref="A158:A163"/>
    <mergeCell ref="C158:C163"/>
    <mergeCell ref="D158:D163"/>
    <mergeCell ref="E158:E163"/>
    <mergeCell ref="F158:F163"/>
    <mergeCell ref="G158:G163"/>
    <mergeCell ref="A144:A149"/>
    <mergeCell ref="C144:C149"/>
    <mergeCell ref="D144:D149"/>
    <mergeCell ref="E144:E149"/>
    <mergeCell ref="F144:F149"/>
    <mergeCell ref="G144:G149"/>
    <mergeCell ref="A151:A156"/>
    <mergeCell ref="C151:C156"/>
    <mergeCell ref="D151:D156"/>
    <mergeCell ref="E151:E156"/>
    <mergeCell ref="F151:F156"/>
    <mergeCell ref="G151:G156"/>
    <mergeCell ref="A186:A191"/>
    <mergeCell ref="C186:C191"/>
    <mergeCell ref="D186:D191"/>
    <mergeCell ref="E186:E191"/>
    <mergeCell ref="F186:F191"/>
    <mergeCell ref="G186:G191"/>
    <mergeCell ref="A165:A170"/>
    <mergeCell ref="C165:C170"/>
    <mergeCell ref="D165:D170"/>
    <mergeCell ref="E165:E170"/>
    <mergeCell ref="F165:F170"/>
    <mergeCell ref="G165:G170"/>
    <mergeCell ref="A172:A177"/>
    <mergeCell ref="C172:C177"/>
    <mergeCell ref="D172:D177"/>
    <mergeCell ref="E172:E177"/>
    <mergeCell ref="F172:F177"/>
    <mergeCell ref="G172:G177"/>
    <mergeCell ref="A179:A184"/>
    <mergeCell ref="C179:C184"/>
    <mergeCell ref="D179:D184"/>
    <mergeCell ref="E179:E184"/>
    <mergeCell ref="F179:F184"/>
    <mergeCell ref="G179:G184"/>
    <mergeCell ref="A200:A205"/>
    <mergeCell ref="C200:C205"/>
    <mergeCell ref="D200:D205"/>
    <mergeCell ref="E200:E205"/>
    <mergeCell ref="F200:F205"/>
    <mergeCell ref="G200:G205"/>
    <mergeCell ref="A193:A198"/>
    <mergeCell ref="C193:C198"/>
    <mergeCell ref="D193:D198"/>
    <mergeCell ref="E193:E198"/>
    <mergeCell ref="F193:F198"/>
    <mergeCell ref="G193:G198"/>
    <mergeCell ref="A214:A219"/>
    <mergeCell ref="C214:C219"/>
    <mergeCell ref="D214:D219"/>
    <mergeCell ref="E214:E219"/>
    <mergeCell ref="F214:F219"/>
    <mergeCell ref="G214:G219"/>
    <mergeCell ref="A207:A212"/>
    <mergeCell ref="C207:C212"/>
    <mergeCell ref="D207:D212"/>
    <mergeCell ref="E207:E212"/>
    <mergeCell ref="F207:F212"/>
    <mergeCell ref="G207:G212"/>
  </mergeCells>
  <phoneticPr fontId="24"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363F6-472F-479D-930E-6344CF3CC417}">
  <sheetPr codeName="Sheet13"/>
  <dimension ref="B2:I14"/>
  <sheetViews>
    <sheetView workbookViewId="0">
      <selection activeCell="D19" sqref="D19"/>
    </sheetView>
  </sheetViews>
  <sheetFormatPr defaultRowHeight="12.75" x14ac:dyDescent="0.2"/>
  <cols>
    <col min="2" max="2" width="31.28515625" customWidth="1"/>
    <col min="3" max="5" width="24" customWidth="1"/>
    <col min="6" max="6" width="23.85546875" customWidth="1"/>
    <col min="7" max="7" width="18.42578125" customWidth="1"/>
    <col min="8" max="8" width="23.7109375" bestFit="1" customWidth="1"/>
    <col min="9" max="9" width="20.7109375" bestFit="1" customWidth="1"/>
  </cols>
  <sheetData>
    <row r="2" spans="2:9" ht="18" x14ac:dyDescent="0.25">
      <c r="B2" s="345" t="s">
        <v>433</v>
      </c>
      <c r="C2" s="346" t="s">
        <v>434</v>
      </c>
      <c r="D2" s="346" t="s">
        <v>435</v>
      </c>
      <c r="E2" s="346" t="s">
        <v>442</v>
      </c>
      <c r="F2" s="346" t="s">
        <v>595</v>
      </c>
    </row>
    <row r="3" spans="2:9" x14ac:dyDescent="0.2">
      <c r="B3" s="347" t="s">
        <v>436</v>
      </c>
      <c r="C3" s="351" t="s">
        <v>481</v>
      </c>
      <c r="D3" s="348" t="s">
        <v>437</v>
      </c>
      <c r="E3" s="351" t="s">
        <v>481</v>
      </c>
      <c r="F3" s="351">
        <f>MAX(STATION!C5:AG5)</f>
        <v>2.8780199999999994</v>
      </c>
    </row>
    <row r="4" spans="2:9" ht="13.5" thickBot="1" x14ac:dyDescent="0.25">
      <c r="B4" s="347" t="s">
        <v>438</v>
      </c>
      <c r="C4" s="353" t="s">
        <v>501</v>
      </c>
      <c r="D4" s="348" t="s">
        <v>439</v>
      </c>
      <c r="E4" s="380" t="s">
        <v>449</v>
      </c>
      <c r="F4" s="400">
        <f>MIN(STATION!C21:AG21)</f>
        <v>6.6663886977852842</v>
      </c>
    </row>
    <row r="5" spans="2:9" x14ac:dyDescent="0.2">
      <c r="B5" s="347" t="s">
        <v>445</v>
      </c>
      <c r="C5" s="349" t="s">
        <v>443</v>
      </c>
      <c r="D5" s="348" t="s">
        <v>440</v>
      </c>
      <c r="E5" s="349" t="s">
        <v>443</v>
      </c>
      <c r="F5" s="349">
        <f>MIN(STATION!C58:AG58)</f>
        <v>2.1139071493323005</v>
      </c>
    </row>
    <row r="6" spans="2:9" x14ac:dyDescent="0.2">
      <c r="B6" s="347" t="s">
        <v>441</v>
      </c>
      <c r="C6" s="350" t="s">
        <v>444</v>
      </c>
      <c r="D6" s="348"/>
      <c r="E6" s="350" t="s">
        <v>444</v>
      </c>
      <c r="F6" s="350">
        <f>MIN(STATION!C57:AG57)</f>
        <v>5375</v>
      </c>
    </row>
    <row r="7" spans="2:9" x14ac:dyDescent="0.2">
      <c r="B7" s="344"/>
      <c r="C7" s="344"/>
      <c r="D7" s="344"/>
      <c r="E7" s="344"/>
    </row>
    <row r="10" spans="2:9" ht="13.5" thickBot="1" x14ac:dyDescent="0.25"/>
    <row r="11" spans="2:9" ht="18" x14ac:dyDescent="0.25">
      <c r="B11" s="581" t="s">
        <v>434</v>
      </c>
      <c r="C11" s="582"/>
      <c r="D11" s="583" t="s">
        <v>435</v>
      </c>
      <c r="E11" s="584"/>
      <c r="F11" s="585" t="s">
        <v>446</v>
      </c>
      <c r="G11" s="586"/>
      <c r="H11" s="587" t="s">
        <v>502</v>
      </c>
      <c r="I11" s="588"/>
    </row>
    <row r="12" spans="2:9" x14ac:dyDescent="0.2">
      <c r="B12" s="370" t="s">
        <v>436</v>
      </c>
      <c r="C12" s="371" t="s">
        <v>438</v>
      </c>
      <c r="D12" s="370" t="s">
        <v>436</v>
      </c>
      <c r="E12" s="371" t="s">
        <v>438</v>
      </c>
      <c r="F12" s="370" t="s">
        <v>436</v>
      </c>
      <c r="G12" s="371" t="s">
        <v>438</v>
      </c>
      <c r="H12" s="370" t="s">
        <v>436</v>
      </c>
      <c r="I12" s="371" t="s">
        <v>438</v>
      </c>
    </row>
    <row r="13" spans="2:9" ht="13.5" thickBot="1" x14ac:dyDescent="0.25">
      <c r="B13" s="372" t="s">
        <v>480</v>
      </c>
      <c r="C13" s="373">
        <v>6.56</v>
      </c>
      <c r="D13" s="372" t="s">
        <v>447</v>
      </c>
      <c r="E13" s="373">
        <v>6.91</v>
      </c>
      <c r="F13" s="379" t="s">
        <v>481</v>
      </c>
      <c r="G13" s="373">
        <v>6.56</v>
      </c>
      <c r="H13" s="379" t="s">
        <v>506</v>
      </c>
      <c r="I13" s="401" t="s">
        <v>507</v>
      </c>
    </row>
    <row r="14" spans="2:9" ht="13.5" thickBot="1" x14ac:dyDescent="0.25">
      <c r="B14" s="434">
        <v>2.879</v>
      </c>
      <c r="C14" s="374" t="s">
        <v>449</v>
      </c>
      <c r="D14" s="372">
        <v>2.7130000000000001</v>
      </c>
      <c r="E14" s="374" t="s">
        <v>448</v>
      </c>
      <c r="F14" s="372">
        <v>2.879</v>
      </c>
      <c r="G14" s="375" t="s">
        <v>449</v>
      </c>
      <c r="H14" s="372"/>
      <c r="I14" s="373"/>
    </row>
  </sheetData>
  <mergeCells count="4">
    <mergeCell ref="B11:C11"/>
    <mergeCell ref="D11:E11"/>
    <mergeCell ref="F11:G11"/>
    <mergeCell ref="H11:I11"/>
  </mergeCells>
  <phoneticPr fontId="6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filterMode="1"/>
  <dimension ref="A1:DX106"/>
  <sheetViews>
    <sheetView zoomScale="90" zoomScaleNormal="90" workbookViewId="0">
      <pane xSplit="2" ySplit="1" topLeftCell="T21" activePane="bottomRight" state="frozen"/>
      <selection pane="topRight" activeCell="C1" sqref="C1"/>
      <selection pane="bottomLeft" activeCell="A2" sqref="A2"/>
      <selection pane="bottomRight" activeCell="AG8" sqref="AG8"/>
    </sheetView>
  </sheetViews>
  <sheetFormatPr defaultRowHeight="12.75" x14ac:dyDescent="0.2"/>
  <cols>
    <col min="1" max="1" width="34.85546875" customWidth="1"/>
    <col min="2" max="2" width="10.140625" customWidth="1"/>
    <col min="3" max="3" width="11.140625" customWidth="1"/>
    <col min="4" max="4" width="10.42578125" customWidth="1"/>
    <col min="5" max="17" width="10.7109375" customWidth="1"/>
    <col min="18" max="18" width="9.42578125" customWidth="1"/>
    <col min="19" max="19" width="10.140625" customWidth="1"/>
    <col min="20" max="20" width="9.42578125" customWidth="1"/>
    <col min="21" max="21" width="9.5703125" style="5" bestFit="1" customWidth="1"/>
    <col min="22" max="22" width="9" style="5" customWidth="1"/>
    <col min="23" max="23" width="10" customWidth="1"/>
    <col min="24" max="32" width="10.7109375" customWidth="1"/>
    <col min="33" max="33" width="10" customWidth="1"/>
    <col min="34" max="34" width="14.28515625" customWidth="1"/>
    <col min="35" max="35" width="10.5703125" customWidth="1"/>
  </cols>
  <sheetData>
    <row r="1" spans="1:35" ht="17.100000000000001" customHeight="1" x14ac:dyDescent="0.2">
      <c r="A1" s="64">
        <v>45444</v>
      </c>
      <c r="B1" s="461" t="s">
        <v>514</v>
      </c>
      <c r="C1" s="462"/>
      <c r="D1" s="462"/>
      <c r="E1" s="462"/>
      <c r="F1" s="462"/>
      <c r="G1" s="462"/>
      <c r="H1" s="462"/>
      <c r="I1" s="462"/>
      <c r="J1" s="462"/>
      <c r="K1" s="462"/>
      <c r="L1" s="462"/>
      <c r="M1" s="462"/>
      <c r="N1" s="462"/>
      <c r="O1" s="462"/>
      <c r="P1" s="462"/>
      <c r="Q1" s="462"/>
      <c r="R1" s="462"/>
      <c r="S1" s="462"/>
      <c r="T1" s="462"/>
      <c r="U1" s="462"/>
      <c r="V1" s="462"/>
      <c r="W1" s="462"/>
      <c r="X1" s="462"/>
      <c r="Y1" s="462"/>
      <c r="Z1" s="462"/>
      <c r="AA1" s="462"/>
      <c r="AB1" s="462"/>
      <c r="AC1" s="462"/>
      <c r="AD1" s="462"/>
      <c r="AE1" s="462"/>
      <c r="AF1" s="462"/>
      <c r="AG1" s="462"/>
    </row>
    <row r="2" spans="1:35" s="30" customFormat="1" ht="15.6" customHeight="1" x14ac:dyDescent="0.2">
      <c r="A2" s="478" t="s">
        <v>0</v>
      </c>
      <c r="B2" s="479"/>
      <c r="C2" s="65">
        <v>1</v>
      </c>
      <c r="D2" s="65">
        <v>2</v>
      </c>
      <c r="E2" s="65">
        <v>3</v>
      </c>
      <c r="F2" s="65">
        <v>4</v>
      </c>
      <c r="G2" s="65">
        <v>5</v>
      </c>
      <c r="H2" s="65">
        <v>6</v>
      </c>
      <c r="I2" s="65">
        <v>7</v>
      </c>
      <c r="J2" s="65">
        <v>8</v>
      </c>
      <c r="K2" s="65">
        <v>9</v>
      </c>
      <c r="L2" s="65">
        <v>10</v>
      </c>
      <c r="M2" s="65">
        <v>11</v>
      </c>
      <c r="N2" s="65">
        <v>12</v>
      </c>
      <c r="O2" s="65">
        <v>13</v>
      </c>
      <c r="P2" s="65">
        <v>14</v>
      </c>
      <c r="Q2" s="65">
        <v>15</v>
      </c>
      <c r="R2" s="65">
        <v>16</v>
      </c>
      <c r="S2" s="65">
        <v>17</v>
      </c>
      <c r="T2" s="65">
        <v>18</v>
      </c>
      <c r="U2" s="65">
        <v>19</v>
      </c>
      <c r="V2" s="65">
        <v>20</v>
      </c>
      <c r="W2" s="65">
        <v>21</v>
      </c>
      <c r="X2" s="65">
        <v>22</v>
      </c>
      <c r="Y2" s="65">
        <v>23</v>
      </c>
      <c r="Z2" s="65">
        <v>24</v>
      </c>
      <c r="AA2" s="65">
        <v>25</v>
      </c>
      <c r="AB2" s="65">
        <v>26</v>
      </c>
      <c r="AC2" s="65">
        <v>27</v>
      </c>
      <c r="AD2" s="65">
        <v>28</v>
      </c>
      <c r="AE2" s="65">
        <v>29</v>
      </c>
      <c r="AF2" s="65">
        <v>30</v>
      </c>
      <c r="AG2" s="65">
        <v>31</v>
      </c>
    </row>
    <row r="3" spans="1:35" ht="18" customHeight="1" x14ac:dyDescent="0.2">
      <c r="A3" s="189" t="s">
        <v>56</v>
      </c>
      <c r="B3" s="190"/>
      <c r="C3" s="190"/>
      <c r="D3" s="190"/>
      <c r="E3" s="190"/>
      <c r="F3" s="190"/>
      <c r="G3" s="190"/>
      <c r="H3" s="190"/>
      <c r="I3" s="190"/>
      <c r="J3" s="190"/>
      <c r="K3" s="190"/>
      <c r="L3" s="190"/>
      <c r="M3" s="190"/>
      <c r="N3" s="190"/>
      <c r="O3" s="190"/>
      <c r="P3" s="190"/>
      <c r="Q3" s="190"/>
      <c r="R3" s="190"/>
      <c r="S3" s="190"/>
      <c r="T3" s="190"/>
      <c r="U3" s="190"/>
      <c r="V3" s="190"/>
      <c r="W3" s="190"/>
      <c r="X3" s="190"/>
      <c r="Y3" s="190"/>
      <c r="Z3" s="190"/>
      <c r="AA3" s="190"/>
      <c r="AB3" s="190"/>
      <c r="AC3" s="190"/>
      <c r="AD3" s="190"/>
      <c r="AE3" s="190"/>
      <c r="AF3" s="190"/>
      <c r="AG3" s="190"/>
    </row>
    <row r="4" spans="1:35" ht="21" customHeight="1" x14ac:dyDescent="0.2">
      <c r="A4" s="480" t="s">
        <v>57</v>
      </c>
      <c r="B4" s="481"/>
      <c r="C4" s="463"/>
      <c r="D4" s="464"/>
      <c r="E4" s="464"/>
      <c r="F4" s="464"/>
      <c r="G4" s="464"/>
      <c r="H4" s="464"/>
      <c r="I4" s="464"/>
      <c r="J4" s="464"/>
      <c r="K4" s="464"/>
      <c r="L4" s="464"/>
      <c r="M4" s="464"/>
      <c r="N4" s="464"/>
      <c r="O4" s="464"/>
      <c r="P4" s="464"/>
      <c r="Q4" s="464"/>
      <c r="R4" s="464"/>
      <c r="S4" s="464"/>
      <c r="T4" s="464"/>
      <c r="U4" s="464"/>
      <c r="V4" s="464"/>
      <c r="W4" s="464"/>
      <c r="X4" s="464"/>
      <c r="Y4" s="464"/>
      <c r="Z4" s="464"/>
      <c r="AA4" s="464"/>
      <c r="AB4" s="464"/>
      <c r="AC4" s="464"/>
      <c r="AD4" s="464"/>
      <c r="AE4" s="464"/>
      <c r="AF4" s="464"/>
      <c r="AG4" s="464"/>
    </row>
    <row r="5" spans="1:35" ht="20.45" customHeight="1" x14ac:dyDescent="0.2">
      <c r="A5" s="9" t="s">
        <v>3</v>
      </c>
      <c r="B5" s="16"/>
      <c r="C5" s="455" t="s">
        <v>503</v>
      </c>
      <c r="D5" s="456"/>
      <c r="E5" s="456"/>
      <c r="F5" s="456"/>
      <c r="G5" s="456"/>
      <c r="H5" s="456"/>
      <c r="I5" s="456"/>
      <c r="J5" s="456"/>
      <c r="K5" s="456"/>
      <c r="L5" s="456"/>
      <c r="M5" s="456"/>
      <c r="N5" s="456"/>
      <c r="O5" s="456"/>
      <c r="P5" s="456"/>
      <c r="Q5" s="456"/>
      <c r="R5" s="456"/>
      <c r="S5" s="456"/>
      <c r="T5" s="456"/>
      <c r="U5" s="456"/>
      <c r="V5" s="456"/>
      <c r="W5" s="456"/>
      <c r="X5" s="456"/>
      <c r="Y5" s="456"/>
      <c r="Z5" s="456"/>
      <c r="AA5" s="456"/>
      <c r="AB5" s="456"/>
      <c r="AC5" s="456"/>
      <c r="AD5" s="456"/>
      <c r="AE5" s="456"/>
      <c r="AF5" s="456"/>
      <c r="AG5" s="456"/>
    </row>
    <row r="6" spans="1:35" ht="30" customHeight="1" x14ac:dyDescent="0.2">
      <c r="A6" s="2" t="s">
        <v>58</v>
      </c>
      <c r="B6" s="36" t="s">
        <v>5</v>
      </c>
      <c r="C6" s="315">
        <v>0.99419538728323698</v>
      </c>
      <c r="D6" s="315">
        <v>0.97215141546832495</v>
      </c>
      <c r="E6" s="315">
        <v>1.0159715182536695</v>
      </c>
      <c r="F6" s="315">
        <v>1.0369288507917729</v>
      </c>
      <c r="G6" s="315">
        <v>1.0371896223967847</v>
      </c>
      <c r="H6" s="315">
        <v>1.0012240865026101</v>
      </c>
      <c r="I6" s="315">
        <v>1.0530610687022903</v>
      </c>
      <c r="J6" s="315">
        <v>1.0353893333333333</v>
      </c>
      <c r="K6" s="315">
        <v>1.0561296514822849</v>
      </c>
      <c r="L6" s="315">
        <v>1.0571024372759856</v>
      </c>
      <c r="M6" s="315">
        <v>1.015665334854351</v>
      </c>
      <c r="N6" s="315">
        <v>1.0229900080499275</v>
      </c>
      <c r="O6" s="315">
        <v>1.0087323958333334</v>
      </c>
      <c r="P6" s="317">
        <v>0.97944355479452061</v>
      </c>
      <c r="Q6" s="317">
        <v>0.9789041040550881</v>
      </c>
      <c r="R6" s="317">
        <v>0.98968087338893107</v>
      </c>
      <c r="S6" s="317">
        <v>1.0104734423220973</v>
      </c>
      <c r="T6" s="317">
        <v>1.0188038704663211</v>
      </c>
      <c r="U6" s="317">
        <v>0.97066654329501922</v>
      </c>
      <c r="V6" s="317">
        <v>0.96441742985190948</v>
      </c>
      <c r="W6" s="317">
        <v>0.94307550166862963</v>
      </c>
      <c r="X6" s="317">
        <v>1.0239836457564577</v>
      </c>
      <c r="Y6" s="317">
        <v>1.0506342840746055</v>
      </c>
      <c r="Z6" s="317">
        <v>1.0738572627118645</v>
      </c>
      <c r="AA6" s="317">
        <v>1.0688393629316419</v>
      </c>
      <c r="AB6" s="317">
        <v>0.93455970588235293</v>
      </c>
      <c r="AC6" s="317">
        <v>0.88961605735711391</v>
      </c>
      <c r="AD6" s="317">
        <v>0.88237951999999997</v>
      </c>
      <c r="AE6" s="317">
        <v>0.97386841512984568</v>
      </c>
      <c r="AF6" s="317">
        <v>1.0788807958115181</v>
      </c>
      <c r="AG6" s="317"/>
      <c r="AH6" s="192"/>
      <c r="AI6">
        <v>1.01142752900232</v>
      </c>
    </row>
    <row r="7" spans="1:35" ht="30" customHeight="1" x14ac:dyDescent="0.2">
      <c r="A7" s="2" t="s">
        <v>59</v>
      </c>
      <c r="B7" s="36" t="s">
        <v>5</v>
      </c>
      <c r="C7" s="8">
        <v>0.99</v>
      </c>
      <c r="D7" s="8">
        <v>0.96899999999999997</v>
      </c>
      <c r="E7" s="8">
        <v>1.014</v>
      </c>
      <c r="F7" s="8">
        <v>1.0349999999999999</v>
      </c>
      <c r="G7" s="8">
        <v>1.032</v>
      </c>
      <c r="H7" s="8">
        <v>1</v>
      </c>
      <c r="I7" s="8">
        <v>1.05</v>
      </c>
      <c r="J7" s="8">
        <v>1.032</v>
      </c>
      <c r="K7" s="8">
        <v>1.052</v>
      </c>
      <c r="L7" s="8">
        <v>1.0549999999999999</v>
      </c>
      <c r="M7" s="8">
        <v>1.0129999999999999</v>
      </c>
      <c r="N7" s="8">
        <v>1.0189999999999999</v>
      </c>
      <c r="O7" s="8">
        <v>1.004</v>
      </c>
      <c r="P7" s="8">
        <v>0.97799999999999998</v>
      </c>
      <c r="Q7" s="8">
        <v>0.97599999999999998</v>
      </c>
      <c r="R7" s="8">
        <v>0.98799999999999999</v>
      </c>
      <c r="S7" s="8">
        <v>1.0089999999999999</v>
      </c>
      <c r="T7" s="8">
        <v>1.016</v>
      </c>
      <c r="U7" s="8">
        <v>0.96799999999999997</v>
      </c>
      <c r="V7" s="8">
        <v>0.96099999999999997</v>
      </c>
      <c r="W7" s="8">
        <v>0.94099999999999995</v>
      </c>
      <c r="X7" s="8">
        <v>1.02</v>
      </c>
      <c r="Y7" s="8">
        <v>1.048</v>
      </c>
      <c r="Z7" s="8">
        <v>1.0720000000000001</v>
      </c>
      <c r="AA7" s="8">
        <v>1.0640000000000001</v>
      </c>
      <c r="AB7" s="8">
        <v>0.93100000000000005</v>
      </c>
      <c r="AC7" s="8">
        <v>0.88300000000000001</v>
      </c>
      <c r="AD7" s="8">
        <v>0.88</v>
      </c>
      <c r="AE7" s="8">
        <v>0.97099999999999997</v>
      </c>
      <c r="AF7" s="8">
        <v>1.0740000000000001</v>
      </c>
      <c r="AG7" s="8"/>
      <c r="AH7" s="192"/>
      <c r="AI7">
        <v>1.0069999999999999</v>
      </c>
    </row>
    <row r="8" spans="1:35" ht="30" customHeight="1" x14ac:dyDescent="0.2">
      <c r="A8" s="2" t="s">
        <v>60</v>
      </c>
      <c r="B8" s="36" t="s">
        <v>5</v>
      </c>
      <c r="C8" s="8">
        <f>C6</f>
        <v>0.99419538728323698</v>
      </c>
      <c r="D8" s="8">
        <f>D6+C8</f>
        <v>1.9663468027515618</v>
      </c>
      <c r="E8" s="8">
        <f t="shared" ref="E8:AF8" si="0">E6+D8</f>
        <v>2.9823183210052315</v>
      </c>
      <c r="F8" s="8">
        <f t="shared" si="0"/>
        <v>4.0192471717970042</v>
      </c>
      <c r="G8" s="8">
        <f t="shared" si="0"/>
        <v>5.0564367941937887</v>
      </c>
      <c r="H8" s="8">
        <f t="shared" si="0"/>
        <v>6.0576608806963987</v>
      </c>
      <c r="I8" s="8">
        <f t="shared" si="0"/>
        <v>7.1107219493986893</v>
      </c>
      <c r="J8" s="8">
        <f t="shared" si="0"/>
        <v>8.1461112827320221</v>
      </c>
      <c r="K8" s="8">
        <f t="shared" si="0"/>
        <v>9.2022409342143074</v>
      </c>
      <c r="L8" s="8">
        <f t="shared" si="0"/>
        <v>10.259343371490292</v>
      </c>
      <c r="M8" s="8">
        <f t="shared" si="0"/>
        <v>11.275008706344643</v>
      </c>
      <c r="N8" s="8">
        <f t="shared" si="0"/>
        <v>12.29799871439457</v>
      </c>
      <c r="O8" s="8">
        <f t="shared" si="0"/>
        <v>13.306731110227904</v>
      </c>
      <c r="P8" s="8">
        <f t="shared" si="0"/>
        <v>14.286174665022426</v>
      </c>
      <c r="Q8" s="8">
        <f t="shared" si="0"/>
        <v>15.265078769077514</v>
      </c>
      <c r="R8" s="8">
        <f t="shared" si="0"/>
        <v>16.254759642466446</v>
      </c>
      <c r="S8" s="8">
        <f t="shared" si="0"/>
        <v>17.265233084788544</v>
      </c>
      <c r="T8" s="8">
        <f t="shared" si="0"/>
        <v>18.284036955254866</v>
      </c>
      <c r="U8" s="8">
        <f t="shared" si="0"/>
        <v>19.254703498549887</v>
      </c>
      <c r="V8" s="8">
        <f t="shared" si="0"/>
        <v>20.219120928401797</v>
      </c>
      <c r="W8" s="8">
        <f t="shared" si="0"/>
        <v>21.162196430070427</v>
      </c>
      <c r="X8" s="8">
        <f t="shared" si="0"/>
        <v>22.186180075826886</v>
      </c>
      <c r="Y8" s="8">
        <f t="shared" si="0"/>
        <v>23.236814359901491</v>
      </c>
      <c r="Z8" s="8">
        <f t="shared" si="0"/>
        <v>24.310671622613356</v>
      </c>
      <c r="AA8" s="8">
        <f t="shared" si="0"/>
        <v>25.379510985544997</v>
      </c>
      <c r="AB8" s="8">
        <f t="shared" si="0"/>
        <v>26.31407069142735</v>
      </c>
      <c r="AC8" s="8">
        <f t="shared" si="0"/>
        <v>27.203686748784463</v>
      </c>
      <c r="AD8" s="8">
        <f t="shared" si="0"/>
        <v>28.086066268784464</v>
      </c>
      <c r="AE8" s="8">
        <f t="shared" si="0"/>
        <v>29.05993468391431</v>
      </c>
      <c r="AF8" s="8">
        <f t="shared" si="0"/>
        <v>30.138815479725828</v>
      </c>
      <c r="AG8" s="8"/>
      <c r="AH8" s="192"/>
      <c r="AI8">
        <v>31.260595475415236</v>
      </c>
    </row>
    <row r="9" spans="1:35" ht="30" customHeight="1" x14ac:dyDescent="0.2">
      <c r="A9" s="2" t="s">
        <v>8</v>
      </c>
      <c r="B9" s="36" t="s">
        <v>5</v>
      </c>
      <c r="C9" s="3">
        <f t="shared" ref="C9:H9" si="1">62.9015954754152+C8</f>
        <v>63.895790862698433</v>
      </c>
      <c r="D9" s="3">
        <f t="shared" si="1"/>
        <v>64.867942278166765</v>
      </c>
      <c r="E9" s="3">
        <f t="shared" si="1"/>
        <v>65.88391379642043</v>
      </c>
      <c r="F9" s="3">
        <f t="shared" si="1"/>
        <v>66.920842647212197</v>
      </c>
      <c r="G9" s="3">
        <f t="shared" si="1"/>
        <v>67.958032269608992</v>
      </c>
      <c r="H9" s="3">
        <f t="shared" si="1"/>
        <v>68.959256356111595</v>
      </c>
      <c r="I9" s="3">
        <f t="shared" ref="I9:J9" si="2">62.9015954754152+I8</f>
        <v>70.012317424813887</v>
      </c>
      <c r="J9" s="3">
        <f t="shared" si="2"/>
        <v>71.047706758147228</v>
      </c>
      <c r="K9" s="3">
        <f t="shared" ref="K9:L9" si="3">62.9015954754152+K8</f>
        <v>72.103836409629508</v>
      </c>
      <c r="L9" s="3">
        <f t="shared" si="3"/>
        <v>73.160938846905495</v>
      </c>
      <c r="M9" s="3">
        <f t="shared" ref="M9:N9" si="4">62.9015954754152+M8</f>
        <v>74.176604181759842</v>
      </c>
      <c r="N9" s="3">
        <f t="shared" si="4"/>
        <v>75.199594189809773</v>
      </c>
      <c r="O9" s="3">
        <f t="shared" ref="O9:P9" si="5">62.9015954754152+O8</f>
        <v>76.208326585643107</v>
      </c>
      <c r="P9" s="3">
        <f t="shared" si="5"/>
        <v>77.187770140437621</v>
      </c>
      <c r="Q9" s="3">
        <f t="shared" ref="Q9:R9" si="6">62.9015954754152+Q8</f>
        <v>78.166674244492711</v>
      </c>
      <c r="R9" s="3">
        <f t="shared" si="6"/>
        <v>79.156355117881645</v>
      </c>
      <c r="S9" s="3">
        <f t="shared" ref="S9:T9" si="7">62.9015954754152+S8</f>
        <v>80.16682856020374</v>
      </c>
      <c r="T9" s="3">
        <f t="shared" si="7"/>
        <v>81.185632430670069</v>
      </c>
      <c r="U9" s="3">
        <f t="shared" ref="U9:V9" si="8">62.9015954754152+U8</f>
        <v>82.156298973965079</v>
      </c>
      <c r="V9" s="3">
        <f t="shared" si="8"/>
        <v>83.120716403816999</v>
      </c>
      <c r="W9" s="3">
        <f t="shared" ref="W9:X9" si="9">62.9015954754152+W8</f>
        <v>84.06379190548563</v>
      </c>
      <c r="X9" s="3">
        <f t="shared" si="9"/>
        <v>85.087775551242089</v>
      </c>
      <c r="Y9" s="3">
        <f t="shared" ref="Y9:Z9" si="10">62.9015954754152+Y8</f>
        <v>86.138409835316693</v>
      </c>
      <c r="Z9" s="3">
        <f t="shared" si="10"/>
        <v>87.212267098028548</v>
      </c>
      <c r="AA9" s="3">
        <f t="shared" ref="AA9:AB9" si="11">62.9015954754152+AA8</f>
        <v>88.281106460960189</v>
      </c>
      <c r="AB9" s="3">
        <f t="shared" si="11"/>
        <v>89.215666166842553</v>
      </c>
      <c r="AC9" s="3">
        <f t="shared" ref="AC9:AD9" si="12">62.9015954754152+AC8</f>
        <v>90.105282224199669</v>
      </c>
      <c r="AD9" s="3">
        <f t="shared" si="12"/>
        <v>90.98766174419967</v>
      </c>
      <c r="AE9" s="3">
        <f t="shared" ref="AE9:AF9" si="13">62.9015954754152+AE8</f>
        <v>91.961530159329513</v>
      </c>
      <c r="AF9" s="3">
        <f t="shared" si="13"/>
        <v>93.040410955141027</v>
      </c>
      <c r="AG9" s="3"/>
      <c r="AH9" s="192"/>
      <c r="AI9">
        <v>62.901595475415199</v>
      </c>
    </row>
    <row r="10" spans="1:35" ht="30" customHeight="1" x14ac:dyDescent="0.2">
      <c r="A10" s="2" t="s">
        <v>61</v>
      </c>
      <c r="B10" s="36" t="s">
        <v>10</v>
      </c>
      <c r="C10" s="239">
        <v>43</v>
      </c>
      <c r="D10" s="239">
        <v>42</v>
      </c>
      <c r="E10" s="239">
        <v>44</v>
      </c>
      <c r="F10" s="239">
        <v>44</v>
      </c>
      <c r="G10" s="239">
        <v>44</v>
      </c>
      <c r="H10" s="239">
        <v>44</v>
      </c>
      <c r="I10" s="239">
        <v>45</v>
      </c>
      <c r="J10" s="239">
        <v>43.5</v>
      </c>
      <c r="K10" s="239">
        <v>44</v>
      </c>
      <c r="L10" s="239">
        <v>45</v>
      </c>
      <c r="M10" s="239">
        <v>43</v>
      </c>
      <c r="N10" s="239">
        <v>44</v>
      </c>
      <c r="O10" s="239">
        <v>43</v>
      </c>
      <c r="P10" s="239">
        <v>42</v>
      </c>
      <c r="Q10" s="239">
        <v>41.5</v>
      </c>
      <c r="R10" s="239">
        <v>42</v>
      </c>
      <c r="S10" s="239">
        <v>42.5</v>
      </c>
      <c r="T10" s="239">
        <v>43</v>
      </c>
      <c r="U10" s="239">
        <v>44</v>
      </c>
      <c r="V10" s="239">
        <v>42</v>
      </c>
      <c r="W10" s="239">
        <v>42</v>
      </c>
      <c r="X10" s="239">
        <v>44</v>
      </c>
      <c r="Y10" s="239">
        <v>45</v>
      </c>
      <c r="Z10" s="239">
        <v>45</v>
      </c>
      <c r="AA10" s="239">
        <v>45.5</v>
      </c>
      <c r="AB10" s="239">
        <v>42</v>
      </c>
      <c r="AC10" s="239">
        <v>38</v>
      </c>
      <c r="AD10" s="239">
        <v>38</v>
      </c>
      <c r="AE10" s="239">
        <v>46</v>
      </c>
      <c r="AF10" s="239">
        <v>46</v>
      </c>
      <c r="AG10" s="239"/>
      <c r="AH10" s="192"/>
      <c r="AI10">
        <v>44</v>
      </c>
    </row>
    <row r="11" spans="1:35" ht="30" customHeight="1" x14ac:dyDescent="0.2">
      <c r="A11" s="2" t="s">
        <v>62</v>
      </c>
      <c r="B11" s="36" t="s">
        <v>10</v>
      </c>
      <c r="C11" s="239">
        <v>40</v>
      </c>
      <c r="D11" s="239">
        <v>39</v>
      </c>
      <c r="E11" s="239">
        <v>41</v>
      </c>
      <c r="F11" s="239">
        <v>43</v>
      </c>
      <c r="G11" s="239">
        <v>42</v>
      </c>
      <c r="H11" s="239">
        <v>40</v>
      </c>
      <c r="I11" s="239">
        <v>43</v>
      </c>
      <c r="J11" s="239">
        <v>42</v>
      </c>
      <c r="K11" s="239">
        <v>43</v>
      </c>
      <c r="L11" s="239">
        <v>43</v>
      </c>
      <c r="M11" s="239">
        <v>42</v>
      </c>
      <c r="N11" s="239">
        <v>42</v>
      </c>
      <c r="O11" s="239">
        <v>41</v>
      </c>
      <c r="P11" s="239">
        <v>41</v>
      </c>
      <c r="Q11" s="239">
        <v>40.5</v>
      </c>
      <c r="R11" s="239">
        <v>41</v>
      </c>
      <c r="S11" s="239">
        <v>41</v>
      </c>
      <c r="T11" s="239">
        <v>42</v>
      </c>
      <c r="U11" s="239">
        <v>39</v>
      </c>
      <c r="V11" s="239">
        <v>39</v>
      </c>
      <c r="W11" s="239">
        <v>39</v>
      </c>
      <c r="X11" s="239">
        <v>42</v>
      </c>
      <c r="Y11" s="239">
        <v>43</v>
      </c>
      <c r="Z11" s="239">
        <v>44</v>
      </c>
      <c r="AA11" s="239">
        <v>45</v>
      </c>
      <c r="AB11" s="239">
        <v>37</v>
      </c>
      <c r="AC11" s="239">
        <v>35</v>
      </c>
      <c r="AD11" s="239">
        <v>36</v>
      </c>
      <c r="AE11" s="239">
        <v>35</v>
      </c>
      <c r="AF11" s="239">
        <v>45</v>
      </c>
      <c r="AG11" s="239"/>
      <c r="AH11" s="192"/>
      <c r="AI11">
        <v>41</v>
      </c>
    </row>
    <row r="12" spans="1:35" ht="30" customHeight="1" x14ac:dyDescent="0.2">
      <c r="A12" s="2" t="s">
        <v>63</v>
      </c>
      <c r="B12" s="36" t="s">
        <v>10</v>
      </c>
      <c r="C12" s="3">
        <f>C6*1000/24</f>
        <v>41.424807803468205</v>
      </c>
      <c r="D12" s="3">
        <f t="shared" ref="D12:E12" si="14">D6*1000/24</f>
        <v>40.506308977846871</v>
      </c>
      <c r="E12" s="3">
        <f t="shared" si="14"/>
        <v>42.332146593902898</v>
      </c>
      <c r="F12" s="3">
        <f t="shared" ref="F12:G12" si="15">F6*1000/24</f>
        <v>43.20536878299054</v>
      </c>
      <c r="G12" s="3">
        <f t="shared" si="15"/>
        <v>43.216234266532695</v>
      </c>
      <c r="H12" s="3">
        <f t="shared" ref="H12:I12" si="16">H6*1000/24</f>
        <v>41.717670270942087</v>
      </c>
      <c r="I12" s="3">
        <f t="shared" si="16"/>
        <v>43.877544529262103</v>
      </c>
      <c r="J12" s="3">
        <f t="shared" ref="J12:K12" si="17">J6*1000/24</f>
        <v>43.141222222222218</v>
      </c>
      <c r="K12" s="3">
        <f t="shared" si="17"/>
        <v>44.005402145095196</v>
      </c>
      <c r="L12" s="3">
        <f t="shared" ref="L12:M12" si="18">L6*1000/24</f>
        <v>44.045934886499403</v>
      </c>
      <c r="M12" s="3">
        <f t="shared" si="18"/>
        <v>42.319388952264624</v>
      </c>
      <c r="N12" s="3">
        <f t="shared" ref="N12:O12" si="19">N6*1000/24</f>
        <v>42.624583668746979</v>
      </c>
      <c r="O12" s="3">
        <f t="shared" si="19"/>
        <v>42.030516493055558</v>
      </c>
      <c r="P12" s="3">
        <f t="shared" ref="P12:Q12" si="20">P6*1000/24</f>
        <v>40.810148116438363</v>
      </c>
      <c r="Q12" s="3">
        <f t="shared" si="20"/>
        <v>40.787671002295333</v>
      </c>
      <c r="R12" s="3">
        <f t="shared" ref="R12:S12" si="21">R6*1000/24</f>
        <v>41.236703057872127</v>
      </c>
      <c r="S12" s="3">
        <f t="shared" si="21"/>
        <v>42.103060096754056</v>
      </c>
      <c r="T12" s="3">
        <f t="shared" ref="T12:U12" si="22">T6*1000/24</f>
        <v>42.450161269430048</v>
      </c>
      <c r="U12" s="3">
        <f t="shared" si="22"/>
        <v>40.444439303959136</v>
      </c>
      <c r="V12" s="3">
        <f t="shared" ref="V12:W12" si="23">V6*1000/24</f>
        <v>40.184059577162891</v>
      </c>
      <c r="W12" s="3">
        <f t="shared" si="23"/>
        <v>39.294812569526236</v>
      </c>
      <c r="X12" s="3">
        <f t="shared" ref="X12:Y12" si="24">X6*1000/24</f>
        <v>42.665985239852404</v>
      </c>
      <c r="Y12" s="3">
        <f t="shared" si="24"/>
        <v>43.776428503108555</v>
      </c>
      <c r="Z12" s="3">
        <f t="shared" ref="Z12:AA12" si="25">Z6*1000/24</f>
        <v>44.744052612994352</v>
      </c>
      <c r="AA12" s="3">
        <f t="shared" si="25"/>
        <v>44.53497345548508</v>
      </c>
      <c r="AB12" s="3">
        <f t="shared" ref="AB12:AC12" si="26">AB6*1000/24</f>
        <v>38.939987745098037</v>
      </c>
      <c r="AC12" s="3">
        <f t="shared" si="26"/>
        <v>37.067335723213084</v>
      </c>
      <c r="AD12" s="3">
        <f t="shared" ref="AD12:AE12" si="27">AD6*1000/24</f>
        <v>36.765813333333334</v>
      </c>
      <c r="AE12" s="3">
        <f t="shared" si="27"/>
        <v>40.577850630410232</v>
      </c>
      <c r="AF12" s="3">
        <f t="shared" ref="AF12" si="28">AF6*1000/24</f>
        <v>44.953366492146586</v>
      </c>
      <c r="AG12" s="3"/>
      <c r="AH12" s="192"/>
      <c r="AI12">
        <v>42.142813708430005</v>
      </c>
    </row>
    <row r="13" spans="1:35" ht="30" customHeight="1" x14ac:dyDescent="0.2">
      <c r="A13" s="10" t="s">
        <v>12</v>
      </c>
      <c r="B13" s="16"/>
      <c r="C13" s="465" t="s">
        <v>515</v>
      </c>
      <c r="D13" s="466"/>
      <c r="E13" s="466"/>
      <c r="F13" s="466"/>
      <c r="G13" s="466"/>
      <c r="H13" s="466"/>
      <c r="I13" s="466"/>
      <c r="J13" s="466"/>
      <c r="K13" s="466"/>
      <c r="L13" s="466"/>
      <c r="M13" s="466"/>
      <c r="N13" s="466"/>
      <c r="O13" s="466"/>
      <c r="P13" s="466"/>
      <c r="Q13" s="466"/>
      <c r="R13" s="466"/>
      <c r="S13" s="466"/>
      <c r="T13" s="466"/>
      <c r="U13" s="466"/>
      <c r="V13" s="466"/>
      <c r="W13" s="466"/>
      <c r="X13" s="466"/>
      <c r="Y13" s="466"/>
      <c r="Z13" s="466"/>
      <c r="AA13" s="466"/>
      <c r="AB13" s="466"/>
      <c r="AC13" s="466"/>
      <c r="AD13" s="466"/>
      <c r="AE13" s="466"/>
      <c r="AF13" s="466"/>
      <c r="AG13" s="466"/>
    </row>
    <row r="14" spans="1:35" ht="30" customHeight="1" x14ac:dyDescent="0.2">
      <c r="A14" s="2" t="s">
        <v>59</v>
      </c>
      <c r="B14" s="36" t="s">
        <v>13</v>
      </c>
      <c r="C14" s="3">
        <f>(C6*100000)/(42*24)</f>
        <v>98.6304947701624</v>
      </c>
      <c r="D14" s="3">
        <f t="shared" ref="D14:E14" si="29">(D6*100000)/(42*24)</f>
        <v>96.443592804397326</v>
      </c>
      <c r="E14" s="3">
        <f t="shared" si="29"/>
        <v>100.79082522357832</v>
      </c>
      <c r="F14" s="3">
        <f t="shared" ref="F14:G14" si="30">(F6*100000)/(42*24)</f>
        <v>102.86992567378699</v>
      </c>
      <c r="G14" s="3">
        <f t="shared" si="30"/>
        <v>102.89579587269689</v>
      </c>
      <c r="H14" s="3">
        <f t="shared" ref="H14:I14" si="31">(H6*100000)/(42*24)</f>
        <v>99.327786359385911</v>
      </c>
      <c r="I14" s="3">
        <f t="shared" si="31"/>
        <v>104.47034411729071</v>
      </c>
      <c r="J14" s="3">
        <f t="shared" ref="J14:K14" si="32">(J6*100000)/(42*24)</f>
        <v>102.71719576719576</v>
      </c>
      <c r="K14" s="3">
        <f t="shared" si="32"/>
        <v>104.77476701213143</v>
      </c>
      <c r="L14" s="3">
        <f t="shared" ref="L14:M14" si="33">(L6*100000)/(42*24)</f>
        <v>104.87127353928429</v>
      </c>
      <c r="M14" s="3">
        <f t="shared" si="33"/>
        <v>100.76044988634435</v>
      </c>
      <c r="N14" s="3">
        <f t="shared" ref="N14:O14" si="34">(N6*100000)/(42*24)</f>
        <v>101.48710397320708</v>
      </c>
      <c r="O14" s="3">
        <f t="shared" si="34"/>
        <v>100.07265831679895</v>
      </c>
      <c r="P14" s="3">
        <f t="shared" ref="P14:Q14" si="35">(P6*100000)/(42*24)</f>
        <v>97.167019324853229</v>
      </c>
      <c r="Q14" s="3">
        <f t="shared" si="35"/>
        <v>97.113502386417466</v>
      </c>
      <c r="R14" s="3">
        <f t="shared" ref="R14:S14" si="36">(R6*100000)/(42*24)</f>
        <v>98.182626328266977</v>
      </c>
      <c r="S14" s="3">
        <f t="shared" si="36"/>
        <v>100.24538118274776</v>
      </c>
      <c r="T14" s="3">
        <f t="shared" ref="T14:U14" si="37">(T6*100000)/(42*24)</f>
        <v>101.07181254626201</v>
      </c>
      <c r="U14" s="3">
        <f t="shared" si="37"/>
        <v>96.296284057045554</v>
      </c>
      <c r="V14" s="3">
        <f t="shared" ref="V14:W14" si="38">(V6*100000)/(42*24)</f>
        <v>95.676332326578333</v>
      </c>
      <c r="W14" s="3">
        <f t="shared" si="38"/>
        <v>93.559077546491025</v>
      </c>
      <c r="X14" s="3">
        <f t="shared" ref="X14:Y14" si="39">(X6*100000)/(42*24)</f>
        <v>101.58567914250573</v>
      </c>
      <c r="Y14" s="3">
        <f t="shared" si="39"/>
        <v>104.229591674068</v>
      </c>
      <c r="Z14" s="3">
        <f t="shared" ref="Z14:AA14" si="40">(Z6*100000)/(42*24)</f>
        <v>106.53345860236752</v>
      </c>
      <c r="AA14" s="3">
        <f t="shared" si="40"/>
        <v>106.03565108448829</v>
      </c>
      <c r="AB14" s="3">
        <f t="shared" ref="AB14:AC14" si="41">(AB6*100000)/(42*24)</f>
        <v>92.714256535947712</v>
      </c>
      <c r="AC14" s="3">
        <f t="shared" si="41"/>
        <v>88.255561245745426</v>
      </c>
      <c r="AD14" s="3">
        <f t="shared" ref="AD14:AE14" si="42">(AD6*100000)/(42*24)</f>
        <v>87.537650793650783</v>
      </c>
      <c r="AE14" s="3">
        <f t="shared" si="42"/>
        <v>96.613930072405324</v>
      </c>
      <c r="AF14" s="3">
        <f t="shared" ref="AF14" si="43">(AF6*100000)/(42*24)</f>
        <v>107.0318249813014</v>
      </c>
      <c r="AG14" s="3"/>
      <c r="AH14" s="192"/>
      <c r="AI14">
        <v>100.34003263911906</v>
      </c>
    </row>
    <row r="15" spans="1:35" ht="30" customHeight="1" x14ac:dyDescent="0.2">
      <c r="A15" s="2" t="s">
        <v>60</v>
      </c>
      <c r="B15" s="36" t="s">
        <v>13</v>
      </c>
      <c r="C15" s="3">
        <f t="shared" ref="C15:D15" si="44">(C8*1000)/(42*24*C2)%</f>
        <v>98.6304947701624</v>
      </c>
      <c r="D15" s="3">
        <f t="shared" si="44"/>
        <v>97.537043787279856</v>
      </c>
      <c r="E15" s="3">
        <f t="shared" ref="E15:F15" si="45">(E8*1000)/(42*24*E2)%</f>
        <v>98.621637599379355</v>
      </c>
      <c r="F15" s="3">
        <f t="shared" si="45"/>
        <v>99.683709617981251</v>
      </c>
      <c r="G15" s="3">
        <f t="shared" ref="G15:H15" si="46">(G8*1000)/(42*24*G2)%</f>
        <v>100.32612686892439</v>
      </c>
      <c r="H15" s="3">
        <f t="shared" si="46"/>
        <v>100.15973678400131</v>
      </c>
      <c r="I15" s="3">
        <f t="shared" ref="I15:J15" si="47">(I8*1000)/(42*24*I2)%</f>
        <v>100.77553783161407</v>
      </c>
      <c r="J15" s="3">
        <f t="shared" si="47"/>
        <v>101.01824507356179</v>
      </c>
      <c r="K15" s="3">
        <f t="shared" ref="K15:L15" si="48">(K8*1000)/(42*24*K2)%</f>
        <v>101.43563640006953</v>
      </c>
      <c r="L15" s="3">
        <f t="shared" si="48"/>
        <v>101.77920011399101</v>
      </c>
      <c r="M15" s="3">
        <f t="shared" ref="M15:N15" si="49">(M8*1000)/(42*24*M2)%</f>
        <v>101.6865864569322</v>
      </c>
      <c r="N15" s="3">
        <f t="shared" si="49"/>
        <v>101.66996291662177</v>
      </c>
      <c r="O15" s="3">
        <f t="shared" ref="O15:P15" si="50">(O8*1000)/(42*24*O2)%</f>
        <v>101.54709333202003</v>
      </c>
      <c r="P15" s="3">
        <f t="shared" si="50"/>
        <v>101.23423090293669</v>
      </c>
      <c r="Q15" s="3">
        <f t="shared" ref="Q15:R15" si="51">(Q8*1000)/(42*24*Q2)%</f>
        <v>100.95951566850208</v>
      </c>
      <c r="R15" s="3">
        <f t="shared" si="51"/>
        <v>100.78596008473738</v>
      </c>
      <c r="S15" s="3">
        <f t="shared" ref="S15:T15" si="52">(S8*1000)/(42*24*S2)%</f>
        <v>100.75416132579683</v>
      </c>
      <c r="T15" s="3">
        <f t="shared" si="52"/>
        <v>100.77180861582268</v>
      </c>
      <c r="U15" s="3">
        <f t="shared" ref="U15:V15" si="53">(U8*1000)/(42*24*U2)%</f>
        <v>100.53625469167652</v>
      </c>
      <c r="V15" s="3">
        <f t="shared" si="53"/>
        <v>100.29325857342161</v>
      </c>
      <c r="W15" s="3">
        <f t="shared" ref="W15:X15" si="54">(W8*1000)/(42*24*W2)%</f>
        <v>99.972583286424921</v>
      </c>
      <c r="X15" s="3">
        <f t="shared" si="54"/>
        <v>100.0459058253377</v>
      </c>
      <c r="Y15" s="3">
        <f t="shared" ref="Y15:Z15" si="55">(Y8*1000)/(42*24*Y2)%</f>
        <v>100.22780521006509</v>
      </c>
      <c r="Z15" s="3">
        <f t="shared" si="55"/>
        <v>100.49054076807769</v>
      </c>
      <c r="AA15" s="3">
        <f t="shared" ref="AA15:AB15" si="56">(AA8*1000)/(42*24*AA2)%</f>
        <v>100.7123451807341</v>
      </c>
      <c r="AB15" s="3">
        <f t="shared" si="56"/>
        <v>100.40472638670387</v>
      </c>
      <c r="AC15" s="3">
        <f t="shared" ref="AC15:AD15" si="57">(AC8*1000)/(42*24*AC2)%</f>
        <v>99.95475730740911</v>
      </c>
      <c r="AD15" s="3">
        <f t="shared" si="57"/>
        <v>99.511289217632026</v>
      </c>
      <c r="AE15" s="3">
        <f t="shared" ref="AE15:AF15" si="58">(AE8*1000)/(42*24*AE2)%</f>
        <v>99.411380281589729</v>
      </c>
      <c r="AF15" s="3">
        <f t="shared" si="58"/>
        <v>99.665395104913458</v>
      </c>
      <c r="AG15" s="3"/>
      <c r="AH15" s="192"/>
      <c r="AI15">
        <v>100.04030810104722</v>
      </c>
    </row>
    <row r="16" spans="1:35" ht="30" customHeight="1" x14ac:dyDescent="0.2">
      <c r="A16" s="2" t="s">
        <v>8</v>
      </c>
      <c r="B16" s="36" t="s">
        <v>13</v>
      </c>
      <c r="C16" s="3">
        <f t="shared" ref="C16:H16" si="59">(C9*10^3)/(24*(C2+30+31)*42)%</f>
        <v>102.23980872807608</v>
      </c>
      <c r="D16" s="3">
        <f t="shared" si="59"/>
        <v>102.14780530071613</v>
      </c>
      <c r="E16" s="3">
        <f t="shared" si="59"/>
        <v>102.12660248701083</v>
      </c>
      <c r="F16" s="3">
        <f t="shared" si="59"/>
        <v>102.13803822834583</v>
      </c>
      <c r="G16" s="3">
        <f t="shared" si="59"/>
        <v>102.14951940477542</v>
      </c>
      <c r="H16" s="3">
        <f t="shared" si="59"/>
        <v>102.10740398618751</v>
      </c>
      <c r="I16" s="3">
        <f t="shared" ref="I16:J16" si="60">(I9*10^3)/(24*(I2+30+31)*42)%</f>
        <v>102.14215310576255</v>
      </c>
      <c r="J16" s="3">
        <f t="shared" si="60"/>
        <v>102.15048705737753</v>
      </c>
      <c r="K16" s="3">
        <f t="shared" ref="K16:L16" si="61">(K9*10^3)/(24*(K2+30+31)*42)%</f>
        <v>102.18797677101688</v>
      </c>
      <c r="L16" s="3">
        <f t="shared" si="61"/>
        <v>102.22576968324601</v>
      </c>
      <c r="M16" s="3">
        <f t="shared" ref="M16:N16" si="62">(M9*10^3)/(24*(M2+30+31)*42)%</f>
        <v>102.20541801940014</v>
      </c>
      <c r="N16" s="3">
        <f t="shared" si="62"/>
        <v>102.19557810095912</v>
      </c>
      <c r="O16" s="3">
        <f t="shared" ref="O16:P16" si="63">(O9*10^3)/(24*(O2+30+31)*42)%</f>
        <v>102.16688999576779</v>
      </c>
      <c r="P16" s="3">
        <f t="shared" si="63"/>
        <v>102.10022505348893</v>
      </c>
      <c r="Q16" s="3">
        <f t="shared" ref="Q16:R16" si="64">(Q9*10^3)/(24*(Q2+30+31)*42)%</f>
        <v>102.03461028155375</v>
      </c>
      <c r="R16" s="3">
        <f t="shared" si="64"/>
        <v>101.98458451592667</v>
      </c>
      <c r="S16" s="3">
        <f t="shared" ref="S16:T16" si="65">(S9*10^3)/(24*(S2+30+31)*42)%</f>
        <v>101.96228703729616</v>
      </c>
      <c r="T16" s="3">
        <f t="shared" si="65"/>
        <v>101.95101520829574</v>
      </c>
      <c r="U16" s="3">
        <f t="shared" ref="U16:V16" si="66">(U9*10^3)/(24*(U2+30+31)*42)%</f>
        <v>101.88033106890511</v>
      </c>
      <c r="V16" s="3">
        <f t="shared" si="66"/>
        <v>101.80373849183935</v>
      </c>
      <c r="W16" s="3">
        <f t="shared" ref="W16:X16" si="67">(W9*10^3)/(24*(W2+30+31)*42)%</f>
        <v>101.7031938461644</v>
      </c>
      <c r="X16" s="3">
        <f t="shared" si="67"/>
        <v>101.70177800636127</v>
      </c>
      <c r="Y16" s="3">
        <f t="shared" ref="Y16:Z16" si="68">(Y9*10^3)/(24*(Y2+30+31)*42)%</f>
        <v>101.7318710262149</v>
      </c>
      <c r="Z16" s="3">
        <f t="shared" si="68"/>
        <v>101.7883602918167</v>
      </c>
      <c r="AA16" s="3">
        <f t="shared" ref="AA16:AB16" si="69">(AA9*10^3)/(24*(AA2+30+31)*42)%</f>
        <v>101.83774739405706</v>
      </c>
      <c r="AB16" s="3">
        <f t="shared" si="69"/>
        <v>101.73287968304432</v>
      </c>
      <c r="AC16" s="3">
        <f t="shared" ref="AC16:AD16" si="70">(AC9*10^3)/(24*(AC2+30+31)*42)%</f>
        <v>101.57972833716595</v>
      </c>
      <c r="AD16" s="3">
        <f t="shared" si="70"/>
        <v>101.4219521849916</v>
      </c>
      <c r="AE16" s="3">
        <f t="shared" ref="AE16:AF16" si="71">(AE9*10^3)/(24*(AE2+30+31)*42)%</f>
        <v>101.36852971707397</v>
      </c>
      <c r="AF16" s="3">
        <f t="shared" si="71"/>
        <v>101.43076373096658</v>
      </c>
      <c r="AG16" s="3"/>
      <c r="AH16" s="192"/>
      <c r="AI16">
        <v>102.29897780935343</v>
      </c>
    </row>
    <row r="17" spans="1:37" ht="30" customHeight="1" x14ac:dyDescent="0.2">
      <c r="A17" s="2" t="s">
        <v>64</v>
      </c>
      <c r="B17" s="36" t="s">
        <v>65</v>
      </c>
      <c r="C17" s="325">
        <v>24</v>
      </c>
      <c r="D17" s="3">
        <v>24</v>
      </c>
      <c r="E17" s="3">
        <v>24</v>
      </c>
      <c r="F17" s="3">
        <v>24</v>
      </c>
      <c r="G17" s="3">
        <v>24</v>
      </c>
      <c r="H17" s="3">
        <v>24</v>
      </c>
      <c r="I17" s="3">
        <v>24</v>
      </c>
      <c r="J17" s="3">
        <v>24</v>
      </c>
      <c r="K17" s="3">
        <v>24</v>
      </c>
      <c r="L17" s="3">
        <v>24</v>
      </c>
      <c r="M17" s="3">
        <v>24</v>
      </c>
      <c r="N17" s="3">
        <v>24</v>
      </c>
      <c r="O17" s="3">
        <v>24</v>
      </c>
      <c r="P17" s="3">
        <v>24</v>
      </c>
      <c r="Q17" s="3">
        <v>24</v>
      </c>
      <c r="R17" s="3">
        <v>24</v>
      </c>
      <c r="S17" s="3">
        <v>24</v>
      </c>
      <c r="T17" s="3">
        <v>24</v>
      </c>
      <c r="U17" s="3">
        <v>24</v>
      </c>
      <c r="V17" s="3">
        <v>24</v>
      </c>
      <c r="W17" s="3">
        <v>24</v>
      </c>
      <c r="X17" s="3">
        <v>24</v>
      </c>
      <c r="Y17" s="3">
        <v>24</v>
      </c>
      <c r="Z17" s="3">
        <v>24</v>
      </c>
      <c r="AA17" s="3">
        <v>24</v>
      </c>
      <c r="AB17" s="3">
        <v>24</v>
      </c>
      <c r="AC17" s="3">
        <v>24</v>
      </c>
      <c r="AD17" s="3">
        <v>24</v>
      </c>
      <c r="AE17" s="3">
        <v>24</v>
      </c>
      <c r="AF17" s="3">
        <v>24</v>
      </c>
      <c r="AG17" s="3"/>
      <c r="AH17" s="192"/>
      <c r="AI17">
        <v>24</v>
      </c>
      <c r="AK17" s="319"/>
    </row>
    <row r="18" spans="1:37" ht="30" customHeight="1" x14ac:dyDescent="0.2">
      <c r="A18" s="2" t="s">
        <v>66</v>
      </c>
      <c r="B18" s="36" t="s">
        <v>65</v>
      </c>
      <c r="C18" s="325">
        <f>C17</f>
        <v>24</v>
      </c>
      <c r="D18" s="325">
        <f t="shared" ref="D18:AF18" si="72">D17+C18</f>
        <v>48</v>
      </c>
      <c r="E18" s="325">
        <f t="shared" si="72"/>
        <v>72</v>
      </c>
      <c r="F18" s="325">
        <f t="shared" si="72"/>
        <v>96</v>
      </c>
      <c r="G18" s="325">
        <f t="shared" si="72"/>
        <v>120</v>
      </c>
      <c r="H18" s="325">
        <f t="shared" si="72"/>
        <v>144</v>
      </c>
      <c r="I18" s="325">
        <f t="shared" si="72"/>
        <v>168</v>
      </c>
      <c r="J18" s="325">
        <f t="shared" si="72"/>
        <v>192</v>
      </c>
      <c r="K18" s="325">
        <f t="shared" si="72"/>
        <v>216</v>
      </c>
      <c r="L18" s="325">
        <f t="shared" si="72"/>
        <v>240</v>
      </c>
      <c r="M18" s="325">
        <f t="shared" si="72"/>
        <v>264</v>
      </c>
      <c r="N18" s="325">
        <f t="shared" si="72"/>
        <v>288</v>
      </c>
      <c r="O18" s="325">
        <f t="shared" si="72"/>
        <v>312</v>
      </c>
      <c r="P18" s="325">
        <f t="shared" si="72"/>
        <v>336</v>
      </c>
      <c r="Q18" s="325">
        <f t="shared" si="72"/>
        <v>360</v>
      </c>
      <c r="R18" s="325">
        <f t="shared" si="72"/>
        <v>384</v>
      </c>
      <c r="S18" s="325">
        <f t="shared" si="72"/>
        <v>408</v>
      </c>
      <c r="T18" s="325">
        <f t="shared" si="72"/>
        <v>432</v>
      </c>
      <c r="U18" s="325">
        <f t="shared" si="72"/>
        <v>456</v>
      </c>
      <c r="V18" s="325">
        <f t="shared" si="72"/>
        <v>480</v>
      </c>
      <c r="W18" s="325">
        <f t="shared" si="72"/>
        <v>504</v>
      </c>
      <c r="X18" s="325">
        <f t="shared" si="72"/>
        <v>528</v>
      </c>
      <c r="Y18" s="325">
        <f t="shared" si="72"/>
        <v>552</v>
      </c>
      <c r="Z18" s="325">
        <f t="shared" si="72"/>
        <v>576</v>
      </c>
      <c r="AA18" s="325">
        <f t="shared" si="72"/>
        <v>600</v>
      </c>
      <c r="AB18" s="325">
        <f t="shared" si="72"/>
        <v>624</v>
      </c>
      <c r="AC18" s="325">
        <f t="shared" si="72"/>
        <v>648</v>
      </c>
      <c r="AD18" s="325">
        <f t="shared" si="72"/>
        <v>672</v>
      </c>
      <c r="AE18" s="325">
        <f t="shared" si="72"/>
        <v>696</v>
      </c>
      <c r="AF18" s="325">
        <f t="shared" si="72"/>
        <v>720</v>
      </c>
      <c r="AG18" s="325"/>
      <c r="AH18" s="192"/>
      <c r="AI18">
        <v>739.45299999999997</v>
      </c>
    </row>
    <row r="19" spans="1:37" ht="30" customHeight="1" x14ac:dyDescent="0.2">
      <c r="A19" s="2" t="s">
        <v>67</v>
      </c>
      <c r="B19" s="36" t="s">
        <v>65</v>
      </c>
      <c r="C19" s="266">
        <f t="shared" ref="C19:H19" si="73">1459.453+C18</f>
        <v>1483.453</v>
      </c>
      <c r="D19" s="266">
        <f t="shared" si="73"/>
        <v>1507.453</v>
      </c>
      <c r="E19" s="266">
        <f t="shared" si="73"/>
        <v>1531.453</v>
      </c>
      <c r="F19" s="266">
        <f t="shared" si="73"/>
        <v>1555.453</v>
      </c>
      <c r="G19" s="266">
        <f t="shared" si="73"/>
        <v>1579.453</v>
      </c>
      <c r="H19" s="266">
        <f t="shared" si="73"/>
        <v>1603.453</v>
      </c>
      <c r="I19" s="266">
        <f t="shared" ref="I19:J19" si="74">1459.453+I18</f>
        <v>1627.453</v>
      </c>
      <c r="J19" s="266">
        <f t="shared" si="74"/>
        <v>1651.453</v>
      </c>
      <c r="K19" s="266">
        <f t="shared" ref="K19:L19" si="75">1459.453+K18</f>
        <v>1675.453</v>
      </c>
      <c r="L19" s="266">
        <f t="shared" si="75"/>
        <v>1699.453</v>
      </c>
      <c r="M19" s="266">
        <f t="shared" ref="M19:N19" si="76">1459.453+M18</f>
        <v>1723.453</v>
      </c>
      <c r="N19" s="266">
        <f t="shared" si="76"/>
        <v>1747.453</v>
      </c>
      <c r="O19" s="266">
        <f t="shared" ref="O19:P19" si="77">1459.453+O18</f>
        <v>1771.453</v>
      </c>
      <c r="P19" s="266">
        <f t="shared" si="77"/>
        <v>1795.453</v>
      </c>
      <c r="Q19" s="266">
        <f t="shared" ref="Q19:R19" si="78">1459.453+Q18</f>
        <v>1819.453</v>
      </c>
      <c r="R19" s="266">
        <f t="shared" si="78"/>
        <v>1843.453</v>
      </c>
      <c r="S19" s="266">
        <f t="shared" ref="S19:T19" si="79">1459.453+S18</f>
        <v>1867.453</v>
      </c>
      <c r="T19" s="266">
        <f t="shared" si="79"/>
        <v>1891.453</v>
      </c>
      <c r="U19" s="266">
        <f t="shared" ref="U19:V19" si="80">1459.453+U18</f>
        <v>1915.453</v>
      </c>
      <c r="V19" s="266">
        <f t="shared" si="80"/>
        <v>1939.453</v>
      </c>
      <c r="W19" s="266">
        <f t="shared" ref="W19:X19" si="81">1459.453+W18</f>
        <v>1963.453</v>
      </c>
      <c r="X19" s="266">
        <f t="shared" si="81"/>
        <v>1987.453</v>
      </c>
      <c r="Y19" s="266">
        <f t="shared" ref="Y19:Z19" si="82">1459.453+Y18</f>
        <v>2011.453</v>
      </c>
      <c r="Z19" s="266">
        <f t="shared" si="82"/>
        <v>2035.453</v>
      </c>
      <c r="AA19" s="266">
        <f t="shared" ref="AA19:AB19" si="83">1459.453+AA18</f>
        <v>2059.453</v>
      </c>
      <c r="AB19" s="266">
        <f t="shared" si="83"/>
        <v>2083.453</v>
      </c>
      <c r="AC19" s="266">
        <f t="shared" ref="AC19:AD19" si="84">1459.453+AC18</f>
        <v>2107.453</v>
      </c>
      <c r="AD19" s="266">
        <f t="shared" si="84"/>
        <v>2131.453</v>
      </c>
      <c r="AE19" s="266">
        <f t="shared" ref="AE19:AF19" si="85">1459.453+AE18</f>
        <v>2155.453</v>
      </c>
      <c r="AF19" s="266">
        <f t="shared" si="85"/>
        <v>2179.453</v>
      </c>
      <c r="AG19" s="266"/>
      <c r="AH19" s="192"/>
      <c r="AI19">
        <v>1459.453</v>
      </c>
    </row>
    <row r="20" spans="1:37" ht="30" customHeight="1" x14ac:dyDescent="0.2">
      <c r="A20" s="10" t="s">
        <v>492</v>
      </c>
      <c r="B20" s="16"/>
      <c r="C20" s="465"/>
      <c r="D20" s="466"/>
      <c r="E20" s="466"/>
      <c r="F20" s="466"/>
      <c r="G20" s="466"/>
      <c r="H20" s="466"/>
      <c r="I20" s="466"/>
      <c r="J20" s="466"/>
      <c r="K20" s="466"/>
      <c r="L20" s="466"/>
      <c r="M20" s="466"/>
      <c r="N20" s="466"/>
      <c r="O20" s="466"/>
      <c r="P20" s="466"/>
      <c r="Q20" s="466"/>
      <c r="R20" s="466"/>
      <c r="S20" s="466"/>
      <c r="T20" s="466"/>
      <c r="U20" s="466"/>
      <c r="V20" s="466"/>
      <c r="W20" s="466"/>
      <c r="X20" s="466"/>
      <c r="Y20" s="466"/>
      <c r="Z20" s="466"/>
      <c r="AA20" s="466"/>
      <c r="AB20" s="466"/>
      <c r="AC20" s="466"/>
      <c r="AD20" s="466"/>
      <c r="AE20" s="466"/>
      <c r="AF20" s="466"/>
      <c r="AG20" s="466"/>
    </row>
    <row r="21" spans="1:37" ht="30" customHeight="1" x14ac:dyDescent="0.2">
      <c r="A21" s="2" t="s">
        <v>59</v>
      </c>
      <c r="B21" s="36" t="s">
        <v>13</v>
      </c>
      <c r="C21" s="3">
        <f>MIN(C25,(BOILERS!D56/6*100))</f>
        <v>100</v>
      </c>
      <c r="D21" s="3">
        <f>MIN(D25,(BOILERS!E56/6*100))</f>
        <v>100</v>
      </c>
      <c r="E21" s="3">
        <f>MIN(E25,(BOILERS!F56/6*100))</f>
        <v>100</v>
      </c>
      <c r="F21" s="3">
        <f>MIN(F25,(BOILERS!G56/6*100))</f>
        <v>100</v>
      </c>
      <c r="G21" s="3">
        <f>MIN(G25,(BOILERS!H56/6*100))</f>
        <v>100</v>
      </c>
      <c r="H21" s="3">
        <f>MIN(H25,(BOILERS!I56/6*100))</f>
        <v>100</v>
      </c>
      <c r="I21" s="3">
        <f>MIN(I25,(BOILERS!J56/6*100))</f>
        <v>100</v>
      </c>
      <c r="J21" s="3">
        <f>MIN(J25,(BOILERS!K56/6*100))</f>
        <v>100</v>
      </c>
      <c r="K21" s="3">
        <f>MIN(K25,(BOILERS!L56/6*100))</f>
        <v>100</v>
      </c>
      <c r="L21" s="3">
        <f>MIN(L25,(BOILERS!M56/6*100))</f>
        <v>100</v>
      </c>
      <c r="M21" s="3">
        <f>MIN(M25,(BOILERS!N56/6*100))</f>
        <v>100</v>
      </c>
      <c r="N21" s="3">
        <f>MIN(N25,(BOILERS!O56/6*100))</f>
        <v>100</v>
      </c>
      <c r="O21" s="3">
        <f>MIN(O25,(BOILERS!P56/6*100))</f>
        <v>100</v>
      </c>
      <c r="P21" s="3">
        <f>MIN(P25,(BOILERS!Q56/6*100))</f>
        <v>100</v>
      </c>
      <c r="Q21" s="3">
        <f>MIN(Q25,(BOILERS!R56/6*100))</f>
        <v>100</v>
      </c>
      <c r="R21" s="3">
        <f>MIN(R25,(BOILERS!S56/6*100))</f>
        <v>100</v>
      </c>
      <c r="S21" s="3">
        <f>MIN(S25,(BOILERS!T56/6*100))</f>
        <v>100</v>
      </c>
      <c r="T21" s="3">
        <f>MIN(T25,(BOILERS!U56/6*100))</f>
        <v>100</v>
      </c>
      <c r="U21" s="3">
        <f>MIN(U25,(BOILERS!V56/6*100))</f>
        <v>100</v>
      </c>
      <c r="V21" s="3">
        <f>MIN(V25,(BOILERS!W56/6*100))</f>
        <v>100</v>
      </c>
      <c r="W21" s="3">
        <f>MIN(W25,(BOILERS!X56/6*100))</f>
        <v>100</v>
      </c>
      <c r="X21" s="3">
        <f>MIN(X25,(BOILERS!Y56/6*100))</f>
        <v>100</v>
      </c>
      <c r="Y21" s="3">
        <f>MIN(Y25,(BOILERS!Z56/6*100))</f>
        <v>100</v>
      </c>
      <c r="Z21" s="3">
        <f>MIN(Z25,(BOILERS!AA56/6*100))</f>
        <v>100</v>
      </c>
      <c r="AA21" s="3">
        <f>MIN(AA25,(BOILERS!AB56/6*100))</f>
        <v>100</v>
      </c>
      <c r="AB21" s="3">
        <f>MIN(AB25,(BOILERS!AC56/6*100))</f>
        <v>70.833333333333343</v>
      </c>
      <c r="AC21" s="3">
        <f>MIN(AC25,(BOILERS!AD56/6*100))</f>
        <v>66.666666666666657</v>
      </c>
      <c r="AD21" s="3">
        <f>MIN(AD25,(BOILERS!AE56/6*100))</f>
        <v>66.666666666666657</v>
      </c>
      <c r="AE21" s="3">
        <f>MIN(AE25,(BOILERS!AF56/6*100))</f>
        <v>88.777777777777771</v>
      </c>
      <c r="AF21" s="3">
        <f>MIN(AF25,(BOILERS!AG56/6*100))</f>
        <v>100</v>
      </c>
      <c r="AG21" s="3"/>
      <c r="AH21" s="192"/>
      <c r="AI21">
        <v>100</v>
      </c>
    </row>
    <row r="22" spans="1:37" ht="30" customHeight="1" x14ac:dyDescent="0.2">
      <c r="A22" s="2" t="s">
        <v>60</v>
      </c>
      <c r="B22" s="36" t="s">
        <v>13</v>
      </c>
      <c r="C22" s="3">
        <f>C21</f>
        <v>100</v>
      </c>
      <c r="D22" s="3">
        <f>AVERAGE($C21:D21)</f>
        <v>100</v>
      </c>
      <c r="E22" s="3">
        <f>AVERAGE($C21:E21)</f>
        <v>100</v>
      </c>
      <c r="F22" s="3">
        <f>AVERAGE($C21:F21)</f>
        <v>100</v>
      </c>
      <c r="G22" s="3">
        <f>AVERAGE($C21:G21)</f>
        <v>100</v>
      </c>
      <c r="H22" s="3">
        <f>AVERAGE($C21:H21)</f>
        <v>100</v>
      </c>
      <c r="I22" s="3">
        <f>AVERAGE($C21:I21)</f>
        <v>100</v>
      </c>
      <c r="J22" s="3">
        <f>AVERAGE($C21:J21)</f>
        <v>100</v>
      </c>
      <c r="K22" s="3">
        <f>AVERAGE($C21:K21)</f>
        <v>100</v>
      </c>
      <c r="L22" s="3">
        <f>AVERAGE($C21:L21)</f>
        <v>100</v>
      </c>
      <c r="M22" s="3">
        <f>AVERAGE($C21:M21)</f>
        <v>100</v>
      </c>
      <c r="N22" s="3">
        <f>AVERAGE($C21:N21)</f>
        <v>100</v>
      </c>
      <c r="O22" s="3">
        <f>AVERAGE($C21:O21)</f>
        <v>100</v>
      </c>
      <c r="P22" s="3">
        <f>AVERAGE($C21:P21)</f>
        <v>100</v>
      </c>
      <c r="Q22" s="3">
        <f>AVERAGE($C21:Q21)</f>
        <v>100</v>
      </c>
      <c r="R22" s="3">
        <f>AVERAGE($C21:R21)</f>
        <v>100</v>
      </c>
      <c r="S22" s="3">
        <f>AVERAGE($C21:S21)</f>
        <v>100</v>
      </c>
      <c r="T22" s="3">
        <f>AVERAGE($C21:T21)</f>
        <v>100</v>
      </c>
      <c r="U22" s="3">
        <f>AVERAGE($C21:U21)</f>
        <v>100</v>
      </c>
      <c r="V22" s="3">
        <f>AVERAGE($C21:V21)</f>
        <v>100</v>
      </c>
      <c r="W22" s="3">
        <f>AVERAGE($C21:W21)</f>
        <v>100</v>
      </c>
      <c r="X22" s="3">
        <f>AVERAGE($C21:X21)</f>
        <v>100</v>
      </c>
      <c r="Y22" s="3">
        <f>AVERAGE($C21:Y21)</f>
        <v>100</v>
      </c>
      <c r="Z22" s="3">
        <f>AVERAGE($C21:Z21)</f>
        <v>100</v>
      </c>
      <c r="AA22" s="3">
        <f>AVERAGE($C21:AA21)</f>
        <v>100</v>
      </c>
      <c r="AB22" s="3">
        <f>AVERAGE($C21:AB21)</f>
        <v>98.878205128205138</v>
      </c>
      <c r="AC22" s="3">
        <f>AVERAGE($C21:AC21)</f>
        <v>97.68518518518519</v>
      </c>
      <c r="AD22" s="3">
        <f>AVERAGE($C21:AD21)</f>
        <v>96.577380952380949</v>
      </c>
      <c r="AE22" s="3">
        <f>AVERAGE($C21:AE21)</f>
        <v>96.308429118773944</v>
      </c>
      <c r="AF22" s="3">
        <f>AVERAGE($C21:AF21)</f>
        <v>96.431481481481484</v>
      </c>
      <c r="AG22" s="3"/>
      <c r="AH22" s="192"/>
      <c r="AI22">
        <v>99.349686379928315</v>
      </c>
    </row>
    <row r="23" spans="1:37" ht="30" customHeight="1" x14ac:dyDescent="0.2">
      <c r="A23" s="2" t="s">
        <v>8</v>
      </c>
      <c r="B23" s="36" t="s">
        <v>13</v>
      </c>
      <c r="C23" s="3">
        <f t="shared" ref="C23:H23" si="86">((100*30+99.349*31+C2*C22))/(C2+30+31)</f>
        <v>99.674499999999995</v>
      </c>
      <c r="D23" s="3">
        <f t="shared" si="86"/>
        <v>99.679666666666662</v>
      </c>
      <c r="E23" s="3">
        <f t="shared" si="86"/>
        <v>99.684671874999992</v>
      </c>
      <c r="F23" s="3">
        <f t="shared" si="86"/>
        <v>99.689523076923066</v>
      </c>
      <c r="G23" s="3">
        <f t="shared" si="86"/>
        <v>99.694227272727261</v>
      </c>
      <c r="H23" s="3">
        <f t="shared" si="86"/>
        <v>99.698791044776115</v>
      </c>
      <c r="I23" s="3">
        <f t="shared" ref="I23:J23" si="87">((100*30+99.349*31+I2*I22))/(I2+30+31)</f>
        <v>99.703220588235283</v>
      </c>
      <c r="J23" s="3">
        <f t="shared" si="87"/>
        <v>99.707521739130428</v>
      </c>
      <c r="K23" s="3">
        <f t="shared" ref="K23:L23" si="88">((100*30+99.349*31+K2*K22))/(K2+30+31)</f>
        <v>99.711699999999993</v>
      </c>
      <c r="L23" s="3">
        <f t="shared" si="88"/>
        <v>99.715760563380272</v>
      </c>
      <c r="M23" s="3">
        <f t="shared" ref="M23:N23" si="89">((100*30+99.349*31+M2*M22))/(M2+30+31)</f>
        <v>99.71970833333333</v>
      </c>
      <c r="N23" s="3">
        <f t="shared" si="89"/>
        <v>99.723547945205468</v>
      </c>
      <c r="O23" s="3">
        <f t="shared" ref="O23:P23" si="90">((100*30+99.349*31+O2*O22))/(O2+30+31)</f>
        <v>99.727283783783776</v>
      </c>
      <c r="P23" s="3">
        <f t="shared" si="90"/>
        <v>99.730919999999998</v>
      </c>
      <c r="Q23" s="3">
        <f t="shared" ref="Q23:R23" si="91">((100*30+99.349*31+Q2*Q22))/(Q2+30+31)</f>
        <v>99.734460526315786</v>
      </c>
      <c r="R23" s="3">
        <f t="shared" si="91"/>
        <v>99.737909090909085</v>
      </c>
      <c r="S23" s="3">
        <f t="shared" ref="S23:T23" si="92">((100*30+99.349*31+S2*S22))/(S2+30+31)</f>
        <v>99.74126923076922</v>
      </c>
      <c r="T23" s="3">
        <f t="shared" si="92"/>
        <v>99.744544303797468</v>
      </c>
      <c r="U23" s="3">
        <f t="shared" ref="U23:V23" si="93">((100*30+99.349*31+U2*U22))/(U2+30+31)</f>
        <v>99.747737499999999</v>
      </c>
      <c r="V23" s="3">
        <f t="shared" si="93"/>
        <v>99.750851851851849</v>
      </c>
      <c r="W23" s="3">
        <f t="shared" ref="W23:X23" si="94">((100*30+99.349*31+W2*W22))/(W2+30+31)</f>
        <v>99.753890243902433</v>
      </c>
      <c r="X23" s="3">
        <f t="shared" si="94"/>
        <v>99.756855421686737</v>
      </c>
      <c r="Y23" s="3">
        <f t="shared" ref="Y23:Z23" si="95">((100*30+99.349*31+Y2*Y22))/(Y2+30+31)</f>
        <v>99.759749999999997</v>
      </c>
      <c r="Z23" s="3">
        <f t="shared" si="95"/>
        <v>99.762576470588229</v>
      </c>
      <c r="AA23" s="3">
        <f t="shared" ref="AA23:AB23" si="96">((100*30+99.349*31+AA2*AA22))/(AA2+30+31)</f>
        <v>99.765337209302317</v>
      </c>
      <c r="AB23" s="3">
        <f t="shared" si="96"/>
        <v>99.432785440613031</v>
      </c>
      <c r="AC23" s="3">
        <f t="shared" ref="AC23:AD23" si="97">((100*30+99.349*31+AC2*AC22))/(AC2+30+31)</f>
        <v>99.060443181818172</v>
      </c>
      <c r="AD23" s="3">
        <f t="shared" si="97"/>
        <v>98.696468164793998</v>
      </c>
      <c r="AE23" s="3">
        <f t="shared" ref="AE23:AF23" si="98">((100*30+99.349*31+AE2*AE22))/(AE2+30+31)</f>
        <v>98.586260493827169</v>
      </c>
      <c r="AF23" s="3">
        <f t="shared" si="98"/>
        <v>98.601796092796093</v>
      </c>
      <c r="AG23" s="3"/>
      <c r="AH23" s="192"/>
      <c r="AI23">
        <v>99.669512750455368</v>
      </c>
    </row>
    <row r="24" spans="1:37" ht="30" customHeight="1" x14ac:dyDescent="0.2">
      <c r="A24" s="10" t="s">
        <v>68</v>
      </c>
      <c r="B24" s="16"/>
      <c r="C24" s="465"/>
      <c r="D24" s="466"/>
      <c r="E24" s="466"/>
      <c r="F24" s="466"/>
      <c r="G24" s="466"/>
      <c r="H24" s="466"/>
      <c r="I24" s="466"/>
      <c r="J24" s="466"/>
      <c r="K24" s="466"/>
      <c r="L24" s="466"/>
      <c r="M24" s="466"/>
      <c r="N24" s="466"/>
      <c r="O24" s="466"/>
      <c r="P24" s="466"/>
      <c r="Q24" s="466"/>
      <c r="R24" s="466"/>
      <c r="S24" s="466"/>
      <c r="T24" s="466"/>
      <c r="U24" s="466"/>
      <c r="V24" s="466"/>
      <c r="W24" s="466"/>
      <c r="X24" s="466"/>
      <c r="Y24" s="466"/>
      <c r="Z24" s="466"/>
      <c r="AA24" s="466"/>
      <c r="AB24" s="466"/>
      <c r="AC24" s="466"/>
      <c r="AD24" s="466"/>
      <c r="AE24" s="466"/>
      <c r="AF24" s="466"/>
      <c r="AG24" s="466"/>
    </row>
    <row r="25" spans="1:37" ht="30" customHeight="1" x14ac:dyDescent="0.2">
      <c r="A25" s="2" t="s">
        <v>59</v>
      </c>
      <c r="B25" s="36" t="s">
        <v>13</v>
      </c>
      <c r="C25" s="267">
        <f t="shared" ref="C25:D25" si="99">C17*42/(24*42)%</f>
        <v>100</v>
      </c>
      <c r="D25" s="267">
        <f t="shared" si="99"/>
        <v>100</v>
      </c>
      <c r="E25" s="267">
        <f t="shared" ref="E25:F25" si="100">E17*42/(24*42)%</f>
        <v>100</v>
      </c>
      <c r="F25" s="267">
        <f t="shared" si="100"/>
        <v>100</v>
      </c>
      <c r="G25" s="267">
        <f t="shared" ref="G25:H25" si="101">G17*42/(24*42)%</f>
        <v>100</v>
      </c>
      <c r="H25" s="267">
        <f t="shared" si="101"/>
        <v>100</v>
      </c>
      <c r="I25" s="267">
        <f t="shared" ref="I25:J25" si="102">I17*42/(24*42)%</f>
        <v>100</v>
      </c>
      <c r="J25" s="267">
        <f t="shared" si="102"/>
        <v>100</v>
      </c>
      <c r="K25" s="267">
        <f t="shared" ref="K25:L25" si="103">K17*42/(24*42)%</f>
        <v>100</v>
      </c>
      <c r="L25" s="267">
        <f t="shared" si="103"/>
        <v>100</v>
      </c>
      <c r="M25" s="267">
        <f t="shared" ref="M25:N25" si="104">M17*42/(24*42)%</f>
        <v>100</v>
      </c>
      <c r="N25" s="267">
        <f t="shared" si="104"/>
        <v>100</v>
      </c>
      <c r="O25" s="267">
        <f t="shared" ref="O25:P25" si="105">O17*42/(24*42)%</f>
        <v>100</v>
      </c>
      <c r="P25" s="267">
        <f t="shared" si="105"/>
        <v>100</v>
      </c>
      <c r="Q25" s="267">
        <f t="shared" ref="Q25:R25" si="106">Q17*42/(24*42)%</f>
        <v>100</v>
      </c>
      <c r="R25" s="267">
        <f t="shared" si="106"/>
        <v>100</v>
      </c>
      <c r="S25" s="267">
        <f t="shared" ref="S25:T25" si="107">S17*42/(24*42)%</f>
        <v>100</v>
      </c>
      <c r="T25" s="267">
        <f t="shared" si="107"/>
        <v>100</v>
      </c>
      <c r="U25" s="267">
        <f t="shared" ref="U25:V25" si="108">U17*42/(24*42)%</f>
        <v>100</v>
      </c>
      <c r="V25" s="267">
        <f t="shared" si="108"/>
        <v>100</v>
      </c>
      <c r="W25" s="267">
        <f t="shared" ref="W25:X25" si="109">W17*42/(24*42)%</f>
        <v>100</v>
      </c>
      <c r="X25" s="267">
        <f t="shared" si="109"/>
        <v>100</v>
      </c>
      <c r="Y25" s="267">
        <f t="shared" ref="Y25:Z25" si="110">Y17*42/(24*42)%</f>
        <v>100</v>
      </c>
      <c r="Z25" s="267">
        <f t="shared" si="110"/>
        <v>100</v>
      </c>
      <c r="AA25" s="267">
        <f t="shared" ref="AA25:AB25" si="111">AA17*42/(24*42)%</f>
        <v>100</v>
      </c>
      <c r="AB25" s="267">
        <f t="shared" si="111"/>
        <v>100</v>
      </c>
      <c r="AC25" s="267">
        <f t="shared" ref="AC25:AD25" si="112">AC17*42/(24*42)%</f>
        <v>100</v>
      </c>
      <c r="AD25" s="267">
        <f t="shared" si="112"/>
        <v>100</v>
      </c>
      <c r="AE25" s="267">
        <f t="shared" ref="AE25:AF25" si="113">AE17*42/(24*42)%</f>
        <v>100</v>
      </c>
      <c r="AF25" s="267">
        <f t="shared" si="113"/>
        <v>100</v>
      </c>
      <c r="AG25" s="267"/>
      <c r="AH25" s="192"/>
      <c r="AI25">
        <v>100</v>
      </c>
    </row>
    <row r="26" spans="1:37" ht="30" customHeight="1" x14ac:dyDescent="0.2">
      <c r="A26" s="2" t="s">
        <v>60</v>
      </c>
      <c r="B26" s="36" t="s">
        <v>13</v>
      </c>
      <c r="C26" s="267">
        <f t="shared" ref="C26" si="114">C25</f>
        <v>100</v>
      </c>
      <c r="D26" s="267">
        <f>AVERAGE($C25:D25)</f>
        <v>100</v>
      </c>
      <c r="E26" s="267">
        <f>AVERAGE($C25:E25)</f>
        <v>100</v>
      </c>
      <c r="F26" s="267">
        <f>AVERAGE($C25:F25)</f>
        <v>100</v>
      </c>
      <c r="G26" s="267">
        <f>AVERAGE($C25:G25)</f>
        <v>100</v>
      </c>
      <c r="H26" s="267">
        <f>AVERAGE($C25:H25)</f>
        <v>100</v>
      </c>
      <c r="I26" s="267">
        <f>AVERAGE($C25:I25)</f>
        <v>100</v>
      </c>
      <c r="J26" s="267">
        <f>AVERAGE($C25:J25)</f>
        <v>100</v>
      </c>
      <c r="K26" s="267">
        <f>AVERAGE($C25:K25)</f>
        <v>100</v>
      </c>
      <c r="L26" s="267">
        <f>AVERAGE($C25:L25)</f>
        <v>100</v>
      </c>
      <c r="M26" s="267">
        <f>AVERAGE($C25:M25)</f>
        <v>100</v>
      </c>
      <c r="N26" s="267">
        <f>AVERAGE($C25:N25)</f>
        <v>100</v>
      </c>
      <c r="O26" s="267">
        <f>AVERAGE($C25:O25)</f>
        <v>100</v>
      </c>
      <c r="P26" s="267">
        <f>AVERAGE($C25:P25)</f>
        <v>100</v>
      </c>
      <c r="Q26" s="267">
        <f>AVERAGE($C25:Q25)</f>
        <v>100</v>
      </c>
      <c r="R26" s="267">
        <f>AVERAGE($C25:R25)</f>
        <v>100</v>
      </c>
      <c r="S26" s="267">
        <f>AVERAGE($C25:S25)</f>
        <v>100</v>
      </c>
      <c r="T26" s="267">
        <f>AVERAGE($C25:T25)</f>
        <v>100</v>
      </c>
      <c r="U26" s="267">
        <f>AVERAGE($C25:U25)</f>
        <v>100</v>
      </c>
      <c r="V26" s="267">
        <f>AVERAGE($C25:V25)</f>
        <v>100</v>
      </c>
      <c r="W26" s="267">
        <f>AVERAGE($C25:W25)</f>
        <v>100</v>
      </c>
      <c r="X26" s="267">
        <f>AVERAGE($C25:X25)</f>
        <v>100</v>
      </c>
      <c r="Y26" s="267">
        <f>AVERAGE($C25:Y25)</f>
        <v>100</v>
      </c>
      <c r="Z26" s="267">
        <f>AVERAGE($C25:Z25)</f>
        <v>100</v>
      </c>
      <c r="AA26" s="267">
        <f>AVERAGE($C25:AA25)</f>
        <v>100</v>
      </c>
      <c r="AB26" s="267">
        <f>AVERAGE($C25:AB25)</f>
        <v>100</v>
      </c>
      <c r="AC26" s="267">
        <f>AVERAGE($C25:AC25)</f>
        <v>100</v>
      </c>
      <c r="AD26" s="267">
        <f>AVERAGE($C25:AD25)</f>
        <v>100</v>
      </c>
      <c r="AE26" s="267">
        <f>AVERAGE($C25:AE25)</f>
        <v>100</v>
      </c>
      <c r="AF26" s="267">
        <f>AVERAGE($C25:AF25)</f>
        <v>100</v>
      </c>
      <c r="AG26" s="267"/>
      <c r="AH26" s="192"/>
      <c r="AI26">
        <v>99.388844086021507</v>
      </c>
    </row>
    <row r="27" spans="1:37" ht="30" customHeight="1" x14ac:dyDescent="0.2">
      <c r="A27" s="2" t="s">
        <v>8</v>
      </c>
      <c r="B27" s="36" t="s">
        <v>13</v>
      </c>
      <c r="C27" s="267">
        <f t="shared" ref="C27:H27" si="115">(100*30+99.38*31+C2*C26)/(C2+30+31)</f>
        <v>99.69</v>
      </c>
      <c r="D27" s="267">
        <f t="shared" si="115"/>
        <v>99.694920634920635</v>
      </c>
      <c r="E27" s="267">
        <f t="shared" si="115"/>
        <v>99.699687499999996</v>
      </c>
      <c r="F27" s="267">
        <f t="shared" si="115"/>
        <v>99.704307692307694</v>
      </c>
      <c r="G27" s="267">
        <f t="shared" si="115"/>
        <v>99.708787878787874</v>
      </c>
      <c r="H27" s="267">
        <f t="shared" si="115"/>
        <v>99.713134328358208</v>
      </c>
      <c r="I27" s="267">
        <f t="shared" ref="I27:J27" si="116">(100*30+99.38*31+I2*I26)/(I2+30+31)</f>
        <v>99.717352941176472</v>
      </c>
      <c r="J27" s="267">
        <f t="shared" si="116"/>
        <v>99.721449275362318</v>
      </c>
      <c r="K27" s="267">
        <f t="shared" ref="K27:L27" si="117">(100*30+99.38*31+K2*K26)/(K2+30+31)</f>
        <v>99.725428571428566</v>
      </c>
      <c r="L27" s="267">
        <f t="shared" si="117"/>
        <v>99.729295774647881</v>
      </c>
      <c r="M27" s="267">
        <f t="shared" ref="M27:N27" si="118">(100*30+99.38*31+M2*M26)/(M2+30+31)</f>
        <v>99.733055555555552</v>
      </c>
      <c r="N27" s="267">
        <f t="shared" si="118"/>
        <v>99.736712328767126</v>
      </c>
      <c r="O27" s="267">
        <f t="shared" ref="O27:P27" si="119">(100*30+99.38*31+O2*O26)/(O2+30+31)</f>
        <v>99.740270270270273</v>
      </c>
      <c r="P27" s="267">
        <f t="shared" si="119"/>
        <v>99.743733333333324</v>
      </c>
      <c r="Q27" s="267">
        <f t="shared" ref="Q27:R27" si="120">(100*30+99.38*31+Q2*Q26)/(Q2+30+31)</f>
        <v>99.747105263157891</v>
      </c>
      <c r="R27" s="267">
        <f t="shared" si="120"/>
        <v>99.750389610389604</v>
      </c>
      <c r="S27" s="267">
        <f t="shared" ref="S27:T27" si="121">(100*30+99.38*31+S2*S26)/(S2+30+31)</f>
        <v>99.753589743589743</v>
      </c>
      <c r="T27" s="267">
        <f t="shared" si="121"/>
        <v>99.756708860759488</v>
      </c>
      <c r="U27" s="267">
        <f t="shared" ref="U27:V27" si="122">(100*30+99.38*31+U2*U26)/(U2+30+31)</f>
        <v>99.759749999999997</v>
      </c>
      <c r="V27" s="267">
        <f t="shared" si="122"/>
        <v>99.762716049382718</v>
      </c>
      <c r="W27" s="267">
        <f t="shared" ref="W27:X27" si="123">(100*30+99.38*31+W2*W26)/(W2+30+31)</f>
        <v>99.765609756097561</v>
      </c>
      <c r="X27" s="267">
        <f t="shared" si="123"/>
        <v>99.768433734939748</v>
      </c>
      <c r="Y27" s="267">
        <f t="shared" ref="Y27:Z27" si="124">(100*30+99.38*31+Y2*Y26)/(Y2+30+31)</f>
        <v>99.771190476190469</v>
      </c>
      <c r="Z27" s="267">
        <f t="shared" si="124"/>
        <v>99.773882352941158</v>
      </c>
      <c r="AA27" s="267">
        <f t="shared" ref="AA27:AB27" si="125">(100*30+99.38*31+AA2*AA26)/(AA2+30+31)</f>
        <v>99.77651162790697</v>
      </c>
      <c r="AB27" s="267">
        <f t="shared" si="125"/>
        <v>99.7790804597701</v>
      </c>
      <c r="AC27" s="267">
        <f t="shared" ref="AC27:AD27" si="126">(100*30+99.38*31+AC2*AC26)/(AC2+30+31)</f>
        <v>99.781590909090895</v>
      </c>
      <c r="AD27" s="267">
        <f t="shared" si="126"/>
        <v>99.784044943820206</v>
      </c>
      <c r="AE27" s="267">
        <f t="shared" ref="AE27:AF27" si="127">(100*30+99.38*31+AE2*AE26)/(AE2+30+31)</f>
        <v>99.786444444444427</v>
      </c>
      <c r="AF27" s="267">
        <f t="shared" si="127"/>
        <v>99.788791208791196</v>
      </c>
      <c r="AG27" s="267"/>
      <c r="AH27" s="192"/>
      <c r="AI27">
        <v>99.689412568306011</v>
      </c>
    </row>
    <row r="28" spans="1:37" ht="30" customHeight="1" x14ac:dyDescent="0.2">
      <c r="A28" s="4" t="s">
        <v>69</v>
      </c>
      <c r="B28" s="36" t="s">
        <v>70</v>
      </c>
      <c r="C28" s="214">
        <f>Totalizer!D29</f>
        <v>3850</v>
      </c>
      <c r="D28" s="214">
        <f>Totalizer!E29</f>
        <v>3840</v>
      </c>
      <c r="E28" s="214">
        <f>Totalizer!F29</f>
        <v>3888</v>
      </c>
      <c r="F28" s="214">
        <f>Totalizer!G29</f>
        <v>3948</v>
      </c>
      <c r="G28" s="214">
        <f>Totalizer!H29</f>
        <v>3914</v>
      </c>
      <c r="H28" s="214">
        <f>Totalizer!I29</f>
        <v>3864</v>
      </c>
      <c r="I28" s="214">
        <f>Totalizer!J29</f>
        <v>3950</v>
      </c>
      <c r="J28" s="214">
        <f>Totalizer!K29</f>
        <v>3912</v>
      </c>
      <c r="K28" s="214">
        <f>Totalizer!L29</f>
        <v>3966</v>
      </c>
      <c r="L28" s="214">
        <f>Totalizer!M29</f>
        <v>3982</v>
      </c>
      <c r="M28" s="214">
        <f>Totalizer!N29</f>
        <v>3918</v>
      </c>
      <c r="N28" s="214">
        <f>Totalizer!O29</f>
        <v>4006</v>
      </c>
      <c r="O28" s="214">
        <f>Totalizer!P29</f>
        <v>3888</v>
      </c>
      <c r="P28" s="214">
        <f>Totalizer!Q29</f>
        <v>3830</v>
      </c>
      <c r="Q28" s="214">
        <f>Totalizer!R29</f>
        <v>3834</v>
      </c>
      <c r="R28" s="214">
        <f>Totalizer!S29</f>
        <v>3852</v>
      </c>
      <c r="S28" s="214">
        <f>Totalizer!T29</f>
        <v>3878</v>
      </c>
      <c r="T28" s="214">
        <f>Totalizer!U29</f>
        <v>3922</v>
      </c>
      <c r="U28" s="214">
        <f>Totalizer!V29</f>
        <v>3844</v>
      </c>
      <c r="V28" s="214">
        <f>Totalizer!W29</f>
        <v>3824</v>
      </c>
      <c r="W28" s="214">
        <f>Totalizer!X29</f>
        <v>3806</v>
      </c>
      <c r="X28" s="214">
        <f>Totalizer!Y29</f>
        <v>3912</v>
      </c>
      <c r="Y28" s="214">
        <f>Totalizer!Z29</f>
        <v>4004</v>
      </c>
      <c r="Z28" s="214">
        <f>Totalizer!AA29</f>
        <v>3994</v>
      </c>
      <c r="AA28" s="214">
        <f>Totalizer!AB29</f>
        <v>4022</v>
      </c>
      <c r="AB28" s="214">
        <f>Totalizer!AC29</f>
        <v>3794</v>
      </c>
      <c r="AC28" s="214">
        <f>Totalizer!AD29</f>
        <v>3682</v>
      </c>
      <c r="AD28" s="214">
        <f>Totalizer!AE29</f>
        <v>3618</v>
      </c>
      <c r="AE28" s="214">
        <f>Totalizer!AF29</f>
        <v>3848</v>
      </c>
      <c r="AF28" s="214">
        <f>Totalizer!AG29</f>
        <v>4062</v>
      </c>
      <c r="AG28" s="214"/>
      <c r="AH28" s="192"/>
      <c r="AI28">
        <v>3890</v>
      </c>
    </row>
    <row r="29" spans="1:37" ht="30" customHeight="1" x14ac:dyDescent="0.2">
      <c r="A29" s="4" t="s">
        <v>71</v>
      </c>
      <c r="B29" s="36" t="s">
        <v>72</v>
      </c>
      <c r="C29" s="3">
        <f t="shared" ref="C29:D29" si="128">C28/(C6*1000)</f>
        <v>3.8724782364164914</v>
      </c>
      <c r="D29" s="3">
        <f t="shared" si="128"/>
        <v>3.9500019635831274</v>
      </c>
      <c r="E29" s="3">
        <f t="shared" ref="E29:F29" si="129">E28/(E6*1000)</f>
        <v>3.8268789332628099</v>
      </c>
      <c r="F29" s="3">
        <f t="shared" si="129"/>
        <v>3.8073971970067242</v>
      </c>
      <c r="G29" s="3">
        <f t="shared" ref="G29:H29" si="130">G28/(G6*1000)</f>
        <v>3.7736590450600072</v>
      </c>
      <c r="H29" s="3">
        <f t="shared" si="130"/>
        <v>3.8592759124457268</v>
      </c>
      <c r="I29" s="3">
        <f t="shared" ref="I29:J29" si="131">I28/(I6*1000)</f>
        <v>3.7509695471580478</v>
      </c>
      <c r="J29" s="3">
        <f t="shared" si="131"/>
        <v>3.778288875553415</v>
      </c>
      <c r="K29" s="3">
        <f t="shared" ref="K29:L29" si="132">K28/(K6*1000)</f>
        <v>3.7552207671034457</v>
      </c>
      <c r="L29" s="3">
        <f t="shared" si="132"/>
        <v>3.7669007842429081</v>
      </c>
      <c r="M29" s="3">
        <f t="shared" ref="M29:N29" si="133">M28/(M6*1000)</f>
        <v>3.8575698761658055</v>
      </c>
      <c r="N29" s="3">
        <f t="shared" si="133"/>
        <v>3.9159717773162113</v>
      </c>
      <c r="O29" s="3">
        <f t="shared" ref="O29:P29" si="134">O28/(O6*1000)</f>
        <v>3.8543423568626918</v>
      </c>
      <c r="P29" s="3">
        <f t="shared" si="134"/>
        <v>3.9103835859162941</v>
      </c>
      <c r="Q29" s="3">
        <f t="shared" ref="Q29:R29" si="135">Q28/(Q6*1000)</f>
        <v>3.9166247072800511</v>
      </c>
      <c r="R29" s="3">
        <f t="shared" si="135"/>
        <v>3.892163730324226</v>
      </c>
      <c r="S29" s="3">
        <f t="shared" ref="S29:T29" si="136">S28/(S6*1000)</f>
        <v>3.8378049709928481</v>
      </c>
      <c r="T29" s="3">
        <f t="shared" si="136"/>
        <v>3.8496123873232286</v>
      </c>
      <c r="U29" s="3">
        <f t="shared" ref="U29:V29" si="137">U28/(U6*1000)</f>
        <v>3.9601653385014992</v>
      </c>
      <c r="V29" s="3">
        <f t="shared" si="137"/>
        <v>3.9650880227114853</v>
      </c>
      <c r="W29" s="3">
        <f t="shared" ref="W29:X29" si="138">W28/(W6*1000)</f>
        <v>4.0357320206768792</v>
      </c>
      <c r="X29" s="3">
        <f t="shared" si="138"/>
        <v>3.8203735149598499</v>
      </c>
      <c r="Y29" s="3">
        <f t="shared" ref="Y29:Z29" si="139">Y28/(Y6*1000)</f>
        <v>3.8110311653561806</v>
      </c>
      <c r="Z29" s="3">
        <f t="shared" si="139"/>
        <v>3.719302498279665</v>
      </c>
      <c r="AA29" s="3">
        <f t="shared" ref="AA29:AB29" si="140">AA28/(AA6*1000)</f>
        <v>3.7629602159938682</v>
      </c>
      <c r="AB29" s="3">
        <f t="shared" si="140"/>
        <v>4.0596657186476302</v>
      </c>
      <c r="AC29" s="3">
        <f t="shared" ref="AC29:AD29" si="141">AC28/(AC6*1000)</f>
        <v>4.1388641420643264</v>
      </c>
      <c r="AD29" s="3">
        <f t="shared" si="141"/>
        <v>4.1002764887380891</v>
      </c>
      <c r="AE29" s="3">
        <f t="shared" ref="AE29:AF29" si="142">AE28/(AE6*1000)</f>
        <v>3.9512524897800976</v>
      </c>
      <c r="AF29" s="3">
        <f t="shared" si="142"/>
        <v>3.7650127945271508</v>
      </c>
      <c r="AG29" s="3"/>
      <c r="AH29" s="192"/>
      <c r="AI29">
        <v>3.8460491616607726</v>
      </c>
    </row>
    <row r="30" spans="1:37" s="55" customFormat="1" ht="9.75" customHeight="1" x14ac:dyDescent="0.2">
      <c r="A30" s="484"/>
      <c r="B30" s="484"/>
      <c r="C30" s="485"/>
      <c r="D30" s="485"/>
      <c r="E30" s="485"/>
      <c r="F30" s="485"/>
      <c r="G30" s="485"/>
      <c r="H30" s="485"/>
      <c r="I30" s="485"/>
      <c r="J30" s="485"/>
      <c r="K30" s="485"/>
      <c r="L30" s="485"/>
      <c r="M30" s="485"/>
      <c r="N30" s="485"/>
      <c r="O30" s="485"/>
      <c r="P30" s="485"/>
      <c r="Q30" s="485"/>
      <c r="R30" s="485"/>
      <c r="S30" s="485"/>
      <c r="T30" s="485"/>
      <c r="U30" s="485"/>
      <c r="V30" s="485"/>
      <c r="W30" s="485"/>
      <c r="X30" s="485"/>
      <c r="Y30" s="485"/>
      <c r="Z30" s="485"/>
      <c r="AA30" s="485"/>
      <c r="AB30" s="485"/>
      <c r="AC30" s="485"/>
      <c r="AD30" s="485"/>
      <c r="AE30" s="485"/>
      <c r="AF30" s="485"/>
    </row>
    <row r="31" spans="1:37" ht="30" customHeight="1" x14ac:dyDescent="0.2">
      <c r="A31" s="482" t="s">
        <v>73</v>
      </c>
      <c r="B31" s="483"/>
      <c r="C31" s="486"/>
      <c r="D31" s="487"/>
      <c r="E31" s="487"/>
      <c r="F31" s="487"/>
      <c r="G31" s="487"/>
      <c r="H31" s="487"/>
      <c r="I31" s="487"/>
      <c r="J31" s="487"/>
      <c r="K31" s="487"/>
      <c r="L31" s="487"/>
      <c r="M31" s="487"/>
      <c r="N31" s="487"/>
      <c r="O31" s="487"/>
      <c r="P31" s="487"/>
      <c r="Q31" s="487"/>
      <c r="R31" s="487"/>
      <c r="S31" s="487"/>
      <c r="T31" s="487"/>
      <c r="U31" s="487"/>
      <c r="V31" s="487"/>
      <c r="W31" s="487"/>
      <c r="X31" s="487"/>
      <c r="Y31" s="487"/>
      <c r="Z31" s="487"/>
      <c r="AA31" s="487"/>
      <c r="AB31" s="487"/>
      <c r="AC31" s="487"/>
      <c r="AD31" s="487"/>
      <c r="AE31" s="487"/>
      <c r="AF31" s="487"/>
      <c r="AG31" s="487"/>
    </row>
    <row r="32" spans="1:37" ht="30" customHeight="1" x14ac:dyDescent="0.2">
      <c r="A32" s="14" t="s">
        <v>3</v>
      </c>
      <c r="B32" s="326"/>
      <c r="C32" s="488" t="s">
        <v>504</v>
      </c>
      <c r="D32" s="489"/>
      <c r="E32" s="489"/>
      <c r="F32" s="489"/>
      <c r="G32" s="489"/>
      <c r="H32" s="489"/>
      <c r="I32" s="489"/>
      <c r="J32" s="489"/>
      <c r="K32" s="489"/>
      <c r="L32" s="489"/>
      <c r="M32" s="489"/>
      <c r="N32" s="489"/>
      <c r="O32" s="489"/>
      <c r="P32" s="489"/>
      <c r="Q32" s="489"/>
      <c r="R32" s="489"/>
      <c r="S32" s="489"/>
      <c r="T32" s="489"/>
      <c r="U32" s="489"/>
      <c r="V32" s="489"/>
      <c r="W32" s="489"/>
      <c r="X32" s="489"/>
      <c r="Y32" s="489"/>
      <c r="Z32" s="489"/>
      <c r="AA32" s="489"/>
      <c r="AB32" s="489"/>
      <c r="AC32" s="489"/>
      <c r="AD32" s="489"/>
      <c r="AE32" s="489"/>
      <c r="AF32" s="489"/>
      <c r="AG32" s="489"/>
    </row>
    <row r="33" spans="1:35" ht="30" customHeight="1" x14ac:dyDescent="0.2">
      <c r="A33" s="12" t="s">
        <v>58</v>
      </c>
      <c r="B33" s="37" t="s">
        <v>5</v>
      </c>
      <c r="C33" s="316">
        <v>0.95402587668593453</v>
      </c>
      <c r="D33" s="316">
        <v>0.95108311853867078</v>
      </c>
      <c r="E33" s="316">
        <v>0.97088402484004521</v>
      </c>
      <c r="F33" s="316">
        <v>1.0269102145522386</v>
      </c>
      <c r="G33" s="316">
        <v>1.0321644788774202</v>
      </c>
      <c r="H33" s="316">
        <v>1.0132387755406413</v>
      </c>
      <c r="I33" s="316">
        <v>1.0500523227917122</v>
      </c>
      <c r="J33" s="316">
        <v>1.0303729121447025</v>
      </c>
      <c r="K33" s="316">
        <v>1.0591414280549529</v>
      </c>
      <c r="L33" s="318">
        <v>1.0651183799283155</v>
      </c>
      <c r="M33" s="318">
        <v>1.0276969084162979</v>
      </c>
      <c r="N33" s="318">
        <v>1.0822210291244572</v>
      </c>
      <c r="O33" s="318">
        <v>1.0187795312500001</v>
      </c>
      <c r="P33" s="318">
        <v>0.99446569520547945</v>
      </c>
      <c r="Q33" s="318">
        <v>0.98492195715378739</v>
      </c>
      <c r="R33" s="318">
        <v>0.99468937983320704</v>
      </c>
      <c r="S33" s="318">
        <v>1.00546614082397</v>
      </c>
      <c r="T33" s="318">
        <v>1.032842506476684</v>
      </c>
      <c r="U33" s="318">
        <v>0.9877133730842913</v>
      </c>
      <c r="V33" s="318">
        <v>0.95337831254871397</v>
      </c>
      <c r="W33" s="318">
        <v>0.95209535237534348</v>
      </c>
      <c r="X33" s="318">
        <v>1.0159524014760148</v>
      </c>
      <c r="Y33" s="318">
        <v>1.0556468522238163</v>
      </c>
      <c r="Z33" s="318">
        <v>1.074858995233051</v>
      </c>
      <c r="AA33" s="318">
        <v>1.0879257801268498</v>
      </c>
      <c r="AB33" s="318">
        <v>0.92552529411764706</v>
      </c>
      <c r="AC33" s="318">
        <v>0.91278838954195385</v>
      </c>
      <c r="AD33" s="318">
        <v>0.94454716799999983</v>
      </c>
      <c r="AE33" s="318">
        <v>1.004959991719985</v>
      </c>
      <c r="AF33" s="318">
        <v>1.094953507853403</v>
      </c>
      <c r="AG33" s="318"/>
      <c r="AH33" s="192"/>
      <c r="AI33">
        <v>0.93408897911832967</v>
      </c>
    </row>
    <row r="34" spans="1:35" ht="30" customHeight="1" x14ac:dyDescent="0.2">
      <c r="A34" s="12" t="s">
        <v>59</v>
      </c>
      <c r="B34" s="37" t="s">
        <v>5</v>
      </c>
      <c r="C34" s="13">
        <v>0.95</v>
      </c>
      <c r="D34" s="13">
        <v>0.94799999999999995</v>
      </c>
      <c r="E34" s="13">
        <v>0.96899999999999997</v>
      </c>
      <c r="F34" s="13">
        <v>1.0249999999999999</v>
      </c>
      <c r="G34" s="13">
        <v>1.0269999999999999</v>
      </c>
      <c r="H34" s="13">
        <v>1.012</v>
      </c>
      <c r="I34" s="13">
        <v>1.0469999999999999</v>
      </c>
      <c r="J34" s="13">
        <v>1.0269999999999999</v>
      </c>
      <c r="K34" s="13">
        <v>1.0549999999999999</v>
      </c>
      <c r="L34" s="13">
        <v>1.0629999999999999</v>
      </c>
      <c r="M34" s="13">
        <v>1.0249999999999999</v>
      </c>
      <c r="N34" s="318">
        <v>1.0780000000000001</v>
      </c>
      <c r="O34" s="13">
        <v>1.014</v>
      </c>
      <c r="P34" s="13">
        <v>0.99299999999999999</v>
      </c>
      <c r="Q34" s="13">
        <v>0.98199999999999998</v>
      </c>
      <c r="R34" s="13">
        <v>0.99299999999999999</v>
      </c>
      <c r="S34" s="13">
        <v>1.004</v>
      </c>
      <c r="T34" s="13">
        <v>1.03</v>
      </c>
      <c r="U34" s="13">
        <v>0.98499999999999999</v>
      </c>
      <c r="V34" s="13">
        <v>0.95</v>
      </c>
      <c r="W34" s="13">
        <v>0.95</v>
      </c>
      <c r="X34" s="13">
        <v>1.012</v>
      </c>
      <c r="Y34" s="13">
        <v>1.0529999999999999</v>
      </c>
      <c r="Z34" s="13">
        <v>1.073</v>
      </c>
      <c r="AA34" s="13">
        <v>1.083</v>
      </c>
      <c r="AB34" s="13">
        <v>0.92200000000000004</v>
      </c>
      <c r="AC34" s="13">
        <v>0.90600000000000003</v>
      </c>
      <c r="AD34" s="13">
        <v>0.94199999999999995</v>
      </c>
      <c r="AE34" s="13">
        <v>1.002</v>
      </c>
      <c r="AF34" s="13">
        <v>1.0900000000000001</v>
      </c>
      <c r="AG34" s="13"/>
      <c r="AH34" s="192"/>
      <c r="AI34">
        <v>0.93</v>
      </c>
    </row>
    <row r="35" spans="1:35" ht="30" customHeight="1" x14ac:dyDescent="0.2">
      <c r="A35" s="12" t="s">
        <v>60</v>
      </c>
      <c r="B35" s="37" t="s">
        <v>5</v>
      </c>
      <c r="C35" s="13">
        <f>C33</f>
        <v>0.95402587668593453</v>
      </c>
      <c r="D35" s="13">
        <f>D33+C35</f>
        <v>1.9051089952246052</v>
      </c>
      <c r="E35" s="13">
        <f t="shared" ref="E35:AF35" si="143">E33+D35</f>
        <v>2.8759930200646506</v>
      </c>
      <c r="F35" s="13">
        <f t="shared" si="143"/>
        <v>3.9029032346168893</v>
      </c>
      <c r="G35" s="13">
        <f t="shared" si="143"/>
        <v>4.9350677134943091</v>
      </c>
      <c r="H35" s="13">
        <f t="shared" si="143"/>
        <v>5.94830648903495</v>
      </c>
      <c r="I35" s="13">
        <f t="shared" si="143"/>
        <v>6.9983588118266624</v>
      </c>
      <c r="J35" s="13">
        <f t="shared" si="143"/>
        <v>8.0287317239713651</v>
      </c>
      <c r="K35" s="13">
        <f t="shared" si="143"/>
        <v>9.0878731520263187</v>
      </c>
      <c r="L35" s="13">
        <f t="shared" si="143"/>
        <v>10.152991531954633</v>
      </c>
      <c r="M35" s="13">
        <f t="shared" si="143"/>
        <v>11.180688440370931</v>
      </c>
      <c r="N35" s="13">
        <f t="shared" si="143"/>
        <v>12.262909469495387</v>
      </c>
      <c r="O35" s="13">
        <f t="shared" si="143"/>
        <v>13.281689000745388</v>
      </c>
      <c r="P35" s="13">
        <f t="shared" si="143"/>
        <v>14.276154695950867</v>
      </c>
      <c r="Q35" s="13">
        <f t="shared" si="143"/>
        <v>15.261076653104654</v>
      </c>
      <c r="R35" s="13">
        <f t="shared" si="143"/>
        <v>16.25576603293786</v>
      </c>
      <c r="S35" s="13">
        <f t="shared" si="143"/>
        <v>17.26123217376183</v>
      </c>
      <c r="T35" s="13">
        <f t="shared" si="143"/>
        <v>18.294074680238513</v>
      </c>
      <c r="U35" s="13">
        <f t="shared" si="143"/>
        <v>19.281788053322803</v>
      </c>
      <c r="V35" s="13">
        <f t="shared" si="143"/>
        <v>20.235166365871518</v>
      </c>
      <c r="W35" s="13">
        <f t="shared" si="143"/>
        <v>21.187261718246862</v>
      </c>
      <c r="X35" s="13">
        <f t="shared" si="143"/>
        <v>22.203214119722876</v>
      </c>
      <c r="Y35" s="13">
        <f t="shared" si="143"/>
        <v>23.258860971946692</v>
      </c>
      <c r="Z35" s="13">
        <f t="shared" si="143"/>
        <v>24.333719967179743</v>
      </c>
      <c r="AA35" s="13">
        <f t="shared" si="143"/>
        <v>25.421645747306592</v>
      </c>
      <c r="AB35" s="13">
        <f t="shared" si="143"/>
        <v>26.347171041424239</v>
      </c>
      <c r="AC35" s="13">
        <f t="shared" si="143"/>
        <v>27.259959430966195</v>
      </c>
      <c r="AD35" s="13">
        <f t="shared" si="143"/>
        <v>28.204506598966194</v>
      </c>
      <c r="AE35" s="13">
        <f t="shared" si="143"/>
        <v>29.20946659068618</v>
      </c>
      <c r="AF35" s="13">
        <f t="shared" si="143"/>
        <v>30.304420098539584</v>
      </c>
      <c r="AG35" s="13"/>
      <c r="AH35" s="192"/>
      <c r="AI35">
        <v>29.907397219285599</v>
      </c>
    </row>
    <row r="36" spans="1:35" ht="30" customHeight="1" x14ac:dyDescent="0.2">
      <c r="A36" s="12" t="s">
        <v>8</v>
      </c>
      <c r="B36" s="37" t="s">
        <v>5</v>
      </c>
      <c r="C36" s="327">
        <f t="shared" ref="C36:H36" si="144">60.9513972192856+C35</f>
        <v>61.905423095971535</v>
      </c>
      <c r="D36" s="327">
        <f t="shared" si="144"/>
        <v>62.856506214510205</v>
      </c>
      <c r="E36" s="327">
        <f t="shared" si="144"/>
        <v>63.827390239350251</v>
      </c>
      <c r="F36" s="327">
        <f t="shared" si="144"/>
        <v>64.854300453902496</v>
      </c>
      <c r="G36" s="327">
        <f t="shared" si="144"/>
        <v>65.886464932779916</v>
      </c>
      <c r="H36" s="327">
        <f t="shared" si="144"/>
        <v>66.899703708320558</v>
      </c>
      <c r="I36" s="327">
        <f t="shared" ref="I36:J36" si="145">60.9513972192856+I35</f>
        <v>67.949756031112258</v>
      </c>
      <c r="J36" s="327">
        <f t="shared" si="145"/>
        <v>68.980128943256972</v>
      </c>
      <c r="K36" s="327">
        <f t="shared" ref="K36:L36" si="146">60.9513972192856+K35</f>
        <v>70.039270371311915</v>
      </c>
      <c r="L36" s="327">
        <f t="shared" si="146"/>
        <v>71.104388751240236</v>
      </c>
      <c r="M36" s="327">
        <f t="shared" ref="M36:N36" si="147">60.9513972192856+M35</f>
        <v>72.132085659656539</v>
      </c>
      <c r="N36" s="327">
        <f t="shared" si="147"/>
        <v>73.214306688780994</v>
      </c>
      <c r="O36" s="327">
        <f t="shared" ref="O36:P36" si="148">60.9513972192856+O35</f>
        <v>74.233086220030998</v>
      </c>
      <c r="P36" s="327">
        <f t="shared" si="148"/>
        <v>75.227551915236475</v>
      </c>
      <c r="Q36" s="327">
        <f t="shared" ref="Q36:R36" si="149">60.9513972192856+Q35</f>
        <v>76.212473872390262</v>
      </c>
      <c r="R36" s="327">
        <f t="shared" si="149"/>
        <v>77.207163252223467</v>
      </c>
      <c r="S36" s="327">
        <f t="shared" ref="S36:T36" si="150">60.9513972192856+S35</f>
        <v>78.212629393047436</v>
      </c>
      <c r="T36" s="327">
        <f t="shared" si="150"/>
        <v>79.245471899524119</v>
      </c>
      <c r="U36" s="327">
        <f t="shared" ref="U36:V36" si="151">60.9513972192856+U35</f>
        <v>80.233185272608409</v>
      </c>
      <c r="V36" s="327">
        <f t="shared" si="151"/>
        <v>81.186563585157117</v>
      </c>
      <c r="W36" s="327">
        <f t="shared" ref="W36:X36" si="152">60.9513972192856+W35</f>
        <v>82.138658937532469</v>
      </c>
      <c r="X36" s="327">
        <f t="shared" si="152"/>
        <v>83.154611339008483</v>
      </c>
      <c r="Y36" s="327">
        <f t="shared" ref="Y36:Z36" si="153">60.9513972192856+Y35</f>
        <v>84.210258191232299</v>
      </c>
      <c r="Z36" s="327">
        <f t="shared" si="153"/>
        <v>85.285117186465342</v>
      </c>
      <c r="AA36" s="327">
        <f t="shared" ref="AA36:AB36" si="154">60.9513972192856+AA35</f>
        <v>86.373042966592195</v>
      </c>
      <c r="AB36" s="327">
        <f t="shared" si="154"/>
        <v>87.298568260709843</v>
      </c>
      <c r="AC36" s="327">
        <f t="shared" ref="AC36:AD36" si="155">60.9513972192856+AC35</f>
        <v>88.211356650251801</v>
      </c>
      <c r="AD36" s="327">
        <f t="shared" si="155"/>
        <v>89.155903818251801</v>
      </c>
      <c r="AE36" s="327">
        <f t="shared" ref="AE36:AF36" si="156">60.9513972192856+AE35</f>
        <v>90.160863809971787</v>
      </c>
      <c r="AF36" s="327">
        <f t="shared" si="156"/>
        <v>91.255817317825191</v>
      </c>
      <c r="AG36" s="327"/>
      <c r="AH36" s="192"/>
      <c r="AI36">
        <v>60.951397219285603</v>
      </c>
    </row>
    <row r="37" spans="1:35" ht="30" customHeight="1" x14ac:dyDescent="0.2">
      <c r="A37" s="12" t="s">
        <v>61</v>
      </c>
      <c r="B37" s="37" t="s">
        <v>10</v>
      </c>
      <c r="C37" s="328">
        <v>40</v>
      </c>
      <c r="D37" s="328">
        <v>40.5</v>
      </c>
      <c r="E37" s="328">
        <v>41</v>
      </c>
      <c r="F37" s="328">
        <v>44</v>
      </c>
      <c r="G37" s="328">
        <v>44</v>
      </c>
      <c r="H37" s="328">
        <v>44</v>
      </c>
      <c r="I37" s="328">
        <v>45</v>
      </c>
      <c r="J37" s="328">
        <v>43.5</v>
      </c>
      <c r="K37" s="328">
        <v>45</v>
      </c>
      <c r="L37" s="328">
        <v>46</v>
      </c>
      <c r="M37" s="328">
        <v>44</v>
      </c>
      <c r="N37" s="328">
        <v>46</v>
      </c>
      <c r="O37" s="328">
        <v>45</v>
      </c>
      <c r="P37" s="328">
        <v>43</v>
      </c>
      <c r="Q37" s="328">
        <v>42</v>
      </c>
      <c r="R37" s="328">
        <v>43.5</v>
      </c>
      <c r="S37" s="328">
        <v>42.5</v>
      </c>
      <c r="T37" s="328">
        <v>43</v>
      </c>
      <c r="U37" s="328">
        <v>44</v>
      </c>
      <c r="V37" s="328">
        <v>41</v>
      </c>
      <c r="W37" s="328">
        <v>41</v>
      </c>
      <c r="X37" s="328">
        <v>43.5</v>
      </c>
      <c r="Y37" s="328">
        <v>45</v>
      </c>
      <c r="Z37" s="328">
        <v>45</v>
      </c>
      <c r="AA37" s="328">
        <v>46</v>
      </c>
      <c r="AB37" s="328">
        <v>42</v>
      </c>
      <c r="AC37" s="328">
        <v>39.5</v>
      </c>
      <c r="AD37" s="328">
        <v>41</v>
      </c>
      <c r="AE37" s="328">
        <v>47</v>
      </c>
      <c r="AF37" s="328">
        <v>47</v>
      </c>
      <c r="AG37" s="328"/>
      <c r="AH37" s="192"/>
      <c r="AI37">
        <v>41</v>
      </c>
    </row>
    <row r="38" spans="1:35" ht="30" customHeight="1" x14ac:dyDescent="0.2">
      <c r="A38" s="12" t="s">
        <v>62</v>
      </c>
      <c r="B38" s="37" t="s">
        <v>10</v>
      </c>
      <c r="C38" s="328">
        <v>40</v>
      </c>
      <c r="D38" s="328">
        <v>39</v>
      </c>
      <c r="E38" s="328">
        <v>40</v>
      </c>
      <c r="F38" s="328">
        <v>41</v>
      </c>
      <c r="G38" s="328">
        <v>42</v>
      </c>
      <c r="H38" s="328">
        <v>42</v>
      </c>
      <c r="I38" s="328">
        <v>43</v>
      </c>
      <c r="J38" s="328">
        <v>42</v>
      </c>
      <c r="K38" s="328">
        <v>43</v>
      </c>
      <c r="L38" s="328">
        <v>43</v>
      </c>
      <c r="M38" s="328">
        <v>42</v>
      </c>
      <c r="N38" s="328">
        <v>44</v>
      </c>
      <c r="O38" s="328">
        <v>41</v>
      </c>
      <c r="P38" s="328">
        <v>41</v>
      </c>
      <c r="Q38" s="328">
        <v>40.5</v>
      </c>
      <c r="R38" s="328">
        <v>41</v>
      </c>
      <c r="S38" s="328">
        <v>41</v>
      </c>
      <c r="T38" s="328">
        <v>42</v>
      </c>
      <c r="U38" s="328">
        <v>40</v>
      </c>
      <c r="V38" s="328">
        <v>38</v>
      </c>
      <c r="W38" s="328">
        <v>38</v>
      </c>
      <c r="X38" s="328">
        <v>41.5</v>
      </c>
      <c r="Y38" s="328">
        <v>42.5</v>
      </c>
      <c r="Z38" s="328">
        <v>44</v>
      </c>
      <c r="AA38" s="328">
        <v>44.5</v>
      </c>
      <c r="AB38" s="328">
        <v>37</v>
      </c>
      <c r="AC38" s="328">
        <v>37</v>
      </c>
      <c r="AD38" s="328">
        <v>37</v>
      </c>
      <c r="AE38" s="328">
        <v>37.5</v>
      </c>
      <c r="AF38" s="328">
        <v>45</v>
      </c>
      <c r="AG38" s="328"/>
      <c r="AH38" s="192"/>
      <c r="AI38">
        <v>38</v>
      </c>
    </row>
    <row r="39" spans="1:35" ht="30" customHeight="1" x14ac:dyDescent="0.2">
      <c r="A39" s="12" t="s">
        <v>63</v>
      </c>
      <c r="B39" s="37" t="s">
        <v>10</v>
      </c>
      <c r="C39" s="327">
        <f>C33*1000/24</f>
        <v>39.751078195247274</v>
      </c>
      <c r="D39" s="327">
        <f t="shared" ref="D39:J39" si="157">D33*1000/24</f>
        <v>39.628463272444613</v>
      </c>
      <c r="E39" s="327">
        <f t="shared" si="157"/>
        <v>40.453501035001885</v>
      </c>
      <c r="F39" s="327">
        <f t="shared" si="157"/>
        <v>42.787925606343272</v>
      </c>
      <c r="G39" s="327">
        <f t="shared" si="157"/>
        <v>43.006853286559171</v>
      </c>
      <c r="H39" s="327">
        <f t="shared" si="157"/>
        <v>42.218282314193388</v>
      </c>
      <c r="I39" s="327">
        <f t="shared" si="157"/>
        <v>43.752180116321341</v>
      </c>
      <c r="J39" s="327">
        <f t="shared" si="157"/>
        <v>42.932204672695939</v>
      </c>
      <c r="K39" s="327">
        <f t="shared" ref="K39:P39" si="158">K33*1000/24</f>
        <v>44.130892835623037</v>
      </c>
      <c r="L39" s="327">
        <f t="shared" si="158"/>
        <v>44.379932497013151</v>
      </c>
      <c r="M39" s="327">
        <f t="shared" si="158"/>
        <v>42.820704517345746</v>
      </c>
      <c r="N39" s="327">
        <f t="shared" si="158"/>
        <v>45.092542880185711</v>
      </c>
      <c r="O39" s="327">
        <f t="shared" si="158"/>
        <v>42.449147135416673</v>
      </c>
      <c r="P39" s="327">
        <f t="shared" si="158"/>
        <v>41.436070633561648</v>
      </c>
      <c r="Q39" s="327">
        <f t="shared" ref="Q39:R39" si="159">Q33*1000/24</f>
        <v>41.03841488140781</v>
      </c>
      <c r="R39" s="327">
        <f t="shared" si="159"/>
        <v>41.445390826383623</v>
      </c>
      <c r="S39" s="327">
        <f t="shared" ref="S39:T39" si="160">S33*1000/24</f>
        <v>41.894422534332087</v>
      </c>
      <c r="T39" s="327">
        <f t="shared" si="160"/>
        <v>43.035104436528492</v>
      </c>
      <c r="U39" s="327">
        <f t="shared" ref="U39:V39" si="161">U33*1000/24</f>
        <v>41.154723878512137</v>
      </c>
      <c r="V39" s="327">
        <f t="shared" si="161"/>
        <v>39.724096356196419</v>
      </c>
      <c r="W39" s="327">
        <f t="shared" ref="W39:X39" si="162">W33*1000/24</f>
        <v>39.670639682305982</v>
      </c>
      <c r="X39" s="327">
        <f t="shared" si="162"/>
        <v>42.331350061500622</v>
      </c>
      <c r="Y39" s="327">
        <f t="shared" ref="Y39:Z39" si="163">Y33*1000/24</f>
        <v>43.985285509325678</v>
      </c>
      <c r="Z39" s="327">
        <f t="shared" si="163"/>
        <v>44.78579146804379</v>
      </c>
      <c r="AA39" s="327">
        <f t="shared" ref="AA39:AC39" si="164">AA33*1000/24</f>
        <v>45.330240838618742</v>
      </c>
      <c r="AB39" s="327">
        <f t="shared" si="164"/>
        <v>38.563553921568626</v>
      </c>
      <c r="AC39" s="327">
        <f t="shared" si="164"/>
        <v>38.032849564248075</v>
      </c>
      <c r="AD39" s="327">
        <f t="shared" ref="AD39:AE39" si="165">AD33*1000/24</f>
        <v>39.356131999999995</v>
      </c>
      <c r="AE39" s="327">
        <f t="shared" si="165"/>
        <v>41.873332988332706</v>
      </c>
      <c r="AF39" s="327">
        <f t="shared" ref="AF39" si="166">AF33*1000/24</f>
        <v>45.62306282722512</v>
      </c>
      <c r="AG39" s="327"/>
      <c r="AH39" s="192"/>
      <c r="AI39">
        <v>38.75</v>
      </c>
    </row>
    <row r="40" spans="1:35" ht="30" customHeight="1" x14ac:dyDescent="0.2">
      <c r="A40" s="15" t="s">
        <v>12</v>
      </c>
      <c r="B40" s="326"/>
      <c r="C40" s="490" t="s">
        <v>516</v>
      </c>
      <c r="D40" s="491"/>
      <c r="E40" s="491"/>
      <c r="F40" s="491"/>
      <c r="G40" s="491"/>
      <c r="H40" s="491"/>
      <c r="I40" s="491"/>
      <c r="J40" s="491"/>
      <c r="K40" s="491"/>
      <c r="L40" s="491"/>
      <c r="M40" s="491"/>
      <c r="N40" s="491"/>
      <c r="O40" s="491"/>
      <c r="P40" s="491"/>
      <c r="Q40" s="491"/>
      <c r="R40" s="491"/>
      <c r="S40" s="491"/>
      <c r="T40" s="491"/>
      <c r="U40" s="491"/>
      <c r="V40" s="491"/>
      <c r="W40" s="491"/>
      <c r="X40" s="491"/>
      <c r="Y40" s="491"/>
      <c r="Z40" s="491"/>
      <c r="AA40" s="491"/>
      <c r="AB40" s="491"/>
      <c r="AC40" s="491"/>
      <c r="AD40" s="491"/>
      <c r="AE40" s="491"/>
      <c r="AF40" s="491"/>
      <c r="AG40" s="491"/>
    </row>
    <row r="41" spans="1:35" ht="30" customHeight="1" x14ac:dyDescent="0.2">
      <c r="A41" s="12" t="s">
        <v>59</v>
      </c>
      <c r="B41" s="37" t="s">
        <v>13</v>
      </c>
      <c r="C41" s="258">
        <f t="shared" ref="C41:H41" si="167">(C33*100000)/(42*24)</f>
        <v>94.645424274398266</v>
      </c>
      <c r="D41" s="258">
        <f t="shared" si="167"/>
        <v>94.353483982010999</v>
      </c>
      <c r="E41" s="258">
        <f t="shared" si="167"/>
        <v>96.317859607147341</v>
      </c>
      <c r="F41" s="258">
        <f t="shared" si="167"/>
        <v>101.87601334843637</v>
      </c>
      <c r="G41" s="258">
        <f t="shared" si="167"/>
        <v>102.3972697299028</v>
      </c>
      <c r="H41" s="258">
        <f t="shared" si="167"/>
        <v>100.51971979569855</v>
      </c>
      <c r="I41" s="258">
        <f t="shared" ref="I41:J41" si="168">(I33*100000)/(42*24)</f>
        <v>104.17185741981272</v>
      </c>
      <c r="J41" s="258">
        <f t="shared" si="168"/>
        <v>102.21953493499034</v>
      </c>
      <c r="K41" s="258">
        <f t="shared" ref="K41:L41" si="169">(K33*100000)/(42*24)</f>
        <v>105.07355437053106</v>
      </c>
      <c r="L41" s="258">
        <f t="shared" si="169"/>
        <v>105.66650594526941</v>
      </c>
      <c r="M41" s="258">
        <f t="shared" ref="M41:N41" si="170">(M33*100000)/(42*24)</f>
        <v>101.95405837463274</v>
      </c>
      <c r="N41" s="258">
        <f t="shared" si="170"/>
        <v>107.3631973337755</v>
      </c>
      <c r="O41" s="258">
        <f t="shared" ref="O41:P41" si="171">(O33*100000)/(42*24)</f>
        <v>101.06939794146827</v>
      </c>
      <c r="P41" s="258">
        <f t="shared" si="171"/>
        <v>98.657311032289627</v>
      </c>
      <c r="Q41" s="258">
        <f t="shared" ref="Q41:R41" si="172">(Q33*100000)/(42*24)</f>
        <v>97.710511622399537</v>
      </c>
      <c r="R41" s="258">
        <f t="shared" si="172"/>
        <v>98.679501967580066</v>
      </c>
      <c r="S41" s="258">
        <f t="shared" ref="S41:T41" si="173">(S33*100000)/(42*24)</f>
        <v>99.748625081743057</v>
      </c>
      <c r="T41" s="258">
        <f t="shared" si="173"/>
        <v>102.4645343726869</v>
      </c>
      <c r="U41" s="258">
        <f t="shared" ref="U41:V41" si="174">(U33*100000)/(42*24)</f>
        <v>97.987437805981273</v>
      </c>
      <c r="V41" s="258">
        <f t="shared" si="174"/>
        <v>94.581181800467661</v>
      </c>
      <c r="W41" s="258">
        <f t="shared" ref="W41:X41" si="175">(W33*100000)/(42*24)</f>
        <v>94.453904005490429</v>
      </c>
      <c r="X41" s="258">
        <f t="shared" si="175"/>
        <v>100.78892871785861</v>
      </c>
      <c r="Y41" s="258">
        <f t="shared" ref="Y41:Z41" si="176">(Y33*100000)/(42*24)</f>
        <v>104.72687026029924</v>
      </c>
      <c r="Z41" s="258">
        <f t="shared" si="176"/>
        <v>106.63283682867569</v>
      </c>
      <c r="AA41" s="258">
        <f t="shared" ref="AA41:AB41" si="177">(AA33*100000)/(42*24)</f>
        <v>107.92914485385415</v>
      </c>
      <c r="AB41" s="258">
        <f t="shared" si="177"/>
        <v>91.817985527544337</v>
      </c>
      <c r="AC41" s="258">
        <f t="shared" ref="AC41:AD41" si="178">(AC33*100000)/(42*24)</f>
        <v>90.554403724400174</v>
      </c>
      <c r="AD41" s="258">
        <f t="shared" si="178"/>
        <v>93.705076190476177</v>
      </c>
      <c r="AE41" s="258">
        <f t="shared" ref="AE41:AF41" si="179">(AE33*100000)/(42*24)</f>
        <v>99.698411876982632</v>
      </c>
      <c r="AF41" s="258">
        <f t="shared" si="179"/>
        <v>108.62634006482172</v>
      </c>
      <c r="AG41" s="258"/>
      <c r="AH41" s="192"/>
      <c r="AI41">
        <v>92.667557452215249</v>
      </c>
    </row>
    <row r="42" spans="1:35" ht="30" customHeight="1" x14ac:dyDescent="0.2">
      <c r="A42" s="12" t="s">
        <v>60</v>
      </c>
      <c r="B42" s="37" t="s">
        <v>13</v>
      </c>
      <c r="C42" s="258">
        <f>(C35*1000)/(42*24*C2)%</f>
        <v>94.645424274398266</v>
      </c>
      <c r="D42" s="258">
        <f t="shared" ref="D42:E42" si="180">(D35*1000)/(42*24*D2)%</f>
        <v>94.499454128204619</v>
      </c>
      <c r="E42" s="258">
        <f t="shared" si="180"/>
        <v>95.105589287852197</v>
      </c>
      <c r="F42" s="258">
        <f t="shared" ref="F42:G42" si="181">(F35*1000)/(42*24*F2)%</f>
        <v>96.798195302998238</v>
      </c>
      <c r="G42" s="258">
        <f t="shared" si="181"/>
        <v>97.918010188379142</v>
      </c>
      <c r="H42" s="258">
        <f t="shared" ref="H42:I42" si="182">(H35*1000)/(42*24*H2)%</f>
        <v>98.351628456265701</v>
      </c>
      <c r="I42" s="258">
        <f t="shared" si="182"/>
        <v>99.18308973677243</v>
      </c>
      <c r="J42" s="258">
        <f t="shared" ref="J42:K42" si="183">(J35*1000)/(42*24*J2)%</f>
        <v>99.562645386549661</v>
      </c>
      <c r="K42" s="258">
        <f t="shared" si="183"/>
        <v>100.17496860699205</v>
      </c>
      <c r="L42" s="258">
        <f t="shared" ref="L42:M42" si="184">(L35*1000)/(42*24*L2)%</f>
        <v>100.72412234081978</v>
      </c>
      <c r="M42" s="258">
        <f t="shared" si="184"/>
        <v>100.83593470753004</v>
      </c>
      <c r="N42" s="258">
        <f t="shared" ref="N42:O42" si="185">(N35*1000)/(42*24*N2)%</f>
        <v>101.37987325971716</v>
      </c>
      <c r="O42" s="258">
        <f t="shared" si="185"/>
        <v>101.35599054292879</v>
      </c>
      <c r="P42" s="258">
        <f t="shared" ref="P42:Q42" si="186">(P35*1000)/(42*24*P2)%</f>
        <v>101.16322772074027</v>
      </c>
      <c r="Q42" s="258">
        <f t="shared" si="186"/>
        <v>100.93304664751756</v>
      </c>
      <c r="R42" s="258">
        <f t="shared" ref="R42:S42" si="187">(R35*1000)/(42*24*R2)%</f>
        <v>100.79220010502145</v>
      </c>
      <c r="S42" s="258">
        <f t="shared" si="187"/>
        <v>100.73081333894625</v>
      </c>
      <c r="T42" s="258">
        <f t="shared" ref="T42:U42" si="188">(T35*1000)/(42*24*T2)%</f>
        <v>100.82713117415405</v>
      </c>
      <c r="U42" s="258">
        <f t="shared" si="188"/>
        <v>100.67767362846074</v>
      </c>
      <c r="V42" s="258">
        <f t="shared" ref="V42:W42" si="189">(V35*1000)/(42*24*V2)%</f>
        <v>100.3728490370611</v>
      </c>
      <c r="W42" s="258">
        <f t="shared" si="189"/>
        <v>100.09099451174822</v>
      </c>
      <c r="X42" s="258">
        <f t="shared" ref="X42:Y42" si="190">(X35*1000)/(42*24*X2)%</f>
        <v>100.12271879384414</v>
      </c>
      <c r="Y42" s="258">
        <f t="shared" si="190"/>
        <v>100.32289929238566</v>
      </c>
      <c r="Z42" s="258">
        <f t="shared" ref="Z42:AA42" si="191">(Z35*1000)/(42*24*Z2)%</f>
        <v>100.58581335639775</v>
      </c>
      <c r="AA42" s="258">
        <f t="shared" si="191"/>
        <v>100.879546616296</v>
      </c>
      <c r="AB42" s="258">
        <f t="shared" ref="AB42:AC42" si="192">(AB35*1000)/(42*24*AB2)%</f>
        <v>100.53102503595942</v>
      </c>
      <c r="AC42" s="258">
        <f t="shared" si="192"/>
        <v>100.16152054293869</v>
      </c>
      <c r="AD42" s="258">
        <f t="shared" ref="AD42:AE42" si="193">(AD35*1000)/(42*24*AD2)%</f>
        <v>99.930933244636449</v>
      </c>
      <c r="AE42" s="258">
        <f t="shared" si="193"/>
        <v>99.922915266441507</v>
      </c>
      <c r="AF42" s="258">
        <f t="shared" ref="AF42" si="194">(AF35*1000)/(42*24*AF2)%</f>
        <v>100.21302942638752</v>
      </c>
      <c r="AG42" s="258"/>
      <c r="AH42" s="192"/>
      <c r="AI42">
        <v>95.70979652869174</v>
      </c>
    </row>
    <row r="43" spans="1:35" ht="30" customHeight="1" x14ac:dyDescent="0.2">
      <c r="A43" s="12" t="s">
        <v>8</v>
      </c>
      <c r="B43" s="37" t="s">
        <v>13</v>
      </c>
      <c r="C43" s="258">
        <f t="shared" ref="C43:H43" si="195">(C36*10^3)/((24*(30+31+C2)*42)%)</f>
        <v>99.05501647460882</v>
      </c>
      <c r="D43" s="258">
        <f t="shared" si="195"/>
        <v>98.980388974726324</v>
      </c>
      <c r="E43" s="258">
        <f t="shared" si="195"/>
        <v>98.938786953357905</v>
      </c>
      <c r="F43" s="258">
        <f t="shared" si="195"/>
        <v>98.983975051743727</v>
      </c>
      <c r="G43" s="258">
        <f t="shared" si="195"/>
        <v>99.035691637776452</v>
      </c>
      <c r="H43" s="258">
        <f t="shared" si="195"/>
        <v>99.057841311775292</v>
      </c>
      <c r="I43" s="258">
        <f t="shared" ref="I43:J43" si="196">(I36*10^3)/((24*(30+31+I2)*42)%)</f>
        <v>99.133047431011121</v>
      </c>
      <c r="J43" s="258">
        <f t="shared" si="196"/>
        <v>99.177779133967363</v>
      </c>
      <c r="K43" s="258">
        <f t="shared" ref="K43:L43" si="197">(K36*10^3)/((24*(30+31+K2)*42)%)</f>
        <v>99.262004494489673</v>
      </c>
      <c r="L43" s="258">
        <f t="shared" si="197"/>
        <v>99.35220874027533</v>
      </c>
      <c r="M43" s="258">
        <f t="shared" ref="M43:N43" si="198">(M36*10^3)/((24*(30+31+M2)*42)%)</f>
        <v>99.38834554075251</v>
      </c>
      <c r="N43" s="258">
        <f t="shared" si="198"/>
        <v>99.497590085862413</v>
      </c>
      <c r="O43" s="258">
        <f t="shared" ref="O43:P43" si="199">(O36*10^3)/((24*(30+31+O2)*42)%)</f>
        <v>99.518830732559792</v>
      </c>
      <c r="P43" s="258">
        <f t="shared" si="199"/>
        <v>99.507343803222852</v>
      </c>
      <c r="Q43" s="258">
        <f t="shared" ref="Q43:R43" si="200">(Q36*10^3)/((24*(30+31+Q2)*42)%)</f>
        <v>99.483701274527789</v>
      </c>
      <c r="R43" s="258">
        <f t="shared" si="200"/>
        <v>99.473257127684334</v>
      </c>
      <c r="S43" s="258">
        <f t="shared" ref="S43:T43" si="201">(S36*10^3)/((24*(30+31+S2)*42)%)</f>
        <v>99.476787486069696</v>
      </c>
      <c r="T43" s="258">
        <f t="shared" si="201"/>
        <v>99.51460706691293</v>
      </c>
      <c r="U43" s="258">
        <f t="shared" ref="U43:V43" si="202">(U36*10^3)/((24*(30+31+U2)*42)%)</f>
        <v>99.495517451151301</v>
      </c>
      <c r="V43" s="258">
        <f t="shared" si="202"/>
        <v>99.434846640649013</v>
      </c>
      <c r="W43" s="258">
        <f t="shared" ref="W43:X43" si="203">(W36*10^3)/((24*(30+31+W2)*42)%)</f>
        <v>99.374103437781258</v>
      </c>
      <c r="X43" s="258">
        <f t="shared" si="203"/>
        <v>99.39114952549302</v>
      </c>
      <c r="Y43" s="258">
        <f t="shared" ref="Y43:Z43" si="204">(Y36*10^3)/((24*(30+31+Y2)*42)%)</f>
        <v>99.454670010431187</v>
      </c>
      <c r="Z43" s="258">
        <f t="shared" si="204"/>
        <v>99.53911903182231</v>
      </c>
      <c r="AA43" s="258">
        <f t="shared" ref="AA43:AB43" si="205">(AA36*10^3)/((24*(30+31+AA2)*42)%)</f>
        <v>99.636677471613368</v>
      </c>
      <c r="AB43" s="258">
        <f t="shared" si="205"/>
        <v>99.546807449267746</v>
      </c>
      <c r="AC43" s="258">
        <f t="shared" ref="AC43:AD43" si="206">(AC36*10^3)/((24*(30+31+AC2)*42)%)</f>
        <v>99.444621043303357</v>
      </c>
      <c r="AD43" s="258">
        <f t="shared" si="206"/>
        <v>99.380131775294046</v>
      </c>
      <c r="AE43" s="258">
        <f t="shared" ref="AE43:AF43" si="207">(AE36*10^3)/((24*(30+31+AE2)*42)%)</f>
        <v>99.383668220868373</v>
      </c>
      <c r="AF43" s="258">
        <f t="shared" si="207"/>
        <v>99.485236043329394</v>
      </c>
      <c r="AG43" s="258"/>
      <c r="AH43" s="192"/>
      <c r="AI43">
        <v>99.127304871333578</v>
      </c>
    </row>
    <row r="44" spans="1:35" ht="30" customHeight="1" x14ac:dyDescent="0.2">
      <c r="A44" s="12" t="s">
        <v>64</v>
      </c>
      <c r="B44" s="37" t="s">
        <v>65</v>
      </c>
      <c r="C44" s="329">
        <v>24</v>
      </c>
      <c r="D44" s="329">
        <v>24</v>
      </c>
      <c r="E44" s="329">
        <v>24</v>
      </c>
      <c r="F44" s="329">
        <v>24</v>
      </c>
      <c r="G44" s="329">
        <v>24</v>
      </c>
      <c r="H44" s="329">
        <v>24</v>
      </c>
      <c r="I44" s="329">
        <v>24</v>
      </c>
      <c r="J44" s="329">
        <v>24</v>
      </c>
      <c r="K44" s="329">
        <v>24</v>
      </c>
      <c r="L44" s="329">
        <v>24</v>
      </c>
      <c r="M44" s="329">
        <v>24</v>
      </c>
      <c r="N44" s="329">
        <v>24</v>
      </c>
      <c r="O44" s="329">
        <v>24</v>
      </c>
      <c r="P44" s="329">
        <v>24</v>
      </c>
      <c r="Q44" s="329">
        <v>24</v>
      </c>
      <c r="R44" s="329">
        <v>24</v>
      </c>
      <c r="S44" s="329">
        <v>24</v>
      </c>
      <c r="T44" s="329">
        <v>24</v>
      </c>
      <c r="U44" s="329">
        <v>24</v>
      </c>
      <c r="V44" s="329">
        <v>24</v>
      </c>
      <c r="W44" s="329">
        <v>24</v>
      </c>
      <c r="X44" s="329">
        <v>24</v>
      </c>
      <c r="Y44" s="329">
        <v>24</v>
      </c>
      <c r="Z44" s="329">
        <v>24</v>
      </c>
      <c r="AA44" s="329">
        <v>24</v>
      </c>
      <c r="AB44" s="329">
        <v>24</v>
      </c>
      <c r="AC44" s="329">
        <v>24</v>
      </c>
      <c r="AD44" s="329">
        <v>24</v>
      </c>
      <c r="AE44" s="329">
        <v>24</v>
      </c>
      <c r="AF44" s="329">
        <v>24</v>
      </c>
      <c r="AG44" s="329"/>
      <c r="AH44" s="192"/>
      <c r="AI44">
        <v>24</v>
      </c>
    </row>
    <row r="45" spans="1:35" ht="30" customHeight="1" x14ac:dyDescent="0.2">
      <c r="A45" s="12" t="s">
        <v>66</v>
      </c>
      <c r="B45" s="37" t="s">
        <v>65</v>
      </c>
      <c r="C45" s="329">
        <f>C44</f>
        <v>24</v>
      </c>
      <c r="D45" s="258">
        <f t="shared" ref="D45:AF45" si="208">D44+C45</f>
        <v>48</v>
      </c>
      <c r="E45" s="258">
        <f t="shared" si="208"/>
        <v>72</v>
      </c>
      <c r="F45" s="258">
        <f t="shared" si="208"/>
        <v>96</v>
      </c>
      <c r="G45" s="258">
        <f t="shared" si="208"/>
        <v>120</v>
      </c>
      <c r="H45" s="258">
        <f t="shared" si="208"/>
        <v>144</v>
      </c>
      <c r="I45" s="258">
        <f t="shared" si="208"/>
        <v>168</v>
      </c>
      <c r="J45" s="258">
        <f t="shared" si="208"/>
        <v>192</v>
      </c>
      <c r="K45" s="258">
        <f t="shared" si="208"/>
        <v>216</v>
      </c>
      <c r="L45" s="258">
        <f t="shared" si="208"/>
        <v>240</v>
      </c>
      <c r="M45" s="258">
        <f t="shared" si="208"/>
        <v>264</v>
      </c>
      <c r="N45" s="258">
        <f t="shared" si="208"/>
        <v>288</v>
      </c>
      <c r="O45" s="258">
        <f t="shared" si="208"/>
        <v>312</v>
      </c>
      <c r="P45" s="258">
        <f t="shared" si="208"/>
        <v>336</v>
      </c>
      <c r="Q45" s="258">
        <f t="shared" si="208"/>
        <v>360</v>
      </c>
      <c r="R45" s="258">
        <f t="shared" si="208"/>
        <v>384</v>
      </c>
      <c r="S45" s="258">
        <f t="shared" si="208"/>
        <v>408</v>
      </c>
      <c r="T45" s="258">
        <f t="shared" si="208"/>
        <v>432</v>
      </c>
      <c r="U45" s="258">
        <f t="shared" si="208"/>
        <v>456</v>
      </c>
      <c r="V45" s="258">
        <f t="shared" si="208"/>
        <v>480</v>
      </c>
      <c r="W45" s="258">
        <f t="shared" si="208"/>
        <v>504</v>
      </c>
      <c r="X45" s="258">
        <f t="shared" si="208"/>
        <v>528</v>
      </c>
      <c r="Y45" s="258">
        <f t="shared" si="208"/>
        <v>552</v>
      </c>
      <c r="Z45" s="258">
        <f t="shared" si="208"/>
        <v>576</v>
      </c>
      <c r="AA45" s="258">
        <f t="shared" si="208"/>
        <v>600</v>
      </c>
      <c r="AB45" s="258">
        <f t="shared" si="208"/>
        <v>624</v>
      </c>
      <c r="AC45" s="258">
        <f t="shared" si="208"/>
        <v>648</v>
      </c>
      <c r="AD45" s="258">
        <f t="shared" si="208"/>
        <v>672</v>
      </c>
      <c r="AE45" s="258">
        <f t="shared" si="208"/>
        <v>696</v>
      </c>
      <c r="AF45" s="258">
        <f t="shared" si="208"/>
        <v>720</v>
      </c>
      <c r="AG45" s="258"/>
      <c r="AH45" s="192"/>
      <c r="AI45">
        <v>722.25333333333333</v>
      </c>
    </row>
    <row r="46" spans="1:35" ht="30" customHeight="1" x14ac:dyDescent="0.2">
      <c r="A46" s="12" t="s">
        <v>67</v>
      </c>
      <c r="B46" s="37" t="s">
        <v>65</v>
      </c>
      <c r="C46" s="13">
        <f t="shared" ref="C46:H46" si="209">1442.25333333333+C45</f>
        <v>1466.2533333333299</v>
      </c>
      <c r="D46" s="13">
        <f t="shared" si="209"/>
        <v>1490.2533333333299</v>
      </c>
      <c r="E46" s="13">
        <f t="shared" si="209"/>
        <v>1514.2533333333299</v>
      </c>
      <c r="F46" s="13">
        <f t="shared" si="209"/>
        <v>1538.2533333333299</v>
      </c>
      <c r="G46" s="13">
        <f t="shared" si="209"/>
        <v>1562.2533333333299</v>
      </c>
      <c r="H46" s="13">
        <f t="shared" si="209"/>
        <v>1586.2533333333299</v>
      </c>
      <c r="I46" s="13">
        <f t="shared" ref="I46:J46" si="210">1442.25333333333+I45</f>
        <v>1610.2533333333299</v>
      </c>
      <c r="J46" s="13">
        <f t="shared" si="210"/>
        <v>1634.2533333333299</v>
      </c>
      <c r="K46" s="13">
        <f t="shared" ref="K46:L46" si="211">1442.25333333333+K45</f>
        <v>1658.2533333333299</v>
      </c>
      <c r="L46" s="13">
        <f t="shared" si="211"/>
        <v>1682.2533333333299</v>
      </c>
      <c r="M46" s="13">
        <f t="shared" ref="M46:N46" si="212">1442.25333333333+M45</f>
        <v>1706.2533333333299</v>
      </c>
      <c r="N46" s="13">
        <f t="shared" si="212"/>
        <v>1730.2533333333299</v>
      </c>
      <c r="O46" s="13">
        <f t="shared" ref="O46:P46" si="213">1442.25333333333+O45</f>
        <v>1754.2533333333299</v>
      </c>
      <c r="P46" s="13">
        <f t="shared" si="213"/>
        <v>1778.2533333333299</v>
      </c>
      <c r="Q46" s="13">
        <f t="shared" ref="Q46:R46" si="214">1442.25333333333+Q45</f>
        <v>1802.2533333333299</v>
      </c>
      <c r="R46" s="13">
        <f t="shared" si="214"/>
        <v>1826.2533333333299</v>
      </c>
      <c r="S46" s="13">
        <f t="shared" ref="S46:T46" si="215">1442.25333333333+S45</f>
        <v>1850.2533333333299</v>
      </c>
      <c r="T46" s="13">
        <f t="shared" si="215"/>
        <v>1874.2533333333299</v>
      </c>
      <c r="U46" s="13">
        <f t="shared" ref="U46:V46" si="216">1442.25333333333+U45</f>
        <v>1898.2533333333299</v>
      </c>
      <c r="V46" s="13">
        <f t="shared" si="216"/>
        <v>1922.2533333333299</v>
      </c>
      <c r="W46" s="13">
        <f t="shared" ref="W46:X46" si="217">1442.25333333333+W45</f>
        <v>1946.2533333333299</v>
      </c>
      <c r="X46" s="13">
        <f t="shared" si="217"/>
        <v>1970.2533333333299</v>
      </c>
      <c r="Y46" s="13">
        <f t="shared" ref="Y46:Z46" si="218">1442.25333333333+Y45</f>
        <v>1994.2533333333299</v>
      </c>
      <c r="Z46" s="13">
        <f t="shared" si="218"/>
        <v>2018.2533333333299</v>
      </c>
      <c r="AA46" s="13">
        <f t="shared" ref="AA46:AB46" si="219">1442.25333333333+AA45</f>
        <v>2042.2533333333299</v>
      </c>
      <c r="AB46" s="13">
        <f t="shared" si="219"/>
        <v>2066.2533333333299</v>
      </c>
      <c r="AC46" s="13">
        <f t="shared" ref="AC46:AD46" si="220">1442.25333333333+AC45</f>
        <v>2090.2533333333299</v>
      </c>
      <c r="AD46" s="13">
        <f t="shared" si="220"/>
        <v>2114.2533333333299</v>
      </c>
      <c r="AE46" s="13">
        <f t="shared" ref="AE46:AF46" si="221">1442.25333333333+AE45</f>
        <v>2138.2533333333299</v>
      </c>
      <c r="AF46" s="13">
        <f t="shared" si="221"/>
        <v>2162.2533333333299</v>
      </c>
      <c r="AG46" s="258"/>
      <c r="AH46" s="192"/>
      <c r="AI46">
        <v>1442.2533333333299</v>
      </c>
    </row>
    <row r="47" spans="1:35" ht="30" customHeight="1" x14ac:dyDescent="0.2">
      <c r="A47" s="15" t="s">
        <v>492</v>
      </c>
      <c r="B47" s="15"/>
      <c r="C47" s="492" t="s">
        <v>499</v>
      </c>
      <c r="D47" s="493"/>
      <c r="E47" s="493"/>
      <c r="F47" s="493"/>
      <c r="G47" s="493"/>
      <c r="H47" s="493"/>
      <c r="I47" s="493"/>
      <c r="J47" s="493"/>
      <c r="K47" s="493"/>
      <c r="L47" s="493"/>
      <c r="M47" s="493"/>
      <c r="N47" s="493"/>
      <c r="O47" s="493"/>
      <c r="P47" s="493"/>
      <c r="Q47" s="493"/>
      <c r="R47" s="493"/>
      <c r="S47" s="493"/>
      <c r="T47" s="493"/>
      <c r="U47" s="493"/>
      <c r="V47" s="493"/>
      <c r="W47" s="493"/>
      <c r="X47" s="493"/>
      <c r="Y47" s="493"/>
      <c r="Z47" s="493"/>
      <c r="AA47" s="493"/>
      <c r="AB47" s="493"/>
      <c r="AC47" s="493"/>
      <c r="AD47" s="493"/>
      <c r="AE47" s="493"/>
      <c r="AF47" s="493"/>
      <c r="AG47" s="493"/>
    </row>
    <row r="48" spans="1:35" ht="30" customHeight="1" x14ac:dyDescent="0.2">
      <c r="A48" s="385" t="s">
        <v>59</v>
      </c>
      <c r="B48" s="386" t="s">
        <v>13</v>
      </c>
      <c r="C48" s="327">
        <f>MIN(C52,(BOILERS!D61/6*100))</f>
        <v>100</v>
      </c>
      <c r="D48" s="327">
        <f>MIN(D52,(BOILERS!E61/6*100))</f>
        <v>100</v>
      </c>
      <c r="E48" s="327">
        <f>MIN(E52,(BOILERS!F61/6*100))</f>
        <v>100</v>
      </c>
      <c r="F48" s="327">
        <f>MIN(F52,(BOILERS!G61/6*100))</f>
        <v>100</v>
      </c>
      <c r="G48" s="327">
        <f>MIN(G52,(BOILERS!H61/6*100))</f>
        <v>100</v>
      </c>
      <c r="H48" s="327">
        <f>MIN(H52,(BOILERS!I61/6*100))</f>
        <v>100</v>
      </c>
      <c r="I48" s="327">
        <f>MIN(I52,(BOILERS!J61/6*100))</f>
        <v>100</v>
      </c>
      <c r="J48" s="327">
        <f>MIN(J52,(BOILERS!K61/6*100))</f>
        <v>100</v>
      </c>
      <c r="K48" s="327">
        <f>MIN(K52,(BOILERS!L61/6*100))</f>
        <v>100</v>
      </c>
      <c r="L48" s="327">
        <f>MIN(L52,(BOILERS!M61/6*100))</f>
        <v>100</v>
      </c>
      <c r="M48" s="327">
        <f>MIN(M52,(BOILERS!N61/6*100))</f>
        <v>100</v>
      </c>
      <c r="N48" s="327">
        <f>MIN(N52,(BOILERS!O61/6*100))</f>
        <v>100</v>
      </c>
      <c r="O48" s="327">
        <f>MIN(O52,(BOILERS!P61/6*100))</f>
        <v>100</v>
      </c>
      <c r="P48" s="327">
        <f>MIN(P52,(BOILERS!Q61/6*100))</f>
        <v>100</v>
      </c>
      <c r="Q48" s="327">
        <f>MIN(Q52,(BOILERS!R61/6*100))</f>
        <v>100</v>
      </c>
      <c r="R48" s="327">
        <f>MIN(R52,(BOILERS!S61/6*100))</f>
        <v>100</v>
      </c>
      <c r="S48" s="327">
        <f>MIN(S52,(BOILERS!T61/6*100))</f>
        <v>100</v>
      </c>
      <c r="T48" s="327">
        <f>MIN(T52,(BOILERS!U61/6*100))</f>
        <v>100</v>
      </c>
      <c r="U48" s="327">
        <f>MIN(U52,(BOILERS!V61/6*100))</f>
        <v>87.847222222222214</v>
      </c>
      <c r="V48" s="327">
        <f>MIN(V52,(BOILERS!W61/6*100))</f>
        <v>83.333333333333343</v>
      </c>
      <c r="W48" s="327">
        <f>MIN(W52,(BOILERS!X61/6*100))</f>
        <v>85.159722222222229</v>
      </c>
      <c r="X48" s="327">
        <f>MIN(X52,(BOILERS!Y61/6*100))</f>
        <v>100</v>
      </c>
      <c r="Y48" s="327">
        <f>MIN(Y52,(BOILERS!Z61/6*100))</f>
        <v>100</v>
      </c>
      <c r="Z48" s="327">
        <f>MIN(Z52,(BOILERS!AA61/6*100))</f>
        <v>100</v>
      </c>
      <c r="AA48" s="327">
        <f>MIN(AA52,(BOILERS!AB61/6*100))</f>
        <v>100</v>
      </c>
      <c r="AB48" s="327">
        <f>MIN(AB52,(BOILERS!AC61/6*100))</f>
        <v>100</v>
      </c>
      <c r="AC48" s="327">
        <f>MIN(AC52,(BOILERS!AD61/6*100))</f>
        <v>100</v>
      </c>
      <c r="AD48" s="327">
        <f>MIN(AD52,(BOILERS!AE61/6*100))</f>
        <v>100</v>
      </c>
      <c r="AE48" s="327">
        <f>MIN(AE52,(BOILERS!AF61/6*100))</f>
        <v>100</v>
      </c>
      <c r="AF48" s="327">
        <f>MIN(AF52,(BOILERS!AG61/6*100))</f>
        <v>100</v>
      </c>
      <c r="AG48" s="327"/>
      <c r="AI48">
        <v>100</v>
      </c>
    </row>
    <row r="49" spans="1:128" ht="30" customHeight="1" x14ac:dyDescent="0.2">
      <c r="A49" s="385" t="s">
        <v>60</v>
      </c>
      <c r="B49" s="386" t="s">
        <v>13</v>
      </c>
      <c r="C49" s="327">
        <f>C48</f>
        <v>100</v>
      </c>
      <c r="D49" s="327">
        <f>AVERAGE($C48:D48)</f>
        <v>100</v>
      </c>
      <c r="E49" s="327">
        <f>AVERAGE($C48:E48)</f>
        <v>100</v>
      </c>
      <c r="F49" s="327">
        <f>AVERAGE($C48:F48)</f>
        <v>100</v>
      </c>
      <c r="G49" s="327">
        <f>AVERAGE($C48:G48)</f>
        <v>100</v>
      </c>
      <c r="H49" s="327">
        <f>AVERAGE($C48:H48)</f>
        <v>100</v>
      </c>
      <c r="I49" s="327">
        <f>AVERAGE($C48:I48)</f>
        <v>100</v>
      </c>
      <c r="J49" s="327">
        <f>AVERAGE($C48:J48)</f>
        <v>100</v>
      </c>
      <c r="K49" s="327">
        <f>AVERAGE($C48:K48)</f>
        <v>100</v>
      </c>
      <c r="L49" s="327">
        <f>AVERAGE($C48:L48)</f>
        <v>100</v>
      </c>
      <c r="M49" s="327">
        <f>AVERAGE($C48:M48)</f>
        <v>100</v>
      </c>
      <c r="N49" s="327">
        <f>AVERAGE($C48:N48)</f>
        <v>100</v>
      </c>
      <c r="O49" s="327">
        <f>AVERAGE($C48:O48)</f>
        <v>100</v>
      </c>
      <c r="P49" s="327">
        <f>AVERAGE($C48:P48)</f>
        <v>100</v>
      </c>
      <c r="Q49" s="327">
        <f>AVERAGE($C48:Q48)</f>
        <v>100</v>
      </c>
      <c r="R49" s="327">
        <f>AVERAGE($C48:R48)</f>
        <v>100</v>
      </c>
      <c r="S49" s="327">
        <f>AVERAGE($C48:S48)</f>
        <v>100</v>
      </c>
      <c r="T49" s="327">
        <f>AVERAGE($C48:T48)</f>
        <v>100</v>
      </c>
      <c r="U49" s="327">
        <f>AVERAGE($C48:U48)</f>
        <v>99.360380116959064</v>
      </c>
      <c r="V49" s="327">
        <f>AVERAGE($C48:V48)</f>
        <v>98.559027777777771</v>
      </c>
      <c r="W49" s="327">
        <f>AVERAGE($C48:W48)</f>
        <v>97.920965608465607</v>
      </c>
      <c r="X49" s="327">
        <f>AVERAGE($C48:X48)</f>
        <v>98.015467171717177</v>
      </c>
      <c r="Y49" s="327">
        <f>AVERAGE($C48:Y48)</f>
        <v>98.101751207729464</v>
      </c>
      <c r="Z49" s="327">
        <f>AVERAGE($C48:Z48)</f>
        <v>98.180844907407405</v>
      </c>
      <c r="AA49" s="327">
        <f>AVERAGE($C48:AA48)</f>
        <v>98.253611111111113</v>
      </c>
      <c r="AB49" s="327">
        <f>AVERAGE($C48:AB48)</f>
        <v>98.320779914529922</v>
      </c>
      <c r="AC49" s="327">
        <f>AVERAGE($C48:AC48)</f>
        <v>98.382973251028815</v>
      </c>
      <c r="AD49" s="327">
        <f>AVERAGE($C48:AD48)</f>
        <v>98.440724206349202</v>
      </c>
      <c r="AE49" s="327">
        <f>AVERAGE($C48:AE48)</f>
        <v>98.494492337164758</v>
      </c>
      <c r="AF49" s="327">
        <f>AVERAGE($C48:AF48)</f>
        <v>98.54467592592593</v>
      </c>
      <c r="AG49" s="327"/>
      <c r="AI49">
        <v>97.077060931899638</v>
      </c>
    </row>
    <row r="50" spans="1:128" ht="30" customHeight="1" x14ac:dyDescent="0.2">
      <c r="A50" s="385" t="s">
        <v>8</v>
      </c>
      <c r="B50" s="386" t="s">
        <v>13</v>
      </c>
      <c r="C50" s="327">
        <f t="shared" ref="C50:H50" si="222">((99.99*30+97.07*31+C2*C49))/(C2+30+31)</f>
        <v>98.530161290322567</v>
      </c>
      <c r="D50" s="327">
        <f t="shared" si="222"/>
        <v>98.553492063492044</v>
      </c>
      <c r="E50" s="327">
        <f t="shared" si="222"/>
        <v>98.576093749999984</v>
      </c>
      <c r="F50" s="327">
        <f t="shared" si="222"/>
        <v>98.597999999999985</v>
      </c>
      <c r="G50" s="327">
        <f t="shared" si="222"/>
        <v>98.619242424242415</v>
      </c>
      <c r="H50" s="327">
        <f t="shared" si="222"/>
        <v>98.639850746268635</v>
      </c>
      <c r="I50" s="327">
        <f t="shared" ref="I50:J50" si="223">((99.99*30+97.07*31+I2*I49))/(I2+30+31)</f>
        <v>98.659852941176453</v>
      </c>
      <c r="J50" s="327">
        <f t="shared" si="223"/>
        <v>98.679275362318819</v>
      </c>
      <c r="K50" s="327">
        <f t="shared" ref="K50:L50" si="224">((99.99*30+97.07*31+K2*K49))/(K2+30+31)</f>
        <v>98.698142857142841</v>
      </c>
      <c r="L50" s="327">
        <f t="shared" si="224"/>
        <v>98.716478873239424</v>
      </c>
      <c r="M50" s="327">
        <f t="shared" ref="M50:N50" si="225">((99.99*30+97.07*31+M2*M49))/(M2+30+31)</f>
        <v>98.734305555555537</v>
      </c>
      <c r="N50" s="327">
        <f t="shared" si="225"/>
        <v>98.75164383561642</v>
      </c>
      <c r="O50" s="327">
        <f t="shared" ref="O50:P50" si="226">((99.99*30+97.07*31+O2*O49))/(O2+30+31)</f>
        <v>98.768513513513497</v>
      </c>
      <c r="P50" s="327">
        <f t="shared" si="226"/>
        <v>98.784933333333313</v>
      </c>
      <c r="Q50" s="327">
        <f t="shared" ref="Q50:R50" si="227">((99.99*30+97.07*31+Q2*Q49))/(Q2+30+31)</f>
        <v>98.800921052631566</v>
      </c>
      <c r="R50" s="327">
        <f t="shared" si="227"/>
        <v>98.816493506493487</v>
      </c>
      <c r="S50" s="327">
        <f t="shared" ref="S50:T50" si="228">((99.99*30+97.07*31+S2*S49))/(S2+30+31)</f>
        <v>98.831666666666649</v>
      </c>
      <c r="T50" s="327">
        <f t="shared" si="228"/>
        <v>98.846455696202526</v>
      </c>
      <c r="U50" s="327">
        <f t="shared" ref="U50:V50" si="229">((99.99*30+97.07*31+U2*U49))/(U2+30+31)</f>
        <v>98.708965277777764</v>
      </c>
      <c r="V50" s="327">
        <f t="shared" si="229"/>
        <v>98.519142661179686</v>
      </c>
      <c r="W50" s="327">
        <f t="shared" ref="W50:X50" si="230">((99.99*30+97.07*31+W2*W49))/(W2+30+31)</f>
        <v>98.356222899728976</v>
      </c>
      <c r="X50" s="327">
        <f t="shared" si="230"/>
        <v>98.376027443105741</v>
      </c>
      <c r="Y50" s="327">
        <f t="shared" ref="Y50:Z50" si="231">((99.99*30+97.07*31+Y2*Y49))/(Y2+30+31)</f>
        <v>98.395360449735435</v>
      </c>
      <c r="Z50" s="327">
        <f t="shared" si="231"/>
        <v>98.414238562091484</v>
      </c>
      <c r="AA50" s="327">
        <f t="shared" ref="AA50:AB50" si="232">((99.99*30+97.07*31+AA2*AA49))/(AA2+30+31)</f>
        <v>98.432677648578789</v>
      </c>
      <c r="AB50" s="327">
        <f t="shared" si="232"/>
        <v>98.450692848020424</v>
      </c>
      <c r="AC50" s="327">
        <f t="shared" ref="AC50:AD50" si="233">((99.99*30+97.07*31+AC2*AC49))/(AC2+30+31)</f>
        <v>98.468298611111095</v>
      </c>
      <c r="AD50" s="327">
        <f t="shared" si="233"/>
        <v>98.485508739076138</v>
      </c>
      <c r="AE50" s="327">
        <f t="shared" ref="AE50:AF50" si="234">((99.99*30+97.07*31+AE2*AE49))/(AE2+30+31)</f>
        <v>98.502336419753064</v>
      </c>
      <c r="AF50" s="327">
        <f t="shared" si="234"/>
        <v>98.518794261294246</v>
      </c>
      <c r="AG50" s="327"/>
      <c r="AI50">
        <v>98.509653916211292</v>
      </c>
    </row>
    <row r="51" spans="1:128" ht="30" customHeight="1" x14ac:dyDescent="0.2">
      <c r="A51" s="15" t="s">
        <v>68</v>
      </c>
      <c r="B51" s="326"/>
      <c r="C51" s="490"/>
      <c r="D51" s="491"/>
      <c r="E51" s="491"/>
      <c r="F51" s="491"/>
      <c r="G51" s="491"/>
      <c r="H51" s="491"/>
      <c r="I51" s="491"/>
      <c r="J51" s="491"/>
      <c r="K51" s="491"/>
      <c r="L51" s="491"/>
      <c r="M51" s="491"/>
      <c r="N51" s="491"/>
      <c r="O51" s="491"/>
      <c r="P51" s="491"/>
      <c r="Q51" s="491"/>
      <c r="R51" s="491"/>
      <c r="S51" s="491"/>
      <c r="T51" s="491"/>
      <c r="U51" s="491"/>
      <c r="V51" s="491"/>
      <c r="W51" s="491"/>
      <c r="X51" s="491"/>
      <c r="Y51" s="491"/>
      <c r="Z51" s="491"/>
      <c r="AA51" s="491"/>
      <c r="AB51" s="491"/>
      <c r="AC51" s="491"/>
      <c r="AD51" s="491"/>
      <c r="AE51" s="491"/>
      <c r="AF51" s="491"/>
      <c r="AG51" s="491"/>
    </row>
    <row r="52" spans="1:128" ht="30" customHeight="1" x14ac:dyDescent="0.2">
      <c r="A52" s="12" t="s">
        <v>59</v>
      </c>
      <c r="B52" s="37" t="s">
        <v>13</v>
      </c>
      <c r="C52" s="258">
        <f t="shared" ref="C52:D52" si="235">C44*42/(24*42)%</f>
        <v>100</v>
      </c>
      <c r="D52" s="258">
        <f t="shared" si="235"/>
        <v>100</v>
      </c>
      <c r="E52" s="258">
        <f t="shared" ref="E52:F52" si="236">E44*42/(24*42)%</f>
        <v>100</v>
      </c>
      <c r="F52" s="258">
        <f t="shared" si="236"/>
        <v>100</v>
      </c>
      <c r="G52" s="258">
        <f t="shared" ref="G52:H52" si="237">G44*42/(24*42)%</f>
        <v>100</v>
      </c>
      <c r="H52" s="258">
        <f t="shared" si="237"/>
        <v>100</v>
      </c>
      <c r="I52" s="258">
        <f t="shared" ref="I52:J52" si="238">I44*42/(24*42)%</f>
        <v>100</v>
      </c>
      <c r="J52" s="258">
        <f t="shared" si="238"/>
        <v>100</v>
      </c>
      <c r="K52" s="258">
        <f t="shared" ref="K52:L52" si="239">K44*42/(24*42)%</f>
        <v>100</v>
      </c>
      <c r="L52" s="258">
        <f t="shared" si="239"/>
        <v>100</v>
      </c>
      <c r="M52" s="258">
        <f t="shared" ref="M52:N52" si="240">M44*42/(24*42)%</f>
        <v>100</v>
      </c>
      <c r="N52" s="258">
        <f t="shared" si="240"/>
        <v>100</v>
      </c>
      <c r="O52" s="258">
        <f t="shared" ref="O52:P52" si="241">O44*42/(24*42)%</f>
        <v>100</v>
      </c>
      <c r="P52" s="258">
        <f t="shared" si="241"/>
        <v>100</v>
      </c>
      <c r="Q52" s="258">
        <f t="shared" ref="Q52:R52" si="242">Q44*42/(24*42)%</f>
        <v>100</v>
      </c>
      <c r="R52" s="258">
        <f t="shared" si="242"/>
        <v>100</v>
      </c>
      <c r="S52" s="258">
        <f t="shared" ref="S52:T52" si="243">S44*42/(24*42)%</f>
        <v>100</v>
      </c>
      <c r="T52" s="258">
        <f t="shared" si="243"/>
        <v>100</v>
      </c>
      <c r="U52" s="258">
        <f t="shared" ref="U52:V52" si="244">U44*42/(24*42)%</f>
        <v>100</v>
      </c>
      <c r="V52" s="258">
        <f t="shared" si="244"/>
        <v>100</v>
      </c>
      <c r="W52" s="258">
        <f t="shared" ref="W52:X52" si="245">W44*42/(24*42)%</f>
        <v>100</v>
      </c>
      <c r="X52" s="258">
        <f t="shared" si="245"/>
        <v>100</v>
      </c>
      <c r="Y52" s="258">
        <f t="shared" ref="Y52:Z52" si="246">Y44*42/(24*42)%</f>
        <v>100</v>
      </c>
      <c r="Z52" s="258">
        <f t="shared" si="246"/>
        <v>100</v>
      </c>
      <c r="AA52" s="258">
        <f t="shared" ref="AA52:AB52" si="247">AA44*42/(24*42)%</f>
        <v>100</v>
      </c>
      <c r="AB52" s="258">
        <f t="shared" si="247"/>
        <v>100</v>
      </c>
      <c r="AC52" s="258">
        <f t="shared" ref="AC52:AD52" si="248">AC44*42/(24*42)%</f>
        <v>100</v>
      </c>
      <c r="AD52" s="258">
        <f t="shared" si="248"/>
        <v>100</v>
      </c>
      <c r="AE52" s="258">
        <f t="shared" ref="AE52:AF52" si="249">AE44*42/(24*42)%</f>
        <v>100</v>
      </c>
      <c r="AF52" s="258">
        <f t="shared" si="249"/>
        <v>100</v>
      </c>
      <c r="AG52" s="258"/>
      <c r="AI52">
        <v>100</v>
      </c>
    </row>
    <row r="53" spans="1:128" s="406" customFormat="1" ht="32.1" customHeight="1" x14ac:dyDescent="0.2">
      <c r="A53" s="12" t="s">
        <v>74</v>
      </c>
      <c r="B53" s="37" t="s">
        <v>13</v>
      </c>
      <c r="C53" s="258">
        <f>C52</f>
        <v>100</v>
      </c>
      <c r="D53" s="258">
        <f>AVERAGE($C52:D52)</f>
        <v>100</v>
      </c>
      <c r="E53" s="258">
        <f>AVERAGE($C52:E52)</f>
        <v>100</v>
      </c>
      <c r="F53" s="258">
        <f>AVERAGE($C52:F52)</f>
        <v>100</v>
      </c>
      <c r="G53" s="258">
        <f>AVERAGE($C52:G52)</f>
        <v>100</v>
      </c>
      <c r="H53" s="258">
        <f>AVERAGE($C52:H52)</f>
        <v>100</v>
      </c>
      <c r="I53" s="258">
        <f>AVERAGE($C52:I52)</f>
        <v>100</v>
      </c>
      <c r="J53" s="258">
        <f>AVERAGE($C52:J52)</f>
        <v>100</v>
      </c>
      <c r="K53" s="258">
        <f>AVERAGE($C52:K52)</f>
        <v>100</v>
      </c>
      <c r="L53" s="258">
        <f>AVERAGE($C52:L52)</f>
        <v>100</v>
      </c>
      <c r="M53" s="258">
        <f>AVERAGE($C52:M52)</f>
        <v>100</v>
      </c>
      <c r="N53" s="258">
        <f>AVERAGE($C52:N52)</f>
        <v>100</v>
      </c>
      <c r="O53" s="258">
        <f>AVERAGE($C52:O52)</f>
        <v>100</v>
      </c>
      <c r="P53" s="258">
        <f>AVERAGE($C52:P52)</f>
        <v>100</v>
      </c>
      <c r="Q53" s="258">
        <f>AVERAGE($C52:Q52)</f>
        <v>100</v>
      </c>
      <c r="R53" s="258">
        <f>AVERAGE($C52:R52)</f>
        <v>100</v>
      </c>
      <c r="S53" s="258">
        <f>AVERAGE($C52:S52)</f>
        <v>100</v>
      </c>
      <c r="T53" s="258">
        <f>AVERAGE($C52:T52)</f>
        <v>100</v>
      </c>
      <c r="U53" s="258">
        <f>AVERAGE($C52:U52)</f>
        <v>100</v>
      </c>
      <c r="V53" s="258">
        <f>AVERAGE($C52:V52)</f>
        <v>100</v>
      </c>
      <c r="W53" s="258">
        <f>AVERAGE($C52:W52)</f>
        <v>100</v>
      </c>
      <c r="X53" s="258">
        <f>AVERAGE($C52:X52)</f>
        <v>100</v>
      </c>
      <c r="Y53" s="258">
        <f>AVERAGE($C52:Y52)</f>
        <v>100</v>
      </c>
      <c r="Z53" s="258">
        <f>AVERAGE($C52:Z52)</f>
        <v>100</v>
      </c>
      <c r="AA53" s="258">
        <f>AVERAGE($C52:AA52)</f>
        <v>100</v>
      </c>
      <c r="AB53" s="258">
        <f>AVERAGE($C52:AB52)</f>
        <v>100</v>
      </c>
      <c r="AC53" s="258">
        <f>AVERAGE($C52:AC52)</f>
        <v>100</v>
      </c>
      <c r="AD53" s="258">
        <f>AVERAGE($C52:AD52)</f>
        <v>100</v>
      </c>
      <c r="AE53" s="258">
        <f>AVERAGE($C52:AE52)</f>
        <v>100</v>
      </c>
      <c r="AF53" s="258">
        <f>AVERAGE($C52:AF52)</f>
        <v>100</v>
      </c>
      <c r="AG53" s="258"/>
      <c r="AH53" s="409"/>
      <c r="AI53" s="409">
        <v>97.077060931899638</v>
      </c>
      <c r="AJ53" s="409"/>
      <c r="AK53" s="409"/>
      <c r="AL53" s="409"/>
      <c r="AM53" s="409"/>
      <c r="AN53" s="409"/>
      <c r="AO53" s="409"/>
      <c r="AP53" s="409"/>
      <c r="AQ53" s="409"/>
      <c r="AR53" s="409"/>
      <c r="AS53" s="409"/>
      <c r="AT53" s="409"/>
      <c r="AU53" s="409"/>
      <c r="AV53" s="409"/>
      <c r="AW53" s="409"/>
      <c r="AX53" s="409"/>
      <c r="AY53" s="409"/>
      <c r="AZ53" s="409"/>
      <c r="BA53" s="409"/>
      <c r="BB53" s="409"/>
      <c r="BC53" s="409"/>
      <c r="BD53" s="409"/>
      <c r="BE53" s="409"/>
      <c r="BF53" s="409"/>
      <c r="BG53" s="409"/>
      <c r="BH53" s="55"/>
      <c r="BI53" s="55"/>
      <c r="BJ53" s="55"/>
      <c r="BK53" s="55"/>
      <c r="BL53" s="55"/>
      <c r="BM53" s="55"/>
      <c r="BN53" s="55"/>
      <c r="BO53" s="55"/>
      <c r="BP53" s="55"/>
      <c r="BQ53" s="55"/>
      <c r="BR53" s="55"/>
      <c r="BS53" s="55"/>
      <c r="BT53" s="55"/>
      <c r="BU53" s="55"/>
      <c r="BV53" s="55"/>
      <c r="BW53" s="55"/>
      <c r="BX53" s="55"/>
      <c r="BY53" s="55"/>
      <c r="BZ53" s="55"/>
      <c r="CA53" s="55"/>
      <c r="CB53" s="55"/>
      <c r="CC53" s="55"/>
      <c r="CD53" s="55"/>
      <c r="CE53" s="55"/>
      <c r="CF53" s="55"/>
      <c r="CG53" s="55"/>
      <c r="CH53" s="55"/>
      <c r="CI53" s="55"/>
      <c r="CJ53" s="55"/>
      <c r="CK53" s="55"/>
      <c r="CL53" s="55"/>
      <c r="CM53" s="55"/>
      <c r="CN53" s="55"/>
      <c r="CO53" s="55"/>
      <c r="CP53" s="55"/>
      <c r="CQ53" s="55"/>
      <c r="CR53" s="55"/>
      <c r="CS53" s="55"/>
      <c r="CT53" s="55"/>
      <c r="CU53" s="55"/>
      <c r="CV53" s="55"/>
      <c r="CW53" s="55"/>
      <c r="CX53" s="55"/>
      <c r="CY53" s="55"/>
      <c r="CZ53" s="55"/>
      <c r="DA53" s="55"/>
      <c r="DB53" s="55"/>
      <c r="DC53" s="55"/>
      <c r="DD53" s="55"/>
      <c r="DE53" s="55"/>
      <c r="DF53" s="55"/>
      <c r="DG53" s="55"/>
      <c r="DH53" s="55"/>
      <c r="DI53" s="55"/>
      <c r="DJ53" s="55"/>
      <c r="DK53" s="55"/>
      <c r="DL53" s="55"/>
      <c r="DM53" s="55"/>
      <c r="DN53" s="55"/>
      <c r="DO53" s="55"/>
      <c r="DP53" s="55"/>
      <c r="DQ53" s="55"/>
      <c r="DR53" s="55"/>
      <c r="DS53" s="55"/>
      <c r="DT53" s="55"/>
      <c r="DU53" s="55"/>
      <c r="DV53" s="55"/>
      <c r="DW53" s="55"/>
      <c r="DX53" s="55"/>
    </row>
    <row r="54" spans="1:128" ht="38.25" customHeight="1" x14ac:dyDescent="0.2">
      <c r="A54" s="12" t="s">
        <v>8</v>
      </c>
      <c r="B54" s="37" t="s">
        <v>13</v>
      </c>
      <c r="C54" s="258">
        <f t="shared" ref="C54:H54" si="250">(100*30+97.07*31+C2*C53)/(C2+30+31)</f>
        <v>98.534999999999997</v>
      </c>
      <c r="D54" s="258">
        <f t="shared" si="250"/>
        <v>98.558253968253965</v>
      </c>
      <c r="E54" s="258">
        <f t="shared" si="250"/>
        <v>98.580781250000001</v>
      </c>
      <c r="F54" s="258">
        <f t="shared" si="250"/>
        <v>98.60261538461539</v>
      </c>
      <c r="G54" s="258">
        <f t="shared" si="250"/>
        <v>98.62378787878788</v>
      </c>
      <c r="H54" s="258">
        <f t="shared" si="250"/>
        <v>98.644328358208952</v>
      </c>
      <c r="I54" s="258">
        <f t="shared" ref="I54:J54" si="251">(100*30+97.07*31+I2*I53)/(I2+30+31)</f>
        <v>98.66426470588236</v>
      </c>
      <c r="J54" s="258">
        <f t="shared" si="251"/>
        <v>98.683623188405804</v>
      </c>
      <c r="K54" s="258">
        <f t="shared" ref="K54:L54" si="252">(100*30+97.07*31+K2*K53)/(K2+30+31)</f>
        <v>98.70242857142857</v>
      </c>
      <c r="L54" s="258">
        <f t="shared" si="252"/>
        <v>98.720704225352108</v>
      </c>
      <c r="M54" s="258">
        <f t="shared" ref="M54:N54" si="253">(100*30+97.07*31+M2*M53)/(M2+30+31)</f>
        <v>98.738472222222228</v>
      </c>
      <c r="N54" s="258">
        <f t="shared" si="253"/>
        <v>98.755753424657541</v>
      </c>
      <c r="O54" s="258">
        <f t="shared" ref="O54:P54" si="254">(100*30+97.07*31+O2*O53)/(O2+30+31)</f>
        <v>98.772567567567563</v>
      </c>
      <c r="P54" s="258">
        <f t="shared" si="254"/>
        <v>98.788933333333333</v>
      </c>
      <c r="Q54" s="258">
        <f t="shared" ref="Q54:R54" si="255">(100*30+97.07*31+Q2*Q53)/(Q2+30+31)</f>
        <v>98.804868421052632</v>
      </c>
      <c r="R54" s="258">
        <f t="shared" si="255"/>
        <v>98.820389610389611</v>
      </c>
      <c r="S54" s="258">
        <f t="shared" ref="S54:T54" si="256">(100*30+97.07*31+S2*S53)/(S2+30+31)</f>
        <v>98.835512820512818</v>
      </c>
      <c r="T54" s="258">
        <f t="shared" si="256"/>
        <v>98.85025316455696</v>
      </c>
      <c r="U54" s="258">
        <f t="shared" ref="U54:V54" si="257">(100*30+97.07*31+U2*U53)/(U2+30+31)</f>
        <v>98.864625000000004</v>
      </c>
      <c r="V54" s="258">
        <f t="shared" si="257"/>
        <v>98.878641975308639</v>
      </c>
      <c r="W54" s="258">
        <f t="shared" ref="W54:X54" si="258">(100*30+97.07*31+W2*W53)/(W2+30+31)</f>
        <v>98.89231707317073</v>
      </c>
      <c r="X54" s="258">
        <f t="shared" si="258"/>
        <v>98.905662650602409</v>
      </c>
      <c r="Y54" s="258">
        <f t="shared" ref="Y54:Z54" si="259">(100*30+97.07*31+Y2*Y53)/(Y2+30+31)</f>
        <v>98.918690476190477</v>
      </c>
      <c r="Z54" s="258">
        <f t="shared" si="259"/>
        <v>98.931411764705885</v>
      </c>
      <c r="AA54" s="258">
        <f t="shared" ref="AA54:AB54" si="260">(100*30+97.07*31+AA2*AA53)/(AA2+30+31)</f>
        <v>98.94383720930233</v>
      </c>
      <c r="AB54" s="258">
        <f t="shared" si="260"/>
        <v>98.955977011494255</v>
      </c>
      <c r="AC54" s="258">
        <f t="shared" ref="AC54:AD54" si="261">(100*30+97.07*31+AC2*AC53)/(AC2+30+31)</f>
        <v>98.96784090909091</v>
      </c>
      <c r="AD54" s="258">
        <f t="shared" si="261"/>
        <v>98.979438202247195</v>
      </c>
      <c r="AE54" s="258">
        <f t="shared" ref="AE54:AF54" si="262">(100*30+97.07*31+AE2*AE53)/(AE2+30+31)</f>
        <v>98.99077777777778</v>
      </c>
      <c r="AF54" s="258">
        <f t="shared" si="262"/>
        <v>99.001868131868136</v>
      </c>
      <c r="AG54" s="258"/>
      <c r="AI54">
        <v>98.514571948998181</v>
      </c>
    </row>
    <row r="55" spans="1:128" ht="30" customHeight="1" x14ac:dyDescent="0.2">
      <c r="A55" s="11" t="s">
        <v>75</v>
      </c>
      <c r="B55" s="37" t="s">
        <v>70</v>
      </c>
      <c r="C55" s="330">
        <f>Totalizer!D30</f>
        <v>3690</v>
      </c>
      <c r="D55" s="330">
        <f>Totalizer!E30</f>
        <v>3698</v>
      </c>
      <c r="E55" s="330">
        <f>Totalizer!F30</f>
        <v>3752</v>
      </c>
      <c r="F55" s="330">
        <f>Totalizer!G30</f>
        <v>3920</v>
      </c>
      <c r="G55" s="330">
        <f>Totalizer!H30</f>
        <v>3922</v>
      </c>
      <c r="H55" s="330">
        <f>Totalizer!I30</f>
        <v>3874</v>
      </c>
      <c r="I55" s="330">
        <f>Totalizer!J30</f>
        <v>3956</v>
      </c>
      <c r="J55" s="330">
        <f>Totalizer!K30</f>
        <v>3918</v>
      </c>
      <c r="K55" s="330">
        <f>Totalizer!L30</f>
        <v>3974</v>
      </c>
      <c r="L55" s="330">
        <f>Totalizer!M30</f>
        <v>3982</v>
      </c>
      <c r="M55" s="330">
        <f>Totalizer!N30</f>
        <v>3912</v>
      </c>
      <c r="N55" s="330">
        <f>Totalizer!O30</f>
        <v>4010</v>
      </c>
      <c r="O55" s="330">
        <f>Totalizer!P30</f>
        <v>3890</v>
      </c>
      <c r="P55" s="330">
        <f>Totalizer!Q30</f>
        <v>3826</v>
      </c>
      <c r="Q55" s="330">
        <f>Totalizer!R30</f>
        <v>3824</v>
      </c>
      <c r="R55" s="330">
        <f>Totalizer!S30</f>
        <v>3852</v>
      </c>
      <c r="S55" s="330">
        <f>Totalizer!T30</f>
        <v>3876</v>
      </c>
      <c r="T55" s="330">
        <f>Totalizer!U30</f>
        <v>3924</v>
      </c>
      <c r="U55" s="330">
        <f>Totalizer!V30</f>
        <v>3818</v>
      </c>
      <c r="V55" s="330">
        <f>Totalizer!W30</f>
        <v>3728</v>
      </c>
      <c r="W55" s="330">
        <f>Totalizer!X30</f>
        <v>3700</v>
      </c>
      <c r="X55" s="330">
        <f>Totalizer!Y30</f>
        <v>3914</v>
      </c>
      <c r="Y55" s="330">
        <f>Totalizer!Z30</f>
        <v>4016</v>
      </c>
      <c r="Z55" s="330">
        <f>Totalizer!AA30</f>
        <v>4004</v>
      </c>
      <c r="AA55" s="330">
        <f>Totalizer!AB30</f>
        <v>4024</v>
      </c>
      <c r="AB55" s="330">
        <f>Totalizer!AC30</f>
        <v>3572</v>
      </c>
      <c r="AC55" s="330">
        <f>Totalizer!AD30</f>
        <v>3548</v>
      </c>
      <c r="AD55" s="330">
        <f>Totalizer!AE30</f>
        <v>3662</v>
      </c>
      <c r="AE55" s="330">
        <f>Totalizer!AF30</f>
        <v>3892</v>
      </c>
      <c r="AF55" s="330">
        <f>Totalizer!AG30</f>
        <v>4060</v>
      </c>
      <c r="AG55" s="330"/>
      <c r="AI55">
        <v>3614</v>
      </c>
    </row>
    <row r="56" spans="1:128" ht="30" customHeight="1" x14ac:dyDescent="0.2">
      <c r="A56" s="11" t="s">
        <v>71</v>
      </c>
      <c r="B56" s="37" t="s">
        <v>72</v>
      </c>
      <c r="C56" s="13">
        <f t="shared" ref="C56:D56" si="263">C55/(C33*1000)</f>
        <v>3.8678196159817042</v>
      </c>
      <c r="D56" s="13">
        <f t="shared" si="263"/>
        <v>3.8881985474434013</v>
      </c>
      <c r="E56" s="13">
        <f t="shared" ref="E56:F56" si="264">E55/(E33*1000)</f>
        <v>3.8645192463828502</v>
      </c>
      <c r="F56" s="13">
        <f t="shared" si="264"/>
        <v>3.8172762763969867</v>
      </c>
      <c r="G56" s="13">
        <f t="shared" ref="G56:H56" si="265">G55/(G33*1000)</f>
        <v>3.7997819923676879</v>
      </c>
      <c r="H56" s="13">
        <f t="shared" si="265"/>
        <v>3.8233830894725886</v>
      </c>
      <c r="I56" s="13">
        <f t="shared" ref="I56:J56" si="266">I55/(I33*1000)</f>
        <v>3.7674313118820746</v>
      </c>
      <c r="J56" s="13">
        <f t="shared" si="266"/>
        <v>3.8025067951803528</v>
      </c>
      <c r="K56" s="13">
        <f t="shared" ref="K56:L56" si="267">K55/(K33*1000)</f>
        <v>3.7520957019857137</v>
      </c>
      <c r="L56" s="13">
        <f t="shared" si="267"/>
        <v>3.738551577964504</v>
      </c>
      <c r="M56" s="13">
        <f t="shared" ref="M56:N56" si="268">M55/(M33*1000)</f>
        <v>3.8065697852769378</v>
      </c>
      <c r="N56" s="13">
        <f t="shared" si="268"/>
        <v>3.7053428939966051</v>
      </c>
      <c r="O56" s="13">
        <f t="shared" ref="O56:P56" si="269">O55/(O33*1000)</f>
        <v>3.818294224293191</v>
      </c>
      <c r="P56" s="13">
        <f t="shared" si="269"/>
        <v>3.8472920870432441</v>
      </c>
      <c r="Q56" s="13">
        <f t="shared" ref="Q56:R56" si="270">Q55/(Q33*1000)</f>
        <v>3.8825411213803553</v>
      </c>
      <c r="R56" s="13">
        <f t="shared" si="270"/>
        <v>3.8725657256398143</v>
      </c>
      <c r="S56" s="13">
        <f t="shared" ref="S56:T56" si="271">S55/(S33*1000)</f>
        <v>3.8549284183987087</v>
      </c>
      <c r="T56" s="13">
        <f t="shared" si="271"/>
        <v>3.7992239624082349</v>
      </c>
      <c r="U56" s="13">
        <f t="shared" ref="U56:V56" si="272">U55/(U33*1000)</f>
        <v>3.8654938811628021</v>
      </c>
      <c r="V56" s="13">
        <f t="shared" si="272"/>
        <v>3.9103050184073842</v>
      </c>
      <c r="W56" s="13">
        <f t="shared" ref="W56:X56" si="273">W55/(W33*1000)</f>
        <v>3.8861653832980303</v>
      </c>
      <c r="X56" s="13">
        <f t="shared" si="273"/>
        <v>3.8525426922694308</v>
      </c>
      <c r="Y56" s="13">
        <f t="shared" ref="Y56:Z56" si="274">Y55/(Y33*1000)</f>
        <v>3.8043025388082485</v>
      </c>
      <c r="Z56" s="13">
        <f t="shared" si="274"/>
        <v>3.7251397790385075</v>
      </c>
      <c r="AA56" s="13">
        <f t="shared" ref="AA56:AB56" si="275">AA55/(AA33*1000)</f>
        <v>3.6987817308004325</v>
      </c>
      <c r="AB56" s="13">
        <f t="shared" si="275"/>
        <v>3.8594299072132645</v>
      </c>
      <c r="AC56" s="13">
        <f t="shared" ref="AC56:AD56" si="276">AC55/(AC33*1000)</f>
        <v>3.8869907205770016</v>
      </c>
      <c r="AD56" s="13">
        <f t="shared" si="276"/>
        <v>3.8769900795467747</v>
      </c>
      <c r="AE56" s="13">
        <f t="shared" ref="AE56:AF56" si="277">AE55/(AE33*1000)</f>
        <v>3.8727909887625058</v>
      </c>
      <c r="AF56" s="13">
        <f t="shared" si="277"/>
        <v>3.7079199901002284</v>
      </c>
      <c r="AG56" s="13"/>
      <c r="AH56" s="192"/>
      <c r="AI56">
        <v>3.8690104270486003</v>
      </c>
    </row>
    <row r="57" spans="1:128" ht="30" customHeight="1" x14ac:dyDescent="0.2">
      <c r="A57" s="66"/>
      <c r="B57" s="104"/>
      <c r="C57" s="104"/>
      <c r="D57" s="104"/>
      <c r="E57" s="104"/>
      <c r="F57" s="104"/>
      <c r="G57" s="104"/>
      <c r="H57" s="104"/>
      <c r="I57" s="104"/>
      <c r="J57" s="104"/>
      <c r="K57" s="104"/>
      <c r="L57" s="104"/>
      <c r="M57" s="104"/>
      <c r="N57" s="104"/>
      <c r="O57" s="104"/>
      <c r="P57" s="104"/>
      <c r="Q57" s="104"/>
      <c r="R57" s="104"/>
      <c r="S57" s="104"/>
      <c r="T57" s="104"/>
      <c r="U57" s="105"/>
      <c r="V57" s="105"/>
      <c r="W57" s="104"/>
      <c r="X57" s="104"/>
      <c r="Y57" s="104"/>
      <c r="Z57" s="104"/>
      <c r="AA57" s="104"/>
      <c r="AB57" s="104"/>
      <c r="AC57" s="104"/>
      <c r="AD57" s="104"/>
      <c r="AE57" s="104"/>
      <c r="AF57" s="104"/>
      <c r="AG57" s="55"/>
      <c r="AH57" s="192"/>
    </row>
    <row r="58" spans="1:128" ht="30" customHeight="1" x14ac:dyDescent="0.2">
      <c r="A58" s="103" t="s">
        <v>76</v>
      </c>
      <c r="B58" s="467"/>
      <c r="C58" s="468"/>
      <c r="D58" s="468"/>
      <c r="E58" s="468"/>
      <c r="F58" s="468"/>
      <c r="G58" s="468"/>
      <c r="H58" s="468"/>
      <c r="I58" s="468"/>
      <c r="J58" s="468"/>
      <c r="K58" s="468"/>
      <c r="L58" s="468"/>
      <c r="M58" s="468"/>
      <c r="N58" s="468"/>
      <c r="O58" s="468"/>
      <c r="P58" s="468"/>
      <c r="Q58" s="468"/>
      <c r="R58" s="468"/>
      <c r="S58" s="468"/>
      <c r="T58" s="468"/>
      <c r="U58" s="468"/>
      <c r="V58" s="468"/>
      <c r="W58" s="468"/>
      <c r="X58" s="468"/>
      <c r="Y58" s="468"/>
      <c r="Z58" s="468"/>
      <c r="AA58" s="468"/>
      <c r="AB58" s="468"/>
      <c r="AC58" s="468"/>
      <c r="AD58" s="468"/>
      <c r="AE58" s="468"/>
      <c r="AF58" s="468"/>
      <c r="AG58" s="468"/>
      <c r="AH58" s="192"/>
    </row>
    <row r="59" spans="1:128" ht="30" customHeight="1" x14ac:dyDescent="0.2">
      <c r="A59" s="47" t="s">
        <v>3</v>
      </c>
      <c r="B59" s="331"/>
      <c r="C59" s="472" t="s">
        <v>505</v>
      </c>
      <c r="D59" s="473"/>
      <c r="E59" s="473"/>
      <c r="F59" s="473"/>
      <c r="G59" s="473"/>
      <c r="H59" s="473"/>
      <c r="I59" s="473"/>
      <c r="J59" s="473"/>
      <c r="K59" s="473"/>
      <c r="L59" s="473"/>
      <c r="M59" s="473"/>
      <c r="N59" s="473"/>
      <c r="O59" s="473"/>
      <c r="P59" s="473"/>
      <c r="Q59" s="473"/>
      <c r="R59" s="473"/>
      <c r="S59" s="473"/>
      <c r="T59" s="473"/>
      <c r="U59" s="473"/>
      <c r="V59" s="473"/>
      <c r="W59" s="473"/>
      <c r="X59" s="473"/>
      <c r="Y59" s="473"/>
      <c r="Z59" s="473"/>
      <c r="AA59" s="473"/>
      <c r="AB59" s="473"/>
      <c r="AC59" s="473"/>
      <c r="AD59" s="473"/>
      <c r="AE59" s="473"/>
      <c r="AF59" s="473"/>
      <c r="AG59" s="473"/>
      <c r="AH59" s="192"/>
    </row>
    <row r="60" spans="1:128" ht="30" customHeight="1" x14ac:dyDescent="0.2">
      <c r="A60" s="26" t="s">
        <v>77</v>
      </c>
      <c r="B60" s="38" t="s">
        <v>5</v>
      </c>
      <c r="C60" s="314">
        <v>0.65777573603082851</v>
      </c>
      <c r="D60" s="314">
        <v>0.65813346599300426</v>
      </c>
      <c r="E60" s="314">
        <v>0.67531045690628533</v>
      </c>
      <c r="F60" s="314">
        <v>0.68828030965598841</v>
      </c>
      <c r="G60" s="314">
        <v>0.68140946122579471</v>
      </c>
      <c r="H60" s="314">
        <v>0.67082013795674877</v>
      </c>
      <c r="I60" s="314">
        <v>0.6559066085059978</v>
      </c>
      <c r="J60" s="314">
        <v>0.65213475452196379</v>
      </c>
      <c r="K60" s="314">
        <v>0.66158692046276202</v>
      </c>
      <c r="L60" s="314">
        <v>0.67333918279569893</v>
      </c>
      <c r="M60" s="314">
        <v>0.6757733817293512</v>
      </c>
      <c r="N60" s="314">
        <v>0.66961171282561494</v>
      </c>
      <c r="O60" s="314">
        <v>0.67315807291666674</v>
      </c>
      <c r="P60" s="314">
        <v>0.65796975000000002</v>
      </c>
      <c r="Q60" s="314">
        <v>0.65795193879112479</v>
      </c>
      <c r="R60" s="314">
        <v>0.65811774677786217</v>
      </c>
      <c r="S60" s="314">
        <v>0.65795941685393267</v>
      </c>
      <c r="T60" s="314">
        <v>0.65781037305699486</v>
      </c>
      <c r="U60" s="314">
        <v>0.65880983362068979</v>
      </c>
      <c r="V60" s="314">
        <v>0.65732925759937655</v>
      </c>
      <c r="W60" s="314">
        <v>0.65744689595602668</v>
      </c>
      <c r="X60" s="314">
        <v>0.68064795276752776</v>
      </c>
      <c r="Y60" s="314">
        <v>0.68872686370157821</v>
      </c>
      <c r="Z60" s="314">
        <v>0.68819024205508472</v>
      </c>
      <c r="AA60" s="314">
        <v>0.69414285694150801</v>
      </c>
      <c r="AB60" s="314">
        <v>0.68259999999999998</v>
      </c>
      <c r="AC60" s="314">
        <v>0.68308005310093234</v>
      </c>
      <c r="AD60" s="314">
        <v>0.67983331199999997</v>
      </c>
      <c r="AE60" s="314">
        <v>0.68602059315016939</v>
      </c>
      <c r="AF60" s="314">
        <v>0.70418569633507844</v>
      </c>
      <c r="AG60" s="314"/>
      <c r="AH60" s="192"/>
      <c r="AI60">
        <v>0.65185349187935049</v>
      </c>
    </row>
    <row r="61" spans="1:128" ht="30" customHeight="1" x14ac:dyDescent="0.2">
      <c r="A61" s="26" t="s">
        <v>78</v>
      </c>
      <c r="B61" s="38" t="s">
        <v>5</v>
      </c>
      <c r="C61" s="261">
        <v>0.65500000000000003</v>
      </c>
      <c r="D61" s="261">
        <v>0.65600000000000003</v>
      </c>
      <c r="E61" s="261">
        <v>0.67400000000000004</v>
      </c>
      <c r="F61" s="261">
        <v>0.68700000000000006</v>
      </c>
      <c r="G61" s="261">
        <v>0.67800000000000005</v>
      </c>
      <c r="H61" s="261">
        <v>0.67</v>
      </c>
      <c r="I61" s="261">
        <v>0.65400000000000003</v>
      </c>
      <c r="J61" s="261">
        <v>0.65</v>
      </c>
      <c r="K61" s="261">
        <v>0.65900000000000003</v>
      </c>
      <c r="L61" s="261">
        <v>0.67200000000000004</v>
      </c>
      <c r="M61" s="261">
        <v>0.67400000000000004</v>
      </c>
      <c r="N61" s="261">
        <v>0.66700000000000004</v>
      </c>
      <c r="O61" s="261">
        <v>0.67</v>
      </c>
      <c r="P61" s="261">
        <v>0.65700000000000003</v>
      </c>
      <c r="Q61" s="261">
        <v>0.65600000000000003</v>
      </c>
      <c r="R61" s="261">
        <v>0.65700000000000003</v>
      </c>
      <c r="S61" s="261">
        <v>0.65700000000000003</v>
      </c>
      <c r="T61" s="261">
        <v>0.65600000000000003</v>
      </c>
      <c r="U61" s="261">
        <v>0.65700000000000003</v>
      </c>
      <c r="V61" s="261">
        <v>0.65500000000000003</v>
      </c>
      <c r="W61" s="261">
        <v>0.65600000000000003</v>
      </c>
      <c r="X61" s="261">
        <v>0.67800000000000005</v>
      </c>
      <c r="Y61" s="261">
        <v>0.68700000000000006</v>
      </c>
      <c r="Z61" s="261">
        <v>0.68700000000000006</v>
      </c>
      <c r="AA61" s="261">
        <v>0.69099999999999995</v>
      </c>
      <c r="AB61" s="261">
        <v>0.68</v>
      </c>
      <c r="AC61" s="261">
        <v>0.67800000000000005</v>
      </c>
      <c r="AD61" s="261">
        <v>0.67800000000000005</v>
      </c>
      <c r="AE61" s="261">
        <v>0.68400000000000005</v>
      </c>
      <c r="AF61" s="261">
        <v>0.70099999999999996</v>
      </c>
      <c r="AG61" s="261"/>
      <c r="AH61" s="192"/>
      <c r="AI61">
        <v>0.64900000000000002</v>
      </c>
    </row>
    <row r="62" spans="1:128" ht="30" customHeight="1" x14ac:dyDescent="0.2">
      <c r="A62" s="26" t="s">
        <v>79</v>
      </c>
      <c r="B62" s="38" t="s">
        <v>5</v>
      </c>
      <c r="C62" s="261">
        <f>C60</f>
        <v>0.65777573603082851</v>
      </c>
      <c r="D62" s="261">
        <f>D60+C62</f>
        <v>1.3159092020238328</v>
      </c>
      <c r="E62" s="261">
        <f t="shared" ref="E62:AF62" si="278">E60+D62</f>
        <v>1.9912196589301181</v>
      </c>
      <c r="F62" s="261">
        <f t="shared" si="278"/>
        <v>2.6794999685861063</v>
      </c>
      <c r="G62" s="261">
        <f t="shared" si="278"/>
        <v>3.3609094298119011</v>
      </c>
      <c r="H62" s="261">
        <f t="shared" si="278"/>
        <v>4.0317295677686502</v>
      </c>
      <c r="I62" s="261">
        <f t="shared" si="278"/>
        <v>4.6876361762746477</v>
      </c>
      <c r="J62" s="261">
        <f t="shared" si="278"/>
        <v>5.339770930796611</v>
      </c>
      <c r="K62" s="261">
        <f t="shared" si="278"/>
        <v>6.0013578512593728</v>
      </c>
      <c r="L62" s="261">
        <f t="shared" si="278"/>
        <v>6.6746970340550718</v>
      </c>
      <c r="M62" s="261">
        <f t="shared" si="278"/>
        <v>7.3504704157844234</v>
      </c>
      <c r="N62" s="261">
        <f t="shared" si="278"/>
        <v>8.0200821286100386</v>
      </c>
      <c r="O62" s="261">
        <f t="shared" si="278"/>
        <v>8.6932402015267058</v>
      </c>
      <c r="P62" s="261">
        <f t="shared" si="278"/>
        <v>9.3512099515267053</v>
      </c>
      <c r="Q62" s="261">
        <f t="shared" si="278"/>
        <v>10.009161890317831</v>
      </c>
      <c r="R62" s="261">
        <f t="shared" si="278"/>
        <v>10.667279637095692</v>
      </c>
      <c r="S62" s="261">
        <f t="shared" si="278"/>
        <v>11.325239053949625</v>
      </c>
      <c r="T62" s="261">
        <f t="shared" si="278"/>
        <v>11.98304942700662</v>
      </c>
      <c r="U62" s="261">
        <f t="shared" si="278"/>
        <v>12.64185926062731</v>
      </c>
      <c r="V62" s="261">
        <f t="shared" si="278"/>
        <v>13.299188518226687</v>
      </c>
      <c r="W62" s="261">
        <f t="shared" si="278"/>
        <v>13.956635414182713</v>
      </c>
      <c r="X62" s="261">
        <f t="shared" si="278"/>
        <v>14.637283366950241</v>
      </c>
      <c r="Y62" s="261">
        <f t="shared" si="278"/>
        <v>15.32601023065182</v>
      </c>
      <c r="Z62" s="261">
        <f t="shared" si="278"/>
        <v>16.014200472706904</v>
      </c>
      <c r="AA62" s="261">
        <f t="shared" si="278"/>
        <v>16.708343329648411</v>
      </c>
      <c r="AB62" s="261">
        <f t="shared" si="278"/>
        <v>17.390943329648412</v>
      </c>
      <c r="AC62" s="261">
        <f t="shared" si="278"/>
        <v>18.074023382749346</v>
      </c>
      <c r="AD62" s="261">
        <f t="shared" si="278"/>
        <v>18.753856694749345</v>
      </c>
      <c r="AE62" s="261">
        <f t="shared" si="278"/>
        <v>19.439877287899513</v>
      </c>
      <c r="AF62" s="261">
        <f t="shared" si="278"/>
        <v>20.144062984234591</v>
      </c>
      <c r="AG62" s="261"/>
      <c r="AH62" s="192"/>
      <c r="AI62">
        <v>20.845065344773658</v>
      </c>
    </row>
    <row r="63" spans="1:128" ht="30" customHeight="1" x14ac:dyDescent="0.2">
      <c r="A63" s="26" t="s">
        <v>8</v>
      </c>
      <c r="B63" s="38" t="s">
        <v>5</v>
      </c>
      <c r="C63" s="268">
        <f t="shared" ref="C63:H63" si="279">41.5810653447737+C62</f>
        <v>42.238841080804526</v>
      </c>
      <c r="D63" s="268">
        <f t="shared" si="279"/>
        <v>42.89697454679753</v>
      </c>
      <c r="E63" s="268">
        <f t="shared" si="279"/>
        <v>43.572285003703819</v>
      </c>
      <c r="F63" s="268">
        <f t="shared" si="279"/>
        <v>44.260565313359805</v>
      </c>
      <c r="G63" s="268">
        <f t="shared" si="279"/>
        <v>44.941974774585603</v>
      </c>
      <c r="H63" s="268">
        <f t="shared" si="279"/>
        <v>45.612794912542348</v>
      </c>
      <c r="I63" s="268">
        <f t="shared" ref="I63:J63" si="280">41.5810653447737+I62</f>
        <v>46.268701521048342</v>
      </c>
      <c r="J63" s="268">
        <f t="shared" si="280"/>
        <v>46.920836275570309</v>
      </c>
      <c r="K63" s="268">
        <f t="shared" ref="K63:L63" si="281">41.5810653447737+K62</f>
        <v>47.582423196033069</v>
      </c>
      <c r="L63" s="268">
        <f t="shared" si="281"/>
        <v>48.25576237882877</v>
      </c>
      <c r="M63" s="268">
        <f t="shared" ref="M63:N63" si="282">41.5810653447737+M62</f>
        <v>48.93153576055812</v>
      </c>
      <c r="N63" s="268">
        <f t="shared" si="282"/>
        <v>49.601147473383733</v>
      </c>
      <c r="O63" s="268">
        <f t="shared" ref="O63:P63" si="283">41.5810653447737+O62</f>
        <v>50.274305546300404</v>
      </c>
      <c r="P63" s="268">
        <f t="shared" si="283"/>
        <v>50.932275296300404</v>
      </c>
      <c r="Q63" s="268">
        <f t="shared" ref="Q63:R63" si="284">41.5810653447737+Q62</f>
        <v>51.590227235091533</v>
      </c>
      <c r="R63" s="268">
        <f t="shared" si="284"/>
        <v>52.248344981869394</v>
      </c>
      <c r="S63" s="268">
        <f t="shared" ref="S63:T63" si="285">41.5810653447737+S62</f>
        <v>52.906304398723321</v>
      </c>
      <c r="T63" s="268">
        <f t="shared" si="285"/>
        <v>53.564114771780318</v>
      </c>
      <c r="U63" s="268">
        <f t="shared" ref="U63:V63" si="286">41.5810653447737+U62</f>
        <v>54.222924605401005</v>
      </c>
      <c r="V63" s="268">
        <f t="shared" si="286"/>
        <v>54.880253863000384</v>
      </c>
      <c r="W63" s="268">
        <f t="shared" ref="W63:X63" si="287">41.5810653447737+W62</f>
        <v>55.537700758956412</v>
      </c>
      <c r="X63" s="268">
        <f t="shared" si="287"/>
        <v>56.218348711723941</v>
      </c>
      <c r="Y63" s="268">
        <f t="shared" ref="Y63:Z63" si="288">41.5810653447737+Y62</f>
        <v>56.907075575425516</v>
      </c>
      <c r="Z63" s="268">
        <f t="shared" si="288"/>
        <v>57.595265817480602</v>
      </c>
      <c r="AA63" s="268">
        <f t="shared" ref="AA63:AB63" si="289">41.5810653447737+AA62</f>
        <v>58.289408674422106</v>
      </c>
      <c r="AB63" s="268">
        <f t="shared" si="289"/>
        <v>58.972008674422113</v>
      </c>
      <c r="AC63" s="268">
        <f t="shared" ref="AC63:AD63" si="290">41.5810653447737+AC62</f>
        <v>59.655088727523044</v>
      </c>
      <c r="AD63" s="268">
        <f t="shared" si="290"/>
        <v>60.334922039523043</v>
      </c>
      <c r="AE63" s="268">
        <f t="shared" ref="AE63:AF63" si="291">41.5810653447737+AE62</f>
        <v>61.020942632673211</v>
      </c>
      <c r="AF63" s="268">
        <f t="shared" si="291"/>
        <v>61.725128329008285</v>
      </c>
      <c r="AG63" s="268"/>
      <c r="AI63">
        <v>41.581065344773698</v>
      </c>
    </row>
    <row r="64" spans="1:128" ht="30" customHeight="1" x14ac:dyDescent="0.2">
      <c r="A64" s="26" t="s">
        <v>61</v>
      </c>
      <c r="B64" s="38" t="s">
        <v>10</v>
      </c>
      <c r="C64" s="262">
        <v>28</v>
      </c>
      <c r="D64" s="262">
        <v>28</v>
      </c>
      <c r="E64" s="262">
        <v>29</v>
      </c>
      <c r="F64" s="262">
        <v>29.5</v>
      </c>
      <c r="G64" s="262">
        <v>29</v>
      </c>
      <c r="H64" s="262">
        <v>29</v>
      </c>
      <c r="I64" s="262">
        <v>29</v>
      </c>
      <c r="J64" s="262">
        <v>28</v>
      </c>
      <c r="K64" s="262">
        <v>28</v>
      </c>
      <c r="L64" s="262">
        <v>29</v>
      </c>
      <c r="M64" s="262">
        <v>29</v>
      </c>
      <c r="N64" s="262">
        <v>30</v>
      </c>
      <c r="O64" s="262">
        <v>29</v>
      </c>
      <c r="P64" s="262">
        <v>28</v>
      </c>
      <c r="Q64" s="262">
        <v>28.5</v>
      </c>
      <c r="R64" s="262">
        <v>28.5</v>
      </c>
      <c r="S64" s="262">
        <v>28.5</v>
      </c>
      <c r="T64" s="262">
        <v>28.5</v>
      </c>
      <c r="U64" s="262">
        <v>28</v>
      </c>
      <c r="V64" s="262">
        <v>28</v>
      </c>
      <c r="W64" s="262">
        <v>28</v>
      </c>
      <c r="X64" s="262">
        <v>29</v>
      </c>
      <c r="Y64" s="262">
        <v>30</v>
      </c>
      <c r="Z64" s="262">
        <v>30</v>
      </c>
      <c r="AA64" s="262">
        <v>30</v>
      </c>
      <c r="AB64" s="262">
        <v>30</v>
      </c>
      <c r="AC64" s="262">
        <v>30</v>
      </c>
      <c r="AD64" s="262">
        <v>30</v>
      </c>
      <c r="AE64" s="262">
        <v>30</v>
      </c>
      <c r="AF64" s="262">
        <v>30</v>
      </c>
      <c r="AG64" s="262"/>
      <c r="AH64" s="192"/>
      <c r="AI64">
        <v>28.5</v>
      </c>
    </row>
    <row r="65" spans="1:35" ht="30" customHeight="1" x14ac:dyDescent="0.2">
      <c r="A65" s="26" t="s">
        <v>62</v>
      </c>
      <c r="B65" s="38" t="s">
        <v>10</v>
      </c>
      <c r="C65" s="262">
        <v>27</v>
      </c>
      <c r="D65" s="262">
        <v>27</v>
      </c>
      <c r="E65" s="262">
        <v>28</v>
      </c>
      <c r="F65" s="262">
        <v>29</v>
      </c>
      <c r="G65" s="262">
        <v>29</v>
      </c>
      <c r="H65" s="262">
        <v>28</v>
      </c>
      <c r="I65" s="262">
        <v>27.5</v>
      </c>
      <c r="J65" s="262">
        <v>27</v>
      </c>
      <c r="K65" s="262">
        <v>27</v>
      </c>
      <c r="L65" s="262">
        <v>27</v>
      </c>
      <c r="M65" s="262">
        <v>28</v>
      </c>
      <c r="N65" s="262">
        <v>28</v>
      </c>
      <c r="O65" s="262">
        <v>28</v>
      </c>
      <c r="P65" s="262">
        <v>27</v>
      </c>
      <c r="Q65" s="262">
        <v>27.5</v>
      </c>
      <c r="R65" s="262">
        <v>27.5</v>
      </c>
      <c r="S65" s="262">
        <v>27</v>
      </c>
      <c r="T65" s="262">
        <v>27</v>
      </c>
      <c r="U65" s="262">
        <v>28</v>
      </c>
      <c r="V65" s="262">
        <v>27</v>
      </c>
      <c r="W65" s="262">
        <v>27</v>
      </c>
      <c r="X65" s="262">
        <v>27</v>
      </c>
      <c r="Y65" s="262">
        <v>28</v>
      </c>
      <c r="Z65" s="262">
        <v>28</v>
      </c>
      <c r="AA65" s="262">
        <v>29.5</v>
      </c>
      <c r="AB65" s="262">
        <v>29</v>
      </c>
      <c r="AC65" s="262">
        <v>28</v>
      </c>
      <c r="AD65" s="262">
        <v>28</v>
      </c>
      <c r="AE65" s="262">
        <v>29</v>
      </c>
      <c r="AF65" s="262">
        <v>29</v>
      </c>
      <c r="AG65" s="262"/>
      <c r="AH65" s="192"/>
      <c r="AI65">
        <v>27</v>
      </c>
    </row>
    <row r="66" spans="1:35" ht="30" customHeight="1" x14ac:dyDescent="0.2">
      <c r="A66" s="26" t="s">
        <v>63</v>
      </c>
      <c r="B66" s="38" t="s">
        <v>10</v>
      </c>
      <c r="C66" s="262">
        <f>C60*1000/24</f>
        <v>27.407322334617856</v>
      </c>
      <c r="D66" s="262">
        <f t="shared" ref="D66:E66" si="292">D60*1000/24</f>
        <v>27.422227749708512</v>
      </c>
      <c r="E66" s="262">
        <f t="shared" si="292"/>
        <v>28.137935704428557</v>
      </c>
      <c r="F66" s="262">
        <f t="shared" ref="F66:G66" si="293">F60*1000/24</f>
        <v>28.678346235666183</v>
      </c>
      <c r="G66" s="262">
        <f t="shared" si="293"/>
        <v>28.392060884408114</v>
      </c>
      <c r="H66" s="262">
        <f t="shared" ref="H66:I66" si="294">H60*1000/24</f>
        <v>27.9508390815312</v>
      </c>
      <c r="I66" s="262">
        <f t="shared" si="294"/>
        <v>27.329442021083242</v>
      </c>
      <c r="J66" s="262">
        <f t="shared" ref="J66:K66" si="295">J60*1000/24</f>
        <v>27.172281438415158</v>
      </c>
      <c r="K66" s="262">
        <f t="shared" si="295"/>
        <v>27.566121685948417</v>
      </c>
      <c r="L66" s="262">
        <f t="shared" ref="L66:M66" si="296">L60*1000/24</f>
        <v>28.055799283154119</v>
      </c>
      <c r="M66" s="262">
        <f t="shared" si="296"/>
        <v>28.157224238722964</v>
      </c>
      <c r="N66" s="262">
        <f t="shared" ref="N66:O66" si="297">N60*1000/24</f>
        <v>27.900488034400624</v>
      </c>
      <c r="O66" s="262">
        <f t="shared" si="297"/>
        <v>28.048253038194446</v>
      </c>
      <c r="P66" s="262">
        <f t="shared" ref="P66:Q66" si="298">P60*1000/24</f>
        <v>27.41540625</v>
      </c>
      <c r="Q66" s="262">
        <f t="shared" si="298"/>
        <v>27.414664116296866</v>
      </c>
      <c r="R66" s="262">
        <f t="shared" ref="R66:S66" si="299">R60*1000/24</f>
        <v>27.421572782410923</v>
      </c>
      <c r="S66" s="262">
        <f t="shared" si="299"/>
        <v>27.414975702247194</v>
      </c>
      <c r="T66" s="262">
        <f t="shared" ref="T66:U66" si="300">T60*1000/24</f>
        <v>27.408765544041454</v>
      </c>
      <c r="U66" s="262">
        <f t="shared" si="300"/>
        <v>27.450409734195407</v>
      </c>
      <c r="V66" s="262">
        <f t="shared" ref="V66:W66" si="301">V60*1000/24</f>
        <v>27.388719066640689</v>
      </c>
      <c r="W66" s="262">
        <f t="shared" si="301"/>
        <v>27.393620664834444</v>
      </c>
      <c r="X66" s="262">
        <f t="shared" ref="X66:Y66" si="302">X60*1000/24</f>
        <v>28.360331365313655</v>
      </c>
      <c r="Y66" s="262">
        <f t="shared" si="302"/>
        <v>28.696952654232422</v>
      </c>
      <c r="Z66" s="262">
        <f t="shared" ref="Z66:AA66" si="303">Z60*1000/24</f>
        <v>28.674593418961862</v>
      </c>
      <c r="AA66" s="262">
        <f t="shared" si="303"/>
        <v>28.922619039229502</v>
      </c>
      <c r="AB66" s="262">
        <f t="shared" ref="AB66:AC66" si="304">AB60*1000/24</f>
        <v>28.441666666666666</v>
      </c>
      <c r="AC66" s="262">
        <f t="shared" si="304"/>
        <v>28.461668879205515</v>
      </c>
      <c r="AD66" s="262">
        <f t="shared" ref="AD66:AE66" si="305">AD60*1000/24</f>
        <v>28.326387999999998</v>
      </c>
      <c r="AE66" s="262">
        <f t="shared" si="305"/>
        <v>28.584191381257057</v>
      </c>
      <c r="AF66" s="262">
        <f t="shared" ref="AF66" si="306">AF60*1000/24</f>
        <v>29.341070680628267</v>
      </c>
      <c r="AG66" s="262"/>
      <c r="AH66" s="192"/>
      <c r="AI66">
        <v>27.160562161639604</v>
      </c>
    </row>
    <row r="67" spans="1:35" ht="30" customHeight="1" x14ac:dyDescent="0.2">
      <c r="A67" s="48" t="s">
        <v>12</v>
      </c>
      <c r="B67" s="332"/>
      <c r="C67" s="474" t="s">
        <v>517</v>
      </c>
      <c r="D67" s="475"/>
      <c r="E67" s="475"/>
      <c r="F67" s="475"/>
      <c r="G67" s="475"/>
      <c r="H67" s="475"/>
      <c r="I67" s="475"/>
      <c r="J67" s="475"/>
      <c r="K67" s="475"/>
      <c r="L67" s="475"/>
      <c r="M67" s="475"/>
      <c r="N67" s="475"/>
      <c r="O67" s="475"/>
      <c r="P67" s="475"/>
      <c r="Q67" s="475"/>
      <c r="R67" s="475"/>
      <c r="S67" s="475"/>
      <c r="T67" s="475"/>
      <c r="U67" s="475"/>
      <c r="V67" s="475"/>
      <c r="W67" s="475"/>
      <c r="X67" s="475"/>
      <c r="Y67" s="475"/>
      <c r="Z67" s="475"/>
      <c r="AA67" s="475"/>
      <c r="AB67" s="475"/>
      <c r="AC67" s="475"/>
      <c r="AD67" s="475"/>
      <c r="AE67" s="475"/>
      <c r="AF67" s="475"/>
      <c r="AG67" s="475"/>
      <c r="AH67" s="192"/>
    </row>
    <row r="68" spans="1:35" ht="30" customHeight="1" x14ac:dyDescent="0.2">
      <c r="A68" s="26" t="s">
        <v>78</v>
      </c>
      <c r="B68" s="38" t="s">
        <v>13</v>
      </c>
      <c r="C68" s="259">
        <f>(C60*100000)/(28*24)</f>
        <v>97.883294052206637</v>
      </c>
      <c r="D68" s="259">
        <f t="shared" ref="D68:E68" si="307">(D60*100000)/(28*24)</f>
        <v>97.936527677530393</v>
      </c>
      <c r="E68" s="259">
        <f t="shared" si="307"/>
        <v>100.49262751581628</v>
      </c>
      <c r="F68" s="259">
        <f t="shared" ref="F68:G68" si="308">(F60*100000)/(28*24)</f>
        <v>102.42266512737922</v>
      </c>
      <c r="G68" s="259">
        <f t="shared" si="308"/>
        <v>101.40021744431468</v>
      </c>
      <c r="H68" s="259">
        <f t="shared" ref="H68:I68" si="309">(H60*100000)/(28*24)</f>
        <v>99.824425291182862</v>
      </c>
      <c r="I68" s="259">
        <f t="shared" si="309"/>
        <v>97.605150075297303</v>
      </c>
      <c r="J68" s="259">
        <f t="shared" ref="J68:K68" si="310">(J60*100000)/(28*24)</f>
        <v>97.043862280054128</v>
      </c>
      <c r="K68" s="259">
        <f t="shared" si="310"/>
        <v>98.45043459267292</v>
      </c>
      <c r="L68" s="259">
        <f t="shared" ref="L68:M68" si="311">(L60*100000)/(28*24)</f>
        <v>100.19928315412186</v>
      </c>
      <c r="M68" s="259">
        <f t="shared" si="311"/>
        <v>100.56151513829631</v>
      </c>
      <c r="N68" s="259">
        <f t="shared" ref="N68:O68" si="312">(N60*100000)/(28*24)</f>
        <v>99.644600122859373</v>
      </c>
      <c r="O68" s="259">
        <f t="shared" si="312"/>
        <v>100.17233227926587</v>
      </c>
      <c r="P68" s="259">
        <f t="shared" ref="P68:Q68" si="313">(P60*100000)/(28*24)</f>
        <v>97.912165178571442</v>
      </c>
      <c r="Q68" s="259">
        <f t="shared" si="313"/>
        <v>97.909514701060246</v>
      </c>
      <c r="R68" s="259">
        <f t="shared" ref="R68:S68" si="314">(R60*100000)/(28*24)</f>
        <v>97.934188508610447</v>
      </c>
      <c r="S68" s="259">
        <f t="shared" si="314"/>
        <v>97.910627508025684</v>
      </c>
      <c r="T68" s="259">
        <f t="shared" ref="T68:U68" si="315">(T60*100000)/(28*24)</f>
        <v>97.888448371576615</v>
      </c>
      <c r="U68" s="259">
        <f t="shared" si="315"/>
        <v>98.03717762212645</v>
      </c>
      <c r="V68" s="259">
        <f t="shared" ref="V68:W68" si="316">(V60*100000)/(28*24)</f>
        <v>97.816853809431038</v>
      </c>
      <c r="W68" s="259">
        <f t="shared" si="316"/>
        <v>97.834359517265881</v>
      </c>
      <c r="X68" s="259">
        <f t="shared" ref="X68:Y68" si="317">(X60*100000)/(28*24)</f>
        <v>101.28689773326306</v>
      </c>
      <c r="Y68" s="259">
        <f t="shared" si="317"/>
        <v>102.48911662225866</v>
      </c>
      <c r="Z68" s="259">
        <f t="shared" ref="Z68:AA68" si="318">(Z60*100000)/(28*24)</f>
        <v>102.40926221057808</v>
      </c>
      <c r="AA68" s="259">
        <f t="shared" si="318"/>
        <v>103.29506799724822</v>
      </c>
      <c r="AB68" s="259">
        <f t="shared" ref="AB68:AC68" si="319">(AB60*100000)/(28*24)</f>
        <v>101.57738095238095</v>
      </c>
      <c r="AC68" s="259">
        <f t="shared" si="319"/>
        <v>101.64881742573397</v>
      </c>
      <c r="AD68" s="259">
        <f t="shared" ref="AD68:AE68" si="320">(AD60*100000)/(28*24)</f>
        <v>101.16567142857143</v>
      </c>
      <c r="AE68" s="259">
        <f t="shared" si="320"/>
        <v>102.08639779020379</v>
      </c>
      <c r="AF68" s="259">
        <f t="shared" ref="AF68" si="321">(AF60*100000)/(28*24)</f>
        <v>104.78953814510095</v>
      </c>
      <c r="AG68" s="259"/>
      <c r="AH68" s="192"/>
      <c r="AI68">
        <v>97.002007720141435</v>
      </c>
    </row>
    <row r="69" spans="1:35" ht="30" customHeight="1" x14ac:dyDescent="0.2">
      <c r="A69" s="26" t="s">
        <v>79</v>
      </c>
      <c r="B69" s="38" t="s">
        <v>13</v>
      </c>
      <c r="C69" s="259">
        <f t="shared" ref="C69:D69" si="322">(C62*1000)/(28*24*C2)%</f>
        <v>97.883294052206622</v>
      </c>
      <c r="D69" s="259">
        <f t="shared" si="322"/>
        <v>97.909910864868507</v>
      </c>
      <c r="E69" s="259">
        <f t="shared" ref="E69:F69" si="323">(E62*1000)/(28*24*E2)%</f>
        <v>98.770816415184427</v>
      </c>
      <c r="F69" s="259">
        <f t="shared" si="323"/>
        <v>99.683778593233114</v>
      </c>
      <c r="G69" s="259">
        <f t="shared" ref="G69:H69" si="324">(G62*1000)/(28*24*G2)%</f>
        <v>100.02706636344944</v>
      </c>
      <c r="H69" s="259">
        <f t="shared" si="324"/>
        <v>99.993292851405016</v>
      </c>
      <c r="I69" s="259">
        <f t="shared" ref="I69:J69" si="325">(I62*1000)/(28*24*I2)%</f>
        <v>99.652129597675327</v>
      </c>
      <c r="J69" s="259">
        <f t="shared" si="325"/>
        <v>99.326096182972677</v>
      </c>
      <c r="K69" s="259">
        <f t="shared" ref="K69:L69" si="326">(K62*1000)/(28*24*K2)%</f>
        <v>99.228800450717159</v>
      </c>
      <c r="L69" s="259">
        <f t="shared" si="326"/>
        <v>99.325848721057611</v>
      </c>
      <c r="M69" s="259">
        <f t="shared" ref="M69:N69" si="327">(M62*1000)/(28*24*M2)%</f>
        <v>99.438182031715684</v>
      </c>
      <c r="N69" s="259">
        <f t="shared" si="327"/>
        <v>99.455383539310986</v>
      </c>
      <c r="O69" s="259">
        <f t="shared" ref="O69:P69" si="328">(O62*1000)/(28*24*O2)%</f>
        <v>99.510533442384443</v>
      </c>
      <c r="P69" s="259">
        <f t="shared" si="328"/>
        <v>99.396364280683514</v>
      </c>
      <c r="Q69" s="259">
        <f t="shared" ref="Q69:R69" si="329">(Q62*1000)/(28*24*Q2)%</f>
        <v>99.297240975375317</v>
      </c>
      <c r="R69" s="259">
        <f t="shared" si="329"/>
        <v>99.212050196202512</v>
      </c>
      <c r="S69" s="259">
        <f t="shared" ref="S69:T69" si="330">(S62*1000)/(28*24*S2)%</f>
        <v>99.135495920427388</v>
      </c>
      <c r="T69" s="259">
        <f t="shared" si="330"/>
        <v>99.066215501046784</v>
      </c>
      <c r="U69" s="259">
        <f t="shared" ref="U69:V69" si="331">(U62*1000)/(28*24*U2)%</f>
        <v>99.012055612682559</v>
      </c>
      <c r="V69" s="259">
        <f t="shared" si="331"/>
        <v>98.952295522519989</v>
      </c>
      <c r="W69" s="259">
        <f t="shared" ref="W69:X69" si="332">(W62*1000)/(28*24*W2)%</f>
        <v>98.899060474650753</v>
      </c>
      <c r="X69" s="259">
        <f t="shared" si="332"/>
        <v>99.007598531860395</v>
      </c>
      <c r="Y69" s="259">
        <f t="shared" ref="Y69:Z69" si="333">(Y62*1000)/(28*24*Y2)%</f>
        <v>99.158968883616851</v>
      </c>
      <c r="Z69" s="259">
        <f t="shared" si="333"/>
        <v>99.294397772240217</v>
      </c>
      <c r="AA69" s="259">
        <f t="shared" ref="AA69:AB69" si="334">(AA62*1000)/(28*24*AA2)%</f>
        <v>99.454424581240545</v>
      </c>
      <c r="AB69" s="259">
        <f t="shared" si="334"/>
        <v>99.536076749361342</v>
      </c>
      <c r="AC69" s="259">
        <f t="shared" ref="AC69:AD69" si="335">(AC62*1000)/(28*24*AC2)%</f>
        <v>99.614326404041819</v>
      </c>
      <c r="AD69" s="259">
        <f t="shared" si="335"/>
        <v>99.669731583489295</v>
      </c>
      <c r="AE69" s="259">
        <f t="shared" ref="AE69:AF69" si="336">(AE62*1000)/(28*24*AE2)%</f>
        <v>99.753064900962187</v>
      </c>
      <c r="AF69" s="259">
        <f t="shared" si="336"/>
        <v>99.920947342433493</v>
      </c>
      <c r="AG69" s="259"/>
      <c r="AH69" s="192"/>
      <c r="AI69">
        <v>100.06271766884437</v>
      </c>
    </row>
    <row r="70" spans="1:35" ht="30" customHeight="1" x14ac:dyDescent="0.2">
      <c r="A70" s="26" t="s">
        <v>8</v>
      </c>
      <c r="B70" s="38" t="s">
        <v>13</v>
      </c>
      <c r="C70" s="259">
        <f t="shared" ref="C70:H70" si="337">(C63*10^3)/((24*(30+C2+31)*28)%)</f>
        <v>101.37970689517216</v>
      </c>
      <c r="D70" s="259">
        <f t="shared" si="337"/>
        <v>101.32505325679688</v>
      </c>
      <c r="E70" s="259">
        <f t="shared" si="337"/>
        <v>101.31204660459407</v>
      </c>
      <c r="F70" s="259">
        <f t="shared" si="337"/>
        <v>101.32913304340615</v>
      </c>
      <c r="G70" s="259">
        <f t="shared" si="337"/>
        <v>101.33021007978355</v>
      </c>
      <c r="H70" s="259">
        <f t="shared" si="337"/>
        <v>101.30773567995368</v>
      </c>
      <c r="I70" s="259">
        <f t="shared" ref="I70:J70" si="338">(I63*10^3)/((24*(30+I2+31)*28)%)</f>
        <v>101.25328589164992</v>
      </c>
      <c r="J70" s="259">
        <f t="shared" si="338"/>
        <v>101.19227975235144</v>
      </c>
      <c r="K70" s="259">
        <f t="shared" ref="K70:L70" si="339">(K63*10^3)/((24*(30+K2+31)*28)%)</f>
        <v>101.15311053578459</v>
      </c>
      <c r="L70" s="259">
        <f t="shared" si="339"/>
        <v>101.13967634731046</v>
      </c>
      <c r="M70" s="259">
        <f t="shared" ref="M70:N70" si="340">(M63*10^3)/((24*(30+M2+31)*28)%)</f>
        <v>101.13164633051861</v>
      </c>
      <c r="N70" s="259">
        <f t="shared" si="340"/>
        <v>101.11127583452325</v>
      </c>
      <c r="O70" s="259">
        <f t="shared" ref="O70:P70" si="341">(O63*10^3)/((24*(30+O2+31)*28)%)</f>
        <v>101.09858740810088</v>
      </c>
      <c r="P70" s="259">
        <f t="shared" si="341"/>
        <v>101.05610177837382</v>
      </c>
      <c r="Q70" s="259">
        <f t="shared" ref="Q70:R70" si="342">(Q63*10^3)/((24*(30+Q2+31)*28)%)</f>
        <v>101.01469931683022</v>
      </c>
      <c r="R70" s="259">
        <f t="shared" si="342"/>
        <v>100.97469268295723</v>
      </c>
      <c r="S70" s="259">
        <f t="shared" ref="S70:T70" si="343">(S63*10^3)/((24*(30+S2+31)*28)%)</f>
        <v>100.93540979609915</v>
      </c>
      <c r="T70" s="259">
        <f t="shared" si="343"/>
        <v>100.89684066414316</v>
      </c>
      <c r="U70" s="259">
        <f t="shared" ref="U70:V70" si="344">(U63*10^3)/((24*(30+U2+31)*28)%)</f>
        <v>100.86109487611795</v>
      </c>
      <c r="V70" s="259">
        <f t="shared" si="344"/>
        <v>100.82351165307242</v>
      </c>
      <c r="W70" s="259">
        <f t="shared" ref="W70:X70" si="345">(W63*10^3)/((24*(30+W2+31)*28)%)</f>
        <v>100.78705857824552</v>
      </c>
      <c r="X70" s="259">
        <f t="shared" si="345"/>
        <v>100.79308073673971</v>
      </c>
      <c r="Y70" s="259">
        <f t="shared" ref="Y70:Z70" si="346">(Y63*10^3)/((24*(30+Y2+31)*28)%)</f>
        <v>100.81327164013874</v>
      </c>
      <c r="Z70" s="259">
        <f t="shared" si="346"/>
        <v>100.83204799979096</v>
      </c>
      <c r="AA70" s="259">
        <f t="shared" ref="AA70:AB70" si="347">(AA63*10^3)/((24*(30+AA2+31)*28)%)</f>
        <v>100.86068776720326</v>
      </c>
      <c r="AB70" s="259">
        <f t="shared" si="347"/>
        <v>100.86892561990646</v>
      </c>
      <c r="AC70" s="259">
        <f t="shared" ref="AC70:AD70" si="348">(AC63*10^3)/((24*(30+AC2+31)*28)%)</f>
        <v>100.87778802679085</v>
      </c>
      <c r="AD70" s="259">
        <f t="shared" si="348"/>
        <v>100.88102267175468</v>
      </c>
      <c r="AE70" s="259">
        <f t="shared" ref="AE70:AF70" si="349">(AE63*10^3)/((24*(30+AE2+31)*28)%)</f>
        <v>100.89441572862636</v>
      </c>
      <c r="AF70" s="259">
        <f t="shared" si="349"/>
        <v>100.93721927166452</v>
      </c>
      <c r="AG70" s="259"/>
      <c r="AI70">
        <v>101.43702513849937</v>
      </c>
    </row>
    <row r="71" spans="1:35" ht="30" customHeight="1" x14ac:dyDescent="0.2">
      <c r="A71" s="26" t="s">
        <v>64</v>
      </c>
      <c r="B71" s="38" t="s">
        <v>65</v>
      </c>
      <c r="C71" s="262">
        <v>24</v>
      </c>
      <c r="D71" s="262">
        <v>24</v>
      </c>
      <c r="E71" s="262">
        <v>24</v>
      </c>
      <c r="F71" s="262">
        <v>24</v>
      </c>
      <c r="G71" s="262">
        <v>24</v>
      </c>
      <c r="H71" s="262">
        <v>24</v>
      </c>
      <c r="I71" s="262">
        <v>24</v>
      </c>
      <c r="J71" s="262">
        <v>24</v>
      </c>
      <c r="K71" s="262">
        <v>24</v>
      </c>
      <c r="L71" s="262">
        <v>24</v>
      </c>
      <c r="M71" s="262">
        <v>24</v>
      </c>
      <c r="N71" s="262">
        <v>24</v>
      </c>
      <c r="O71" s="262">
        <v>24</v>
      </c>
      <c r="P71" s="262">
        <v>24</v>
      </c>
      <c r="Q71" s="262">
        <v>24</v>
      </c>
      <c r="R71" s="262">
        <v>24</v>
      </c>
      <c r="S71" s="262">
        <v>24</v>
      </c>
      <c r="T71" s="262">
        <v>24</v>
      </c>
      <c r="U71" s="262">
        <v>24</v>
      </c>
      <c r="V71" s="262">
        <v>24</v>
      </c>
      <c r="W71" s="262">
        <v>24</v>
      </c>
      <c r="X71" s="262">
        <v>24</v>
      </c>
      <c r="Y71" s="262">
        <v>24</v>
      </c>
      <c r="Z71" s="262">
        <v>24</v>
      </c>
      <c r="AA71" s="262">
        <v>24</v>
      </c>
      <c r="AB71" s="262">
        <v>24</v>
      </c>
      <c r="AC71" s="262">
        <v>24</v>
      </c>
      <c r="AD71" s="262">
        <v>24</v>
      </c>
      <c r="AE71" s="262">
        <v>24</v>
      </c>
      <c r="AF71" s="262">
        <v>24</v>
      </c>
      <c r="AG71" s="262"/>
      <c r="AH71" s="192"/>
      <c r="AI71">
        <v>24</v>
      </c>
    </row>
    <row r="72" spans="1:35" ht="30" customHeight="1" x14ac:dyDescent="0.2">
      <c r="A72" s="26" t="s">
        <v>66</v>
      </c>
      <c r="B72" s="38" t="s">
        <v>65</v>
      </c>
      <c r="C72" s="263">
        <f>C71</f>
        <v>24</v>
      </c>
      <c r="D72" s="263">
        <f t="shared" ref="D72:AF72" si="350">D71+C72</f>
        <v>48</v>
      </c>
      <c r="E72" s="263">
        <f t="shared" si="350"/>
        <v>72</v>
      </c>
      <c r="F72" s="263">
        <f t="shared" si="350"/>
        <v>96</v>
      </c>
      <c r="G72" s="263">
        <f t="shared" si="350"/>
        <v>120</v>
      </c>
      <c r="H72" s="263">
        <f t="shared" si="350"/>
        <v>144</v>
      </c>
      <c r="I72" s="263">
        <f t="shared" si="350"/>
        <v>168</v>
      </c>
      <c r="J72" s="263">
        <f t="shared" si="350"/>
        <v>192</v>
      </c>
      <c r="K72" s="263">
        <f t="shared" si="350"/>
        <v>216</v>
      </c>
      <c r="L72" s="263">
        <f t="shared" si="350"/>
        <v>240</v>
      </c>
      <c r="M72" s="263">
        <f t="shared" si="350"/>
        <v>264</v>
      </c>
      <c r="N72" s="263">
        <f t="shared" si="350"/>
        <v>288</v>
      </c>
      <c r="O72" s="263">
        <f t="shared" si="350"/>
        <v>312</v>
      </c>
      <c r="P72" s="263">
        <f t="shared" si="350"/>
        <v>336</v>
      </c>
      <c r="Q72" s="263">
        <f t="shared" si="350"/>
        <v>360</v>
      </c>
      <c r="R72" s="263">
        <f t="shared" si="350"/>
        <v>384</v>
      </c>
      <c r="S72" s="263">
        <f t="shared" si="350"/>
        <v>408</v>
      </c>
      <c r="T72" s="263">
        <f t="shared" si="350"/>
        <v>432</v>
      </c>
      <c r="U72" s="263">
        <f t="shared" si="350"/>
        <v>456</v>
      </c>
      <c r="V72" s="263">
        <f t="shared" si="350"/>
        <v>480</v>
      </c>
      <c r="W72" s="263">
        <f t="shared" si="350"/>
        <v>504</v>
      </c>
      <c r="X72" s="263">
        <f t="shared" si="350"/>
        <v>528</v>
      </c>
      <c r="Y72" s="263">
        <f t="shared" si="350"/>
        <v>552</v>
      </c>
      <c r="Z72" s="263">
        <f t="shared" si="350"/>
        <v>576</v>
      </c>
      <c r="AA72" s="263">
        <f t="shared" si="350"/>
        <v>600</v>
      </c>
      <c r="AB72" s="263">
        <f t="shared" si="350"/>
        <v>624</v>
      </c>
      <c r="AC72" s="263">
        <f t="shared" si="350"/>
        <v>648</v>
      </c>
      <c r="AD72" s="263">
        <f t="shared" si="350"/>
        <v>672</v>
      </c>
      <c r="AE72" s="263">
        <f t="shared" si="350"/>
        <v>696</v>
      </c>
      <c r="AF72" s="263">
        <f t="shared" si="350"/>
        <v>720</v>
      </c>
      <c r="AG72" s="263"/>
      <c r="AH72" s="192"/>
      <c r="AI72">
        <v>738.12</v>
      </c>
    </row>
    <row r="73" spans="1:35" ht="30" customHeight="1" x14ac:dyDescent="0.2">
      <c r="A73" s="26" t="s">
        <v>67</v>
      </c>
      <c r="B73" s="404" t="s">
        <v>65</v>
      </c>
      <c r="C73" s="263">
        <f t="shared" ref="C73:H73" si="351">1458.12+C72</f>
        <v>1482.12</v>
      </c>
      <c r="D73" s="263">
        <f t="shared" si="351"/>
        <v>1506.12</v>
      </c>
      <c r="E73" s="263">
        <f t="shared" si="351"/>
        <v>1530.12</v>
      </c>
      <c r="F73" s="263">
        <f t="shared" si="351"/>
        <v>1554.12</v>
      </c>
      <c r="G73" s="263">
        <f t="shared" si="351"/>
        <v>1578.12</v>
      </c>
      <c r="H73" s="263">
        <f t="shared" si="351"/>
        <v>1602.12</v>
      </c>
      <c r="I73" s="263">
        <f t="shared" ref="I73:J73" si="352">1458.12+I72</f>
        <v>1626.12</v>
      </c>
      <c r="J73" s="263">
        <f t="shared" si="352"/>
        <v>1650.12</v>
      </c>
      <c r="K73" s="263">
        <f t="shared" ref="K73:L73" si="353">1458.12+K72</f>
        <v>1674.12</v>
      </c>
      <c r="L73" s="263">
        <f t="shared" si="353"/>
        <v>1698.12</v>
      </c>
      <c r="M73" s="263">
        <f t="shared" ref="M73:N73" si="354">1458.12+M72</f>
        <v>1722.12</v>
      </c>
      <c r="N73" s="263">
        <f t="shared" si="354"/>
        <v>1746.12</v>
      </c>
      <c r="O73" s="263">
        <f t="shared" ref="O73:P73" si="355">1458.12+O72</f>
        <v>1770.12</v>
      </c>
      <c r="P73" s="263">
        <f t="shared" si="355"/>
        <v>1794.12</v>
      </c>
      <c r="Q73" s="263">
        <f t="shared" ref="Q73:R73" si="356">1458.12+Q72</f>
        <v>1818.12</v>
      </c>
      <c r="R73" s="263">
        <f t="shared" si="356"/>
        <v>1842.12</v>
      </c>
      <c r="S73" s="263">
        <f t="shared" ref="S73:T73" si="357">1458.12+S72</f>
        <v>1866.12</v>
      </c>
      <c r="T73" s="263">
        <f t="shared" si="357"/>
        <v>1890.12</v>
      </c>
      <c r="U73" s="263">
        <f t="shared" ref="U73:V73" si="358">1458.12+U72</f>
        <v>1914.12</v>
      </c>
      <c r="V73" s="263">
        <f t="shared" si="358"/>
        <v>1938.12</v>
      </c>
      <c r="W73" s="263">
        <f t="shared" ref="W73:X73" si="359">1458.12+W72</f>
        <v>1962.12</v>
      </c>
      <c r="X73" s="263">
        <f t="shared" si="359"/>
        <v>1986.12</v>
      </c>
      <c r="Y73" s="263">
        <f t="shared" ref="Y73:Z73" si="360">1458.12+Y72</f>
        <v>2010.12</v>
      </c>
      <c r="Z73" s="263">
        <f t="shared" si="360"/>
        <v>2034.12</v>
      </c>
      <c r="AA73" s="263">
        <f t="shared" ref="AA73:AB73" si="361">1458.12+AA72</f>
        <v>2058.12</v>
      </c>
      <c r="AB73" s="263">
        <f t="shared" si="361"/>
        <v>2082.12</v>
      </c>
      <c r="AC73" s="263">
        <f t="shared" ref="AC73:AD73" si="362">1458.12+AC72</f>
        <v>2106.12</v>
      </c>
      <c r="AD73" s="263">
        <f t="shared" si="362"/>
        <v>2130.12</v>
      </c>
      <c r="AE73" s="263">
        <f t="shared" ref="AE73:AF73" si="363">1458.12+AE72</f>
        <v>2154.12</v>
      </c>
      <c r="AF73" s="263">
        <f t="shared" si="363"/>
        <v>2178.12</v>
      </c>
      <c r="AG73" s="263"/>
      <c r="AH73" s="192"/>
      <c r="AI73">
        <v>1458.12</v>
      </c>
    </row>
    <row r="74" spans="1:35" ht="30" customHeight="1" x14ac:dyDescent="0.2">
      <c r="A74" s="48" t="s">
        <v>492</v>
      </c>
      <c r="B74" s="469" t="s">
        <v>500</v>
      </c>
      <c r="C74" s="470"/>
      <c r="D74" s="470"/>
      <c r="E74" s="470"/>
      <c r="F74" s="470"/>
      <c r="G74" s="470"/>
      <c r="H74" s="470"/>
      <c r="I74" s="470"/>
      <c r="J74" s="470"/>
      <c r="K74" s="470"/>
      <c r="L74" s="470"/>
      <c r="M74" s="470"/>
      <c r="N74" s="470"/>
      <c r="O74" s="470"/>
      <c r="P74" s="470"/>
      <c r="Q74" s="470"/>
      <c r="R74" s="470"/>
      <c r="S74" s="470"/>
      <c r="T74" s="470"/>
      <c r="U74" s="470"/>
      <c r="V74" s="470"/>
      <c r="W74" s="470"/>
      <c r="X74" s="470"/>
      <c r="Y74" s="470"/>
      <c r="Z74" s="470"/>
      <c r="AA74" s="470"/>
      <c r="AB74" s="470"/>
      <c r="AC74" s="471"/>
      <c r="AD74" s="48"/>
      <c r="AE74" s="48"/>
      <c r="AF74" s="48"/>
      <c r="AG74" s="48"/>
      <c r="AH74" s="48"/>
      <c r="AI74" s="48"/>
    </row>
    <row r="75" spans="1:35" ht="30" customHeight="1" x14ac:dyDescent="0.2">
      <c r="A75" s="387" t="s">
        <v>59</v>
      </c>
      <c r="B75" s="388" t="s">
        <v>13</v>
      </c>
      <c r="C75" s="389">
        <f>MIN(C79,(BOILERS!D66/4*100))</f>
        <v>100</v>
      </c>
      <c r="D75" s="389">
        <f>MIN(D79,(BOILERS!E66/4*100))</f>
        <v>100</v>
      </c>
      <c r="E75" s="389">
        <f>MIN(E79,(BOILERS!F66/4*100))</f>
        <v>100</v>
      </c>
      <c r="F75" s="389">
        <f>MIN(F79,(BOILERS!G66/4*100))</f>
        <v>100</v>
      </c>
      <c r="G75" s="389">
        <f>MIN(G79,(BOILERS!H66/4*100))</f>
        <v>100</v>
      </c>
      <c r="H75" s="389">
        <f>MIN(H79,(BOILERS!I66/4*100))</f>
        <v>100</v>
      </c>
      <c r="I75" s="389">
        <f>MIN(I79,(BOILERS!J66/4*100))</f>
        <v>100</v>
      </c>
      <c r="J75" s="389">
        <f>MIN(J79,(BOILERS!K66/4*100))</f>
        <v>100</v>
      </c>
      <c r="K75" s="389">
        <f>MIN(K79,(BOILERS!L66/4*100))</f>
        <v>100</v>
      </c>
      <c r="L75" s="389">
        <f>MIN(L79,(BOILERS!M66/4*100))</f>
        <v>100</v>
      </c>
      <c r="M75" s="389">
        <f>MIN(M79,(BOILERS!N66/4*100))</f>
        <v>100</v>
      </c>
      <c r="N75" s="389">
        <f>MIN(N79,(BOILERS!O66/4*100))</f>
        <v>100</v>
      </c>
      <c r="O75" s="389">
        <f>MIN(O79,(BOILERS!P66/4*100))</f>
        <v>100</v>
      </c>
      <c r="P75" s="389">
        <f>MIN(P79,(BOILERS!Q66/4*100))</f>
        <v>100</v>
      </c>
      <c r="Q75" s="389">
        <f>MIN(Q79,(BOILERS!R66/4*100))</f>
        <v>100</v>
      </c>
      <c r="R75" s="389">
        <f>MIN(R79,(BOILERS!S66/4*100))</f>
        <v>100</v>
      </c>
      <c r="S75" s="389">
        <f>MIN(S79,(BOILERS!T66/4*100))</f>
        <v>100</v>
      </c>
      <c r="T75" s="389">
        <f>MIN(T79,(BOILERS!U66/4*100))</f>
        <v>100</v>
      </c>
      <c r="U75" s="389">
        <f>MIN(U79,(BOILERS!V66/4*100))</f>
        <v>100</v>
      </c>
      <c r="V75" s="389">
        <f>MIN(V79,(BOILERS!W66/4*100))</f>
        <v>100</v>
      </c>
      <c r="W75" s="389">
        <f>MIN(W79,(BOILERS!X66/4*100))</f>
        <v>100</v>
      </c>
      <c r="X75" s="389">
        <f>MIN(X79,(BOILERS!Y66/4*100))</f>
        <v>100</v>
      </c>
      <c r="Y75" s="389">
        <f>MIN(Y79,(BOILERS!Z66/4*100))</f>
        <v>100</v>
      </c>
      <c r="Z75" s="389">
        <f>MIN(Z79,(BOILERS!AA66/4*100))</f>
        <v>100</v>
      </c>
      <c r="AA75" s="389">
        <f>MIN(AA79,(BOILERS!AB66/4*100))</f>
        <v>100</v>
      </c>
      <c r="AB75" s="389">
        <f>MIN(AB79,(BOILERS!AC66/4*100))</f>
        <v>100</v>
      </c>
      <c r="AC75" s="389">
        <f>MIN(AC79,(BOILERS!AD66/4*100))</f>
        <v>100</v>
      </c>
      <c r="AD75" s="389">
        <f>MIN(AD79,(BOILERS!AE66/4*100))</f>
        <v>100</v>
      </c>
      <c r="AE75" s="389">
        <f>MIN(AE79,(BOILERS!AF66/4*100))</f>
        <v>100</v>
      </c>
      <c r="AF75" s="389">
        <f>MIN(AF79,(BOILERS!AG66/4*100))</f>
        <v>100</v>
      </c>
      <c r="AG75" s="389"/>
      <c r="AI75">
        <v>100</v>
      </c>
    </row>
    <row r="76" spans="1:35" ht="30" customHeight="1" x14ac:dyDescent="0.2">
      <c r="A76" s="387" t="s">
        <v>60</v>
      </c>
      <c r="B76" s="388" t="s">
        <v>13</v>
      </c>
      <c r="C76" s="389">
        <f>C75</f>
        <v>100</v>
      </c>
      <c r="D76" s="259">
        <f>AVERAGE($C75:D75)</f>
        <v>100</v>
      </c>
      <c r="E76" s="259">
        <f>AVERAGE($C75:E75)</f>
        <v>100</v>
      </c>
      <c r="F76" s="259">
        <f>AVERAGE($C75:F75)</f>
        <v>100</v>
      </c>
      <c r="G76" s="259">
        <f>AVERAGE($C75:G75)</f>
        <v>100</v>
      </c>
      <c r="H76" s="259">
        <f>AVERAGE($C75:H75)</f>
        <v>100</v>
      </c>
      <c r="I76" s="259">
        <f>AVERAGE($C75:I75)</f>
        <v>100</v>
      </c>
      <c r="J76" s="259">
        <f>AVERAGE($C75:J75)</f>
        <v>100</v>
      </c>
      <c r="K76" s="259">
        <f>AVERAGE($C75:K75)</f>
        <v>100</v>
      </c>
      <c r="L76" s="259">
        <f>AVERAGE($C75:L75)</f>
        <v>100</v>
      </c>
      <c r="M76" s="259">
        <f>AVERAGE($C75:M75)</f>
        <v>100</v>
      </c>
      <c r="N76" s="259">
        <f>AVERAGE($C75:N75)</f>
        <v>100</v>
      </c>
      <c r="O76" s="259">
        <f>AVERAGE($C75:O75)</f>
        <v>100</v>
      </c>
      <c r="P76" s="259">
        <f>AVERAGE($C75:P75)</f>
        <v>100</v>
      </c>
      <c r="Q76" s="259">
        <f>AVERAGE($C75:Q75)</f>
        <v>100</v>
      </c>
      <c r="R76" s="259">
        <f>AVERAGE($C75:R75)</f>
        <v>100</v>
      </c>
      <c r="S76" s="259">
        <f>AVERAGE($C75:S75)</f>
        <v>100</v>
      </c>
      <c r="T76" s="259">
        <f>AVERAGE($C75:T75)</f>
        <v>100</v>
      </c>
      <c r="U76" s="259">
        <f>AVERAGE($C75:U75)</f>
        <v>100</v>
      </c>
      <c r="V76" s="259">
        <f>AVERAGE($C75:V75)</f>
        <v>100</v>
      </c>
      <c r="W76" s="259">
        <f>AVERAGE($C75:W75)</f>
        <v>100</v>
      </c>
      <c r="X76" s="259">
        <f>AVERAGE($C75:X75)</f>
        <v>100</v>
      </c>
      <c r="Y76" s="259">
        <f>AVERAGE($C75:Y75)</f>
        <v>100</v>
      </c>
      <c r="Z76" s="259">
        <f>AVERAGE($C75:Z75)</f>
        <v>100</v>
      </c>
      <c r="AA76" s="259">
        <f>AVERAGE($C75:AA75)</f>
        <v>100</v>
      </c>
      <c r="AB76" s="259">
        <f>AVERAGE($C75:AB75)</f>
        <v>100</v>
      </c>
      <c r="AC76" s="259">
        <f>AVERAGE($C75:AC75)</f>
        <v>100</v>
      </c>
      <c r="AD76" s="259">
        <f>AVERAGE($C75:AD75)</f>
        <v>100</v>
      </c>
      <c r="AE76" s="259">
        <f>AVERAGE($C75:AE75)</f>
        <v>100</v>
      </c>
      <c r="AF76" s="259">
        <f>AVERAGE($C75:AF75)</f>
        <v>100</v>
      </c>
      <c r="AG76" s="259"/>
      <c r="AI76">
        <v>99.209677419354833</v>
      </c>
    </row>
    <row r="77" spans="1:35" ht="30" customHeight="1" x14ac:dyDescent="0.2">
      <c r="A77" s="387" t="s">
        <v>8</v>
      </c>
      <c r="B77" s="388" t="s">
        <v>13</v>
      </c>
      <c r="C77" s="389">
        <f t="shared" ref="C77:H77" si="364">((100*30+99.2*31+C29*C76))/(C29+30+31)</f>
        <v>99.617711536938344</v>
      </c>
      <c r="D77" s="389">
        <f t="shared" si="364"/>
        <v>99.618167832944721</v>
      </c>
      <c r="E77" s="389">
        <f t="shared" si="364"/>
        <v>99.61744263478225</v>
      </c>
      <c r="F77" s="389">
        <f t="shared" si="364"/>
        <v>99.617327634303678</v>
      </c>
      <c r="G77" s="389">
        <f t="shared" si="364"/>
        <v>99.61712831472515</v>
      </c>
      <c r="H77" s="389">
        <f t="shared" si="364"/>
        <v>99.617633720834675</v>
      </c>
      <c r="I77" s="389">
        <f t="shared" ref="I77:J77" si="365">((100*30+99.2*31+I29*I76))/(I29+30+31)</f>
        <v>99.616994152003585</v>
      </c>
      <c r="J77" s="389">
        <f t="shared" si="365"/>
        <v>99.617155679310358</v>
      </c>
      <c r="K77" s="389">
        <f t="shared" ref="K77:L77" si="366">((100*30+99.2*31+K29*K76))/(K29+30+31)</f>
        <v>99.617019296572323</v>
      </c>
      <c r="L77" s="389">
        <f t="shared" si="366"/>
        <v>99.617088363041873</v>
      </c>
      <c r="M77" s="389">
        <f t="shared" ref="M77:N77" si="367">((100*30+99.2*31+M29*M76))/(M29+30+31)</f>
        <v>99.617623662937888</v>
      </c>
      <c r="N77" s="389">
        <f t="shared" si="367"/>
        <v>99.617967669265255</v>
      </c>
      <c r="O77" s="389">
        <f t="shared" ref="O77:P77" si="368">((100*30+99.2*31+O29*O76))/(O29+30+31)</f>
        <v>99.617604633726174</v>
      </c>
      <c r="P77" s="389">
        <f t="shared" si="368"/>
        <v>99.617934779769513</v>
      </c>
      <c r="Q77" s="389">
        <f t="shared" ref="Q77:R77" si="369">((100*30+99.2*31+Q29*Q76))/(Q29+30+31)</f>
        <v>99.61797151173792</v>
      </c>
      <c r="R77" s="389">
        <f t="shared" si="369"/>
        <v>99.617827506830224</v>
      </c>
      <c r="S77" s="389">
        <f t="shared" ref="S77:T77" si="370">((100*30+99.2*31+S29*S76))/(S29+30+31)</f>
        <v>99.617507100817264</v>
      </c>
      <c r="T77" s="389">
        <f t="shared" si="370"/>
        <v>99.617576742758672</v>
      </c>
      <c r="U77" s="389">
        <f t="shared" ref="U77:V77" si="371">((100*30+99.2*31+U29*U76))/(U29+30+31)</f>
        <v>99.618227572685996</v>
      </c>
      <c r="V77" s="389">
        <f t="shared" si="371"/>
        <v>99.618256501225261</v>
      </c>
      <c r="W77" s="389">
        <f t="shared" ref="W77:X77" si="372">((100*30+99.2*31+W29*W76))/(W29+30+31)</f>
        <v>99.618671163843985</v>
      </c>
      <c r="X77" s="389">
        <f t="shared" si="372"/>
        <v>99.617404241055866</v>
      </c>
      <c r="Y77" s="389">
        <f t="shared" ref="Y77:Z77" si="373">((100*30+99.2*31+Y29*Y76))/(Y29+30+31)</f>
        <v>99.617349090824888</v>
      </c>
      <c r="Z77" s="389">
        <f t="shared" si="373"/>
        <v>99.616806747868495</v>
      </c>
      <c r="AA77" s="389">
        <f t="shared" ref="AA77:AB77" si="374">((100*30+99.2*31+AA29*AA76))/(AA29+30+31)</f>
        <v>99.617065064393486</v>
      </c>
      <c r="AB77" s="389">
        <f t="shared" si="374"/>
        <v>99.6188114444478</v>
      </c>
      <c r="AC77" s="389">
        <f t="shared" ref="AC77:AD77" si="375">((100*30+99.2*31+AC29*AC76))/(AC29+30+31)</f>
        <v>99.619274908664153</v>
      </c>
      <c r="AD77" s="389">
        <f t="shared" si="375"/>
        <v>99.619049236998407</v>
      </c>
      <c r="AE77" s="389">
        <f t="shared" ref="AE77:AF77" si="376">((100*30+99.2*31+AE29*AE76))/(AE29+30+31)</f>
        <v>99.618175184475433</v>
      </c>
      <c r="AF77" s="389">
        <f t="shared" si="376"/>
        <v>99.617077200637937</v>
      </c>
      <c r="AG77" s="389"/>
      <c r="AI77">
        <v>99.910192782495415</v>
      </c>
    </row>
    <row r="78" spans="1:35" ht="30" customHeight="1" x14ac:dyDescent="0.2">
      <c r="A78" s="48" t="s">
        <v>497</v>
      </c>
      <c r="B78" s="332"/>
      <c r="C78" s="476"/>
      <c r="D78" s="477"/>
      <c r="E78" s="477"/>
      <c r="F78" s="477"/>
      <c r="G78" s="477"/>
      <c r="H78" s="477"/>
      <c r="I78" s="477"/>
      <c r="J78" s="477"/>
      <c r="K78" s="477"/>
      <c r="L78" s="477"/>
      <c r="M78" s="477"/>
      <c r="N78" s="477"/>
      <c r="O78" s="477"/>
      <c r="P78" s="477"/>
      <c r="Q78" s="477"/>
      <c r="R78" s="477"/>
      <c r="S78" s="477"/>
      <c r="T78" s="477"/>
      <c r="U78" s="477"/>
      <c r="V78" s="477"/>
      <c r="W78" s="477"/>
      <c r="X78" s="477"/>
      <c r="Y78" s="477"/>
      <c r="Z78" s="477"/>
      <c r="AA78" s="477"/>
      <c r="AB78" s="477"/>
      <c r="AC78" s="477"/>
      <c r="AD78" s="477"/>
      <c r="AE78" s="477"/>
      <c r="AF78" s="477"/>
      <c r="AG78" s="477"/>
      <c r="AH78" s="192"/>
    </row>
    <row r="79" spans="1:35" ht="25.5" customHeight="1" x14ac:dyDescent="0.2">
      <c r="A79" s="26" t="s">
        <v>78</v>
      </c>
      <c r="B79" s="38" t="s">
        <v>13</v>
      </c>
      <c r="C79" s="259">
        <f t="shared" ref="C79:D79" si="377">C71*28/(24*28)%</f>
        <v>100</v>
      </c>
      <c r="D79" s="259">
        <f t="shared" si="377"/>
        <v>100</v>
      </c>
      <c r="E79" s="259">
        <f t="shared" ref="E79:F79" si="378">E71*28/(24*28)%</f>
        <v>100</v>
      </c>
      <c r="F79" s="259">
        <f t="shared" si="378"/>
        <v>100</v>
      </c>
      <c r="G79" s="259">
        <f t="shared" ref="G79:H79" si="379">G71*28/(24*28)%</f>
        <v>100</v>
      </c>
      <c r="H79" s="259">
        <f t="shared" si="379"/>
        <v>100</v>
      </c>
      <c r="I79" s="259">
        <f t="shared" ref="I79:J79" si="380">I71*28/(24*28)%</f>
        <v>100</v>
      </c>
      <c r="J79" s="259">
        <f t="shared" si="380"/>
        <v>100</v>
      </c>
      <c r="K79" s="259">
        <f t="shared" ref="K79:L79" si="381">K71*28/(24*28)%</f>
        <v>100</v>
      </c>
      <c r="L79" s="259">
        <f t="shared" si="381"/>
        <v>100</v>
      </c>
      <c r="M79" s="259">
        <f t="shared" ref="M79:N79" si="382">M71*28/(24*28)%</f>
        <v>100</v>
      </c>
      <c r="N79" s="259">
        <f t="shared" si="382"/>
        <v>100</v>
      </c>
      <c r="O79" s="259">
        <f t="shared" ref="O79:P79" si="383">O71*28/(24*28)%</f>
        <v>100</v>
      </c>
      <c r="P79" s="259">
        <f t="shared" si="383"/>
        <v>100</v>
      </c>
      <c r="Q79" s="259">
        <f t="shared" ref="Q79:R79" si="384">Q71*28/(24*28)%</f>
        <v>100</v>
      </c>
      <c r="R79" s="259">
        <f t="shared" si="384"/>
        <v>100</v>
      </c>
      <c r="S79" s="259">
        <f t="shared" ref="S79:T79" si="385">S71*28/(24*28)%</f>
        <v>100</v>
      </c>
      <c r="T79" s="259">
        <f t="shared" si="385"/>
        <v>100</v>
      </c>
      <c r="U79" s="259">
        <f t="shared" ref="U79:V79" si="386">U71*28/(24*28)%</f>
        <v>100</v>
      </c>
      <c r="V79" s="259">
        <f t="shared" si="386"/>
        <v>100</v>
      </c>
      <c r="W79" s="259">
        <f t="shared" ref="W79:X79" si="387">W71*28/(24*28)%</f>
        <v>100</v>
      </c>
      <c r="X79" s="259">
        <f t="shared" si="387"/>
        <v>100</v>
      </c>
      <c r="Y79" s="259">
        <f t="shared" ref="Y79:Z79" si="388">Y71*28/(24*28)%</f>
        <v>100</v>
      </c>
      <c r="Z79" s="259">
        <f t="shared" si="388"/>
        <v>100</v>
      </c>
      <c r="AA79" s="259">
        <f t="shared" ref="AA79:AB79" si="389">AA71*28/(24*28)%</f>
        <v>100</v>
      </c>
      <c r="AB79" s="259">
        <f t="shared" si="389"/>
        <v>100</v>
      </c>
      <c r="AC79" s="259">
        <f t="shared" ref="AC79:AD79" si="390">AC71*28/(24*28)%</f>
        <v>100</v>
      </c>
      <c r="AD79" s="259">
        <f t="shared" si="390"/>
        <v>100</v>
      </c>
      <c r="AE79" s="259">
        <f t="shared" ref="AE79:AF79" si="391">AE71*28/(24*28)%</f>
        <v>100</v>
      </c>
      <c r="AF79" s="259">
        <f t="shared" si="391"/>
        <v>100</v>
      </c>
      <c r="AG79" s="259"/>
      <c r="AH79" s="192"/>
      <c r="AI79">
        <v>100</v>
      </c>
    </row>
    <row r="80" spans="1:35" ht="25.5" customHeight="1" x14ac:dyDescent="0.2">
      <c r="A80" s="26" t="s">
        <v>79</v>
      </c>
      <c r="B80" s="38" t="s">
        <v>13</v>
      </c>
      <c r="C80" s="259">
        <f>C79</f>
        <v>100</v>
      </c>
      <c r="D80" s="259">
        <f>AVERAGE($C79:D79)</f>
        <v>100</v>
      </c>
      <c r="E80" s="259">
        <f>AVERAGE($C79:E79)</f>
        <v>100</v>
      </c>
      <c r="F80" s="259">
        <f>AVERAGE($C79:F79)</f>
        <v>100</v>
      </c>
      <c r="G80" s="259">
        <f>AVERAGE($C79:G79)</f>
        <v>100</v>
      </c>
      <c r="H80" s="259">
        <f>AVERAGE($C79:H79)</f>
        <v>100</v>
      </c>
      <c r="I80" s="259">
        <f>AVERAGE($C79:I79)</f>
        <v>100</v>
      </c>
      <c r="J80" s="259">
        <f>AVERAGE($C79:J79)</f>
        <v>100</v>
      </c>
      <c r="K80" s="259">
        <f>AVERAGE($C79:K79)</f>
        <v>100</v>
      </c>
      <c r="L80" s="259">
        <f>AVERAGE($C79:L79)</f>
        <v>100</v>
      </c>
      <c r="M80" s="259">
        <f>AVERAGE($C79:M79)</f>
        <v>100</v>
      </c>
      <c r="N80" s="259">
        <f>AVERAGE($C79:N79)</f>
        <v>100</v>
      </c>
      <c r="O80" s="259">
        <f>AVERAGE($C79:O79)</f>
        <v>100</v>
      </c>
      <c r="P80" s="259">
        <f>AVERAGE($C79:P79)</f>
        <v>100</v>
      </c>
      <c r="Q80" s="259">
        <f>AVERAGE($C79:Q79)</f>
        <v>100</v>
      </c>
      <c r="R80" s="259">
        <f>AVERAGE($C79:R79)</f>
        <v>100</v>
      </c>
      <c r="S80" s="259">
        <f>AVERAGE($C79:S79)</f>
        <v>100</v>
      </c>
      <c r="T80" s="259">
        <f>AVERAGE($C79:T79)</f>
        <v>100</v>
      </c>
      <c r="U80" s="259">
        <f>AVERAGE($C79:U79)</f>
        <v>100</v>
      </c>
      <c r="V80" s="259">
        <f>AVERAGE($C79:V79)</f>
        <v>100</v>
      </c>
      <c r="W80" s="259">
        <f>AVERAGE($C79:W79)</f>
        <v>100</v>
      </c>
      <c r="X80" s="259">
        <f>AVERAGE($C79:X79)</f>
        <v>100</v>
      </c>
      <c r="Y80" s="259">
        <f>AVERAGE($C79:Y79)</f>
        <v>100</v>
      </c>
      <c r="Z80" s="259">
        <f>AVERAGE($C79:Z79)</f>
        <v>100</v>
      </c>
      <c r="AA80" s="259">
        <f>AVERAGE($C79:AA79)</f>
        <v>100</v>
      </c>
      <c r="AB80" s="259">
        <f>AVERAGE($C79:AB79)</f>
        <v>100</v>
      </c>
      <c r="AC80" s="259">
        <f>AVERAGE($C79:AC79)</f>
        <v>100</v>
      </c>
      <c r="AD80" s="259">
        <f>AVERAGE($C79:AD79)</f>
        <v>100</v>
      </c>
      <c r="AE80" s="259">
        <f>AVERAGE($C79:AE79)</f>
        <v>100</v>
      </c>
      <c r="AF80" s="259">
        <f>AVERAGE($C79:AF79)</f>
        <v>100</v>
      </c>
      <c r="AG80" s="259"/>
      <c r="AI80">
        <v>99.209677419354833</v>
      </c>
    </row>
    <row r="81" spans="1:35" ht="25.5" customHeight="1" x14ac:dyDescent="0.2">
      <c r="A81" s="26" t="s">
        <v>8</v>
      </c>
      <c r="B81" s="38" t="s">
        <v>13</v>
      </c>
      <c r="C81" s="259">
        <f>C80</f>
        <v>100</v>
      </c>
      <c r="D81" s="259">
        <f t="shared" ref="D81:E81" si="392">D80</f>
        <v>100</v>
      </c>
      <c r="E81" s="259">
        <f t="shared" si="392"/>
        <v>100</v>
      </c>
      <c r="F81" s="259">
        <f t="shared" ref="F81:G81" si="393">F80</f>
        <v>100</v>
      </c>
      <c r="G81" s="259">
        <f t="shared" si="393"/>
        <v>100</v>
      </c>
      <c r="H81" s="259">
        <f t="shared" ref="H81:I81" si="394">H80</f>
        <v>100</v>
      </c>
      <c r="I81" s="259">
        <f t="shared" si="394"/>
        <v>100</v>
      </c>
      <c r="J81" s="259">
        <f t="shared" ref="J81:K81" si="395">J80</f>
        <v>100</v>
      </c>
      <c r="K81" s="259">
        <f t="shared" si="395"/>
        <v>100</v>
      </c>
      <c r="L81" s="259">
        <f t="shared" ref="L81:M81" si="396">L80</f>
        <v>100</v>
      </c>
      <c r="M81" s="259">
        <f t="shared" si="396"/>
        <v>100</v>
      </c>
      <c r="N81" s="259">
        <f t="shared" ref="N81:O81" si="397">N80</f>
        <v>100</v>
      </c>
      <c r="O81" s="259">
        <f t="shared" si="397"/>
        <v>100</v>
      </c>
      <c r="P81" s="259">
        <f t="shared" ref="P81:Q81" si="398">P80</f>
        <v>100</v>
      </c>
      <c r="Q81" s="259">
        <f t="shared" si="398"/>
        <v>100</v>
      </c>
      <c r="R81" s="259">
        <f t="shared" ref="R81:S81" si="399">R80</f>
        <v>100</v>
      </c>
      <c r="S81" s="259">
        <f t="shared" si="399"/>
        <v>100</v>
      </c>
      <c r="T81" s="259">
        <f t="shared" ref="T81:U81" si="400">T80</f>
        <v>100</v>
      </c>
      <c r="U81" s="259">
        <f t="shared" si="400"/>
        <v>100</v>
      </c>
      <c r="V81" s="259">
        <f t="shared" ref="V81:W81" si="401">V80</f>
        <v>100</v>
      </c>
      <c r="W81" s="259">
        <f t="shared" si="401"/>
        <v>100</v>
      </c>
      <c r="X81" s="259">
        <f t="shared" ref="X81:Y81" si="402">X80</f>
        <v>100</v>
      </c>
      <c r="Y81" s="259">
        <f t="shared" si="402"/>
        <v>100</v>
      </c>
      <c r="Z81" s="259">
        <f t="shared" ref="Z81:AA81" si="403">Z80</f>
        <v>100</v>
      </c>
      <c r="AA81" s="259">
        <f t="shared" si="403"/>
        <v>100</v>
      </c>
      <c r="AB81" s="259">
        <f t="shared" ref="AB81:AC81" si="404">AB80</f>
        <v>100</v>
      </c>
      <c r="AC81" s="259">
        <f t="shared" si="404"/>
        <v>100</v>
      </c>
      <c r="AD81" s="259">
        <f t="shared" ref="AD81:AE81" si="405">AD80</f>
        <v>100</v>
      </c>
      <c r="AE81" s="259">
        <f t="shared" si="405"/>
        <v>100</v>
      </c>
      <c r="AF81" s="259">
        <f t="shared" ref="AF81" si="406">AF80</f>
        <v>100</v>
      </c>
      <c r="AG81" s="259"/>
      <c r="AI81">
        <v>99.209677419354833</v>
      </c>
    </row>
    <row r="82" spans="1:35" ht="25.5" customHeight="1" x14ac:dyDescent="0.2">
      <c r="A82" s="49" t="s">
        <v>80</v>
      </c>
      <c r="B82" s="38" t="s">
        <v>70</v>
      </c>
      <c r="C82" s="263">
        <f>Totalizer!D31</f>
        <v>2572</v>
      </c>
      <c r="D82" s="263">
        <f>Totalizer!E31</f>
        <v>2603</v>
      </c>
      <c r="E82" s="263">
        <f>Totalizer!F31</f>
        <v>2671</v>
      </c>
      <c r="F82" s="263">
        <f>Totalizer!G31</f>
        <v>2641</v>
      </c>
      <c r="G82" s="263">
        <f>Totalizer!H31</f>
        <v>2645</v>
      </c>
      <c r="H82" s="263">
        <f>Totalizer!I31</f>
        <v>2618</v>
      </c>
      <c r="I82" s="263">
        <f>Totalizer!J31</f>
        <v>2562</v>
      </c>
      <c r="J82" s="263">
        <f>Totalizer!K31</f>
        <v>2521</v>
      </c>
      <c r="K82" s="263">
        <f>Totalizer!L31</f>
        <v>2567</v>
      </c>
      <c r="L82" s="263">
        <f>Totalizer!M31</f>
        <v>2602</v>
      </c>
      <c r="M82" s="263">
        <f>Totalizer!N31</f>
        <v>2598</v>
      </c>
      <c r="N82" s="263">
        <f>Totalizer!O31</f>
        <v>2641</v>
      </c>
      <c r="O82" s="263">
        <f>Totalizer!P31</f>
        <v>2636</v>
      </c>
      <c r="P82" s="263">
        <f>Totalizer!Q31</f>
        <v>2533</v>
      </c>
      <c r="Q82" s="263">
        <f>Totalizer!R31</f>
        <v>2532</v>
      </c>
      <c r="R82" s="263">
        <f>Totalizer!S31</f>
        <v>2565</v>
      </c>
      <c r="S82" s="263">
        <f>Totalizer!T31</f>
        <v>2544</v>
      </c>
      <c r="T82" s="263">
        <f>Totalizer!U31</f>
        <v>2570</v>
      </c>
      <c r="U82" s="263">
        <f>Totalizer!V31</f>
        <v>2542</v>
      </c>
      <c r="V82" s="263">
        <f>Totalizer!W31</f>
        <v>2548</v>
      </c>
      <c r="W82" s="263">
        <f>Totalizer!X31</f>
        <v>2576</v>
      </c>
      <c r="X82" s="263">
        <f>Totalizer!Y31</f>
        <v>2608</v>
      </c>
      <c r="Y82" s="263">
        <f>Totalizer!Z31</f>
        <v>2630</v>
      </c>
      <c r="Z82" s="263">
        <f>Totalizer!AA31</f>
        <v>2665</v>
      </c>
      <c r="AA82" s="263">
        <f>Totalizer!AB31</f>
        <v>2663</v>
      </c>
      <c r="AB82" s="263">
        <f>Totalizer!AC31</f>
        <v>2650</v>
      </c>
      <c r="AC82" s="263">
        <f>Totalizer!AD31</f>
        <v>2627</v>
      </c>
      <c r="AD82" s="263">
        <f>Totalizer!AE31</f>
        <v>2656</v>
      </c>
      <c r="AE82" s="263">
        <f>Totalizer!AF31</f>
        <v>2627</v>
      </c>
      <c r="AF82" s="263">
        <f>Totalizer!AG31</f>
        <v>2726</v>
      </c>
      <c r="AG82" s="263"/>
      <c r="AI82">
        <v>2554</v>
      </c>
    </row>
    <row r="83" spans="1:35" ht="25.5" customHeight="1" x14ac:dyDescent="0.2">
      <c r="A83" s="49" t="s">
        <v>71</v>
      </c>
      <c r="B83" s="38" t="s">
        <v>72</v>
      </c>
      <c r="C83" s="261">
        <f t="shared" ref="C83:D83" si="407">C82/(C60*1000)</f>
        <v>3.9101472722603678</v>
      </c>
      <c r="D83" s="261">
        <f t="shared" si="407"/>
        <v>3.9551248105466632</v>
      </c>
      <c r="E83" s="261">
        <f t="shared" ref="E83:F83" si="408">E82/(E60*1000)</f>
        <v>3.9552178893191074</v>
      </c>
      <c r="F83" s="261">
        <f t="shared" si="408"/>
        <v>3.8370994534479808</v>
      </c>
      <c r="G83" s="261">
        <f t="shared" ref="G83:H83" si="409">G82/(G60*1000)</f>
        <v>3.8816602212154221</v>
      </c>
      <c r="H83" s="261">
        <f t="shared" si="409"/>
        <v>3.9026854619692348</v>
      </c>
      <c r="I83" s="261">
        <f t="shared" ref="I83:J83" si="410">I82/(I60*1000)</f>
        <v>3.906043889137873</v>
      </c>
      <c r="J83" s="261">
        <f t="shared" si="410"/>
        <v>3.865765445744378</v>
      </c>
      <c r="K83" s="261">
        <f t="shared" ref="K83:L83" si="411">K82/(K60*1000)</f>
        <v>3.8800646152503342</v>
      </c>
      <c r="L83" s="261">
        <f t="shared" si="411"/>
        <v>3.8643228650329196</v>
      </c>
      <c r="M83" s="261">
        <f t="shared" ref="M83:N83" si="412">M82/(M60*1000)</f>
        <v>3.8444840685372026</v>
      </c>
      <c r="N83" s="261">
        <f t="shared" si="412"/>
        <v>3.9440767677966049</v>
      </c>
      <c r="O83" s="261">
        <f t="shared" ref="O83:P83" si="413">O82/(O60*1000)</f>
        <v>3.9158707383225906</v>
      </c>
      <c r="P83" s="261">
        <f t="shared" si="413"/>
        <v>3.8497210548053311</v>
      </c>
      <c r="Q83" s="261">
        <f t="shared" ref="Q83:R83" si="414">Q82/(Q60*1000)</f>
        <v>3.8483054015345268</v>
      </c>
      <c r="R83" s="261">
        <f t="shared" si="414"/>
        <v>3.8974788517073335</v>
      </c>
      <c r="S83" s="261">
        <f t="shared" ref="S83:T83" si="415">S82/(S60*1000)</f>
        <v>3.86649987040883</v>
      </c>
      <c r="T83" s="261">
        <f t="shared" si="415"/>
        <v>3.906900993452906</v>
      </c>
      <c r="U83" s="261">
        <f t="shared" ref="U83:V83" si="416">U82/(U60*1000)</f>
        <v>3.8584730680622448</v>
      </c>
      <c r="V83" s="261">
        <f t="shared" si="416"/>
        <v>3.8762917830639654</v>
      </c>
      <c r="W83" s="261">
        <f t="shared" ref="W83:X83" si="417">W82/(W60*1000)</f>
        <v>3.9181871811169002</v>
      </c>
      <c r="X83" s="261">
        <f t="shared" si="417"/>
        <v>3.831643053352062</v>
      </c>
      <c r="Y83" s="261">
        <f t="shared" ref="Y83:Z83" si="418">Y82/(Y60*1000)</f>
        <v>3.818640071428324</v>
      </c>
      <c r="Z83" s="261">
        <f t="shared" si="418"/>
        <v>3.8724757154965381</v>
      </c>
      <c r="AA83" s="261">
        <f t="shared" ref="AA83:AB83" si="419">AA82/(AA60*1000)</f>
        <v>3.8363860887851757</v>
      </c>
      <c r="AB83" s="261">
        <f t="shared" si="419"/>
        <v>3.8822150600644592</v>
      </c>
      <c r="AC83" s="261">
        <f t="shared" ref="AC83:AD83" si="420">AC82/(AC60*1000)</f>
        <v>3.8458157108736901</v>
      </c>
      <c r="AD83" s="261">
        <f t="shared" si="420"/>
        <v>3.9068400343406533</v>
      </c>
      <c r="AE83" s="261">
        <f t="shared" ref="AE83:AF83" si="421">AE82/(AE60*1000)</f>
        <v>3.8293311108008559</v>
      </c>
      <c r="AF83" s="261">
        <f t="shared" si="421"/>
        <v>3.8711379884417094</v>
      </c>
      <c r="AG83" s="261"/>
      <c r="AI83">
        <v>3.9180583241743405</v>
      </c>
    </row>
    <row r="102" spans="17:38" x14ac:dyDescent="0.2">
      <c r="AH102" s="337"/>
      <c r="AI102" s="337"/>
      <c r="AJ102" s="337"/>
      <c r="AK102" s="337"/>
      <c r="AL102" s="337"/>
    </row>
    <row r="106" spans="17:38" x14ac:dyDescent="0.2">
      <c r="Q106" s="337"/>
      <c r="R106" s="337"/>
      <c r="S106" s="337"/>
      <c r="T106" s="337"/>
      <c r="U106" s="273"/>
      <c r="V106" s="273"/>
      <c r="W106" s="337"/>
      <c r="X106" s="337"/>
      <c r="Y106" s="337"/>
      <c r="Z106" s="337"/>
      <c r="AA106" s="337"/>
      <c r="AB106" s="337"/>
      <c r="AC106" s="337"/>
      <c r="AD106" s="337"/>
      <c r="AE106" s="337"/>
      <c r="AF106" s="337"/>
      <c r="AG106" s="337"/>
    </row>
  </sheetData>
  <autoFilter ref="A1:AH29" xr:uid="{00000000-0009-0000-0000-00000100000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s blank="1"/>
    </filterColumn>
    <filterColumn colId="26" showButton="0"/>
    <filterColumn colId="27" showButton="0"/>
    <filterColumn colId="28" showButton="0"/>
    <filterColumn colId="29" showButton="0"/>
    <filterColumn colId="30" showButton="0"/>
    <filterColumn colId="31" showButton="0"/>
  </autoFilter>
  <mergeCells count="20">
    <mergeCell ref="B74:AC74"/>
    <mergeCell ref="C59:AG59"/>
    <mergeCell ref="C67:AG67"/>
    <mergeCell ref="C78:AG78"/>
    <mergeCell ref="A2:B2"/>
    <mergeCell ref="A4:B4"/>
    <mergeCell ref="A31:B31"/>
    <mergeCell ref="A30:AF30"/>
    <mergeCell ref="C31:AG31"/>
    <mergeCell ref="C32:AG32"/>
    <mergeCell ref="C40:AG40"/>
    <mergeCell ref="C51:AG51"/>
    <mergeCell ref="C24:AG24"/>
    <mergeCell ref="C20:AG20"/>
    <mergeCell ref="C47:AG47"/>
    <mergeCell ref="B1:AG1"/>
    <mergeCell ref="C4:AG4"/>
    <mergeCell ref="C5:AG5"/>
    <mergeCell ref="C13:AG13"/>
    <mergeCell ref="B58:AG58"/>
  </mergeCells>
  <phoneticPr fontId="24" type="noConversion"/>
  <printOptions horizontalCentered="1" verticalCentered="1"/>
  <pageMargins left="0" right="0" top="0" bottom="0" header="0" footer="0"/>
  <pageSetup paperSize="9" scale="4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HP92"/>
  <sheetViews>
    <sheetView zoomScale="90" zoomScaleNormal="90" zoomScaleSheetLayoutView="80" workbookViewId="0">
      <pane xSplit="3" ySplit="2" topLeftCell="Z62" activePane="bottomRight" state="frozen"/>
      <selection pane="topRight" activeCell="D1" sqref="D1"/>
      <selection pane="bottomLeft" activeCell="A3" sqref="A3"/>
      <selection pane="bottomRight" activeCell="AD85" sqref="AD85"/>
    </sheetView>
  </sheetViews>
  <sheetFormatPr defaultColWidth="9.140625" defaultRowHeight="15" x14ac:dyDescent="0.2"/>
  <cols>
    <col min="1" max="1" width="9" style="146" customWidth="1"/>
    <col min="2" max="2" width="31.5703125" style="147" customWidth="1"/>
    <col min="3" max="3" width="4.140625" style="148" customWidth="1"/>
    <col min="4" max="4" width="13.28515625" style="148" customWidth="1"/>
    <col min="5" max="5" width="13.85546875" style="112" customWidth="1"/>
    <col min="6" max="6" width="13.28515625" style="148" customWidth="1"/>
    <col min="7" max="7" width="11.5703125" style="148" customWidth="1"/>
    <col min="8" max="8" width="11.85546875" style="148" customWidth="1"/>
    <col min="9" max="9" width="11.42578125" style="148" customWidth="1"/>
    <col min="10" max="10" width="11.5703125" style="148" customWidth="1"/>
    <col min="11" max="11" width="12.7109375" style="148" customWidth="1"/>
    <col min="12" max="12" width="12.5703125" style="148" customWidth="1"/>
    <col min="13" max="13" width="11.85546875" style="148" customWidth="1"/>
    <col min="14" max="14" width="13.140625" style="148" customWidth="1"/>
    <col min="15" max="15" width="12.28515625" style="148" customWidth="1"/>
    <col min="16" max="16" width="12" style="148" customWidth="1"/>
    <col min="17" max="17" width="11.5703125" style="148" customWidth="1"/>
    <col min="18" max="18" width="12.28515625" style="148" customWidth="1"/>
    <col min="19" max="19" width="11.5703125" style="148" customWidth="1"/>
    <col min="20" max="20" width="13.28515625" style="148" customWidth="1"/>
    <col min="21" max="21" width="13.85546875" style="148" customWidth="1"/>
    <col min="22" max="22" width="12.7109375" style="148" customWidth="1"/>
    <col min="23" max="23" width="13.5703125" style="148" customWidth="1"/>
    <col min="24" max="24" width="12.85546875" style="148" customWidth="1"/>
    <col min="25" max="25" width="12.140625" style="148" customWidth="1"/>
    <col min="26" max="26" width="13.140625" style="148" customWidth="1"/>
    <col min="27" max="28" width="11.42578125" style="148" customWidth="1"/>
    <col min="29" max="29" width="12.140625" style="148" customWidth="1"/>
    <col min="30" max="30" width="11.28515625" style="148" customWidth="1"/>
    <col min="31" max="31" width="12.28515625" style="148" customWidth="1"/>
    <col min="32" max="32" width="12.42578125" style="148" customWidth="1"/>
    <col min="33" max="33" width="13" style="148" customWidth="1"/>
    <col min="34" max="34" width="13.28515625" style="148" customWidth="1"/>
    <col min="35" max="35" width="12.85546875" style="148" customWidth="1"/>
    <col min="36" max="36" width="13.85546875" style="54" customWidth="1"/>
    <col min="37" max="37" width="13" style="111" customWidth="1"/>
    <col min="38" max="38" width="13.140625" style="111" bestFit="1" customWidth="1"/>
    <col min="39" max="224" width="9.140625" style="111"/>
    <col min="225" max="16384" width="9.140625" style="112"/>
  </cols>
  <sheetData>
    <row r="1" spans="1:224" ht="26.25" x14ac:dyDescent="0.2">
      <c r="A1" s="498" t="s">
        <v>81</v>
      </c>
      <c r="B1" s="499"/>
      <c r="C1" s="499"/>
      <c r="D1" s="499"/>
      <c r="E1" s="499"/>
      <c r="F1" s="499"/>
      <c r="G1" s="499"/>
      <c r="H1" s="499"/>
      <c r="I1" s="499"/>
      <c r="J1" s="499"/>
      <c r="K1" s="499"/>
      <c r="L1" s="499"/>
      <c r="M1" s="499"/>
      <c r="N1" s="499"/>
      <c r="O1" s="499"/>
      <c r="P1" s="499"/>
      <c r="Q1" s="499"/>
      <c r="R1" s="499"/>
      <c r="S1" s="499"/>
      <c r="T1" s="499"/>
      <c r="U1" s="499"/>
      <c r="V1" s="499"/>
      <c r="W1" s="499"/>
      <c r="X1" s="499"/>
      <c r="Y1" s="499"/>
      <c r="Z1" s="499"/>
      <c r="AA1" s="499"/>
      <c r="AB1" s="499"/>
      <c r="AC1" s="499"/>
      <c r="AD1" s="499"/>
      <c r="AE1" s="499"/>
      <c r="AF1" s="499"/>
      <c r="AG1" s="499"/>
      <c r="AH1" s="313"/>
      <c r="AI1" s="313"/>
      <c r="AJ1" s="500" t="s">
        <v>82</v>
      </c>
    </row>
    <row r="2" spans="1:224" s="54" customFormat="1" ht="15.75" thickBot="1" x14ac:dyDescent="0.25">
      <c r="A2" s="501" t="s">
        <v>0</v>
      </c>
      <c r="B2" s="501"/>
      <c r="C2" s="292">
        <v>45443</v>
      </c>
      <c r="D2" s="292">
        <v>45444</v>
      </c>
      <c r="E2" s="292">
        <v>45445</v>
      </c>
      <c r="F2" s="292">
        <v>45446</v>
      </c>
      <c r="G2" s="292">
        <v>45447</v>
      </c>
      <c r="H2" s="292">
        <v>45448</v>
      </c>
      <c r="I2" s="292">
        <v>45449</v>
      </c>
      <c r="J2" s="292">
        <v>45450</v>
      </c>
      <c r="K2" s="292">
        <v>45451</v>
      </c>
      <c r="L2" s="292">
        <v>45452</v>
      </c>
      <c r="M2" s="292">
        <v>45453</v>
      </c>
      <c r="N2" s="292">
        <v>45454</v>
      </c>
      <c r="O2" s="292">
        <v>45455</v>
      </c>
      <c r="P2" s="292">
        <v>45456</v>
      </c>
      <c r="Q2" s="292">
        <v>45457</v>
      </c>
      <c r="R2" s="292">
        <v>45458</v>
      </c>
      <c r="S2" s="292">
        <v>45459</v>
      </c>
      <c r="T2" s="292">
        <v>181</v>
      </c>
      <c r="U2" s="292">
        <v>45461</v>
      </c>
      <c r="V2" s="292">
        <v>45462</v>
      </c>
      <c r="W2" s="292">
        <v>45463</v>
      </c>
      <c r="X2" s="292">
        <v>45464</v>
      </c>
      <c r="Y2" s="292">
        <v>45465</v>
      </c>
      <c r="Z2" s="292">
        <v>45466</v>
      </c>
      <c r="AA2" s="292">
        <v>45467</v>
      </c>
      <c r="AB2" s="292">
        <v>45468</v>
      </c>
      <c r="AC2" s="292">
        <v>45469</v>
      </c>
      <c r="AD2" s="292">
        <v>45470</v>
      </c>
      <c r="AE2" s="292">
        <v>45471</v>
      </c>
      <c r="AF2" s="292">
        <v>45472</v>
      </c>
      <c r="AG2" s="292">
        <v>45473</v>
      </c>
      <c r="AH2" s="292"/>
      <c r="AI2" s="292">
        <v>45444</v>
      </c>
      <c r="AJ2" s="500"/>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c r="BU2" s="113"/>
      <c r="BV2" s="113"/>
      <c r="BW2" s="113"/>
      <c r="BX2" s="113"/>
      <c r="BY2" s="113"/>
      <c r="BZ2" s="113"/>
      <c r="CA2" s="113"/>
      <c r="CB2" s="113"/>
      <c r="CC2" s="113"/>
      <c r="CD2" s="113"/>
      <c r="CE2" s="113"/>
      <c r="CF2" s="113"/>
      <c r="CG2" s="113"/>
      <c r="CH2" s="113"/>
      <c r="CI2" s="113"/>
      <c r="CJ2" s="113"/>
      <c r="CK2" s="113"/>
      <c r="CL2" s="113"/>
      <c r="CM2" s="113"/>
      <c r="CN2" s="113"/>
      <c r="CO2" s="113"/>
      <c r="CP2" s="113"/>
      <c r="CQ2" s="113"/>
      <c r="CR2" s="113"/>
      <c r="CS2" s="113"/>
      <c r="CT2" s="113"/>
      <c r="CU2" s="113"/>
      <c r="CV2" s="113"/>
      <c r="CW2" s="113"/>
      <c r="CX2" s="113"/>
      <c r="CY2" s="113"/>
      <c r="CZ2" s="113"/>
      <c r="DA2" s="113"/>
      <c r="DB2" s="113"/>
      <c r="DC2" s="113"/>
      <c r="DD2" s="113"/>
      <c r="DE2" s="113"/>
      <c r="DF2" s="113"/>
      <c r="DG2" s="113"/>
      <c r="DH2" s="113"/>
      <c r="DI2" s="113"/>
      <c r="DJ2" s="113"/>
      <c r="DK2" s="113"/>
      <c r="DL2" s="113"/>
      <c r="DM2" s="113"/>
      <c r="DN2" s="113"/>
      <c r="DO2" s="113"/>
      <c r="DP2" s="113"/>
      <c r="DQ2" s="113"/>
      <c r="DR2" s="113"/>
      <c r="DS2" s="113"/>
      <c r="DT2" s="113"/>
      <c r="DU2" s="113"/>
      <c r="DV2" s="113"/>
      <c r="DW2" s="113"/>
      <c r="DX2" s="113"/>
      <c r="DY2" s="113"/>
      <c r="DZ2" s="113"/>
      <c r="EA2" s="113"/>
      <c r="EB2" s="113"/>
      <c r="EC2" s="113"/>
      <c r="ED2" s="113"/>
      <c r="EE2" s="113"/>
      <c r="EF2" s="113"/>
      <c r="EG2" s="113"/>
      <c r="EH2" s="113"/>
      <c r="EI2" s="113"/>
      <c r="EJ2" s="113"/>
      <c r="EK2" s="113"/>
      <c r="EL2" s="113"/>
      <c r="EM2" s="113"/>
      <c r="EN2" s="113"/>
      <c r="EO2" s="113"/>
      <c r="EP2" s="113"/>
      <c r="EQ2" s="113"/>
      <c r="ER2" s="113"/>
      <c r="ES2" s="113"/>
      <c r="ET2" s="113"/>
      <c r="EU2" s="113"/>
      <c r="EV2" s="113"/>
      <c r="EW2" s="113"/>
      <c r="EX2" s="113"/>
      <c r="EY2" s="113"/>
      <c r="EZ2" s="113"/>
      <c r="FA2" s="113"/>
      <c r="FB2" s="113"/>
      <c r="FC2" s="113"/>
      <c r="FD2" s="113"/>
      <c r="FE2" s="113"/>
      <c r="FF2" s="113"/>
      <c r="FG2" s="113"/>
      <c r="FH2" s="113"/>
      <c r="FI2" s="113"/>
      <c r="FJ2" s="113"/>
      <c r="FK2" s="113"/>
      <c r="FL2" s="113"/>
      <c r="FM2" s="113"/>
      <c r="FN2" s="113"/>
      <c r="FO2" s="113"/>
      <c r="FP2" s="113"/>
      <c r="FQ2" s="113"/>
      <c r="FR2" s="113"/>
      <c r="FS2" s="113"/>
      <c r="FT2" s="113"/>
      <c r="FU2" s="113"/>
      <c r="FV2" s="113"/>
      <c r="FW2" s="113"/>
      <c r="FX2" s="113"/>
      <c r="FY2" s="113"/>
      <c r="FZ2" s="113"/>
      <c r="GA2" s="113"/>
      <c r="GB2" s="113"/>
      <c r="GC2" s="113"/>
      <c r="GD2" s="113"/>
      <c r="GE2" s="113"/>
      <c r="GF2" s="113"/>
      <c r="GG2" s="113"/>
      <c r="GH2" s="113"/>
      <c r="GI2" s="113"/>
      <c r="GJ2" s="113"/>
      <c r="GK2" s="113"/>
      <c r="GL2" s="113"/>
      <c r="GM2" s="113"/>
      <c r="GN2" s="113"/>
      <c r="GO2" s="113"/>
      <c r="GP2" s="113"/>
      <c r="GQ2" s="113"/>
      <c r="GR2" s="113"/>
      <c r="GS2" s="113"/>
      <c r="GT2" s="113"/>
      <c r="GU2" s="113"/>
      <c r="GV2" s="113"/>
      <c r="GW2" s="113"/>
      <c r="GX2" s="113"/>
      <c r="GY2" s="113"/>
      <c r="GZ2" s="113"/>
      <c r="HA2" s="113"/>
      <c r="HB2" s="113"/>
      <c r="HC2" s="113"/>
      <c r="HD2" s="113"/>
      <c r="HE2" s="113"/>
      <c r="HF2" s="113"/>
      <c r="HG2" s="113"/>
      <c r="HH2" s="113"/>
      <c r="HI2" s="113"/>
      <c r="HJ2" s="113"/>
      <c r="HK2" s="113"/>
      <c r="HL2" s="113"/>
      <c r="HM2" s="113"/>
      <c r="HN2" s="113"/>
      <c r="HO2" s="113"/>
      <c r="HP2" s="113"/>
    </row>
    <row r="3" spans="1:224" ht="20.25" customHeight="1" thickBot="1" x14ac:dyDescent="0.25">
      <c r="A3" s="502" t="s">
        <v>83</v>
      </c>
      <c r="B3" s="114" t="s">
        <v>84</v>
      </c>
      <c r="C3" s="311">
        <v>19063508</v>
      </c>
      <c r="D3" s="411">
        <v>19067358</v>
      </c>
      <c r="E3" s="412">
        <v>19071198</v>
      </c>
      <c r="F3" s="412">
        <v>19075086</v>
      </c>
      <c r="G3" s="412">
        <v>19079034</v>
      </c>
      <c r="H3" s="412">
        <v>19082948</v>
      </c>
      <c r="I3" s="412">
        <v>19086812</v>
      </c>
      <c r="J3" s="413">
        <v>19090762</v>
      </c>
      <c r="K3" s="412">
        <v>19094674</v>
      </c>
      <c r="L3" s="115">
        <v>19098640</v>
      </c>
      <c r="M3" s="115">
        <v>19102622</v>
      </c>
      <c r="N3" s="115">
        <v>19106540</v>
      </c>
      <c r="O3" s="115">
        <v>19110546</v>
      </c>
      <c r="P3" s="115">
        <v>19114434</v>
      </c>
      <c r="Q3" s="115">
        <v>19118264</v>
      </c>
      <c r="R3" s="115">
        <v>19122098</v>
      </c>
      <c r="S3" s="115">
        <v>19125950</v>
      </c>
      <c r="T3" s="115">
        <v>19129828</v>
      </c>
      <c r="U3" s="115">
        <v>19133750</v>
      </c>
      <c r="V3" s="115">
        <v>19137594</v>
      </c>
      <c r="W3" s="115">
        <v>19141418</v>
      </c>
      <c r="X3" s="115">
        <v>19145224</v>
      </c>
      <c r="Y3" s="115">
        <v>19149136</v>
      </c>
      <c r="Z3" s="115">
        <v>19153140</v>
      </c>
      <c r="AA3" s="115">
        <v>19157134</v>
      </c>
      <c r="AB3" s="115">
        <v>19161156</v>
      </c>
      <c r="AC3" s="115">
        <v>19164950</v>
      </c>
      <c r="AD3" s="115">
        <v>19168632</v>
      </c>
      <c r="AE3" s="115">
        <v>19172250</v>
      </c>
      <c r="AF3" s="115">
        <v>19176098</v>
      </c>
      <c r="AG3" s="115">
        <v>19180160</v>
      </c>
      <c r="AH3" s="311"/>
      <c r="AI3" s="311"/>
      <c r="AJ3" s="312">
        <f t="shared" ref="AJ3:AJ28" si="0">(AH3-D3)/30/24</f>
        <v>-26482.441666666666</v>
      </c>
      <c r="AK3" s="111">
        <v>18588246</v>
      </c>
      <c r="HP3" s="112"/>
    </row>
    <row r="4" spans="1:224" ht="20.25" customHeight="1" thickBot="1" x14ac:dyDescent="0.25">
      <c r="A4" s="502"/>
      <c r="B4" s="117" t="s">
        <v>85</v>
      </c>
      <c r="C4" s="311">
        <v>18054456</v>
      </c>
      <c r="D4" s="411">
        <v>18058146</v>
      </c>
      <c r="E4" s="411">
        <v>18061844</v>
      </c>
      <c r="F4" s="411">
        <v>18065596</v>
      </c>
      <c r="G4" s="411">
        <v>18069516</v>
      </c>
      <c r="H4" s="411">
        <v>18073438</v>
      </c>
      <c r="I4" s="414">
        <v>18077312</v>
      </c>
      <c r="J4" s="414">
        <v>18081268</v>
      </c>
      <c r="K4" s="411">
        <v>18085186</v>
      </c>
      <c r="L4" s="118">
        <v>18089160</v>
      </c>
      <c r="M4" s="118">
        <v>18093142</v>
      </c>
      <c r="N4" s="118">
        <v>18097054</v>
      </c>
      <c r="O4" s="118">
        <v>18101064</v>
      </c>
      <c r="P4" s="118">
        <v>18104954</v>
      </c>
      <c r="Q4" s="118">
        <v>18108780</v>
      </c>
      <c r="R4" s="118">
        <v>18112604</v>
      </c>
      <c r="S4" s="118">
        <v>18116456</v>
      </c>
      <c r="T4" s="118">
        <v>18120332</v>
      </c>
      <c r="U4" s="245">
        <v>18124256</v>
      </c>
      <c r="V4" s="118">
        <v>18128074</v>
      </c>
      <c r="W4" s="118">
        <v>18131802</v>
      </c>
      <c r="X4" s="118">
        <v>18135502</v>
      </c>
      <c r="Y4" s="118">
        <v>18139416</v>
      </c>
      <c r="Z4" s="118">
        <v>18143432</v>
      </c>
      <c r="AA4" s="118">
        <v>18147436</v>
      </c>
      <c r="AB4" s="118">
        <v>18151460</v>
      </c>
      <c r="AC4" s="118">
        <v>18155032</v>
      </c>
      <c r="AD4" s="118">
        <v>18158580</v>
      </c>
      <c r="AE4" s="118">
        <v>18162242</v>
      </c>
      <c r="AF4" s="118">
        <v>18166134</v>
      </c>
      <c r="AG4" s="118">
        <v>18170194</v>
      </c>
      <c r="AH4" s="311"/>
      <c r="AI4" s="118"/>
      <c r="AJ4" s="116">
        <f t="shared" si="0"/>
        <v>-25080.758333333331</v>
      </c>
      <c r="AK4" s="111">
        <v>17586616</v>
      </c>
      <c r="HP4" s="112"/>
    </row>
    <row r="5" spans="1:224" ht="20.25" customHeight="1" thickBot="1" x14ac:dyDescent="0.25">
      <c r="A5" s="502"/>
      <c r="B5" s="117" t="s">
        <v>86</v>
      </c>
      <c r="C5" s="118">
        <v>11487679</v>
      </c>
      <c r="D5" s="411">
        <v>11490251</v>
      </c>
      <c r="E5" s="411">
        <v>11492854</v>
      </c>
      <c r="F5" s="411">
        <v>11495525</v>
      </c>
      <c r="G5" s="411">
        <v>11498166</v>
      </c>
      <c r="H5" s="411">
        <v>11500811</v>
      </c>
      <c r="I5" s="411">
        <v>11503429</v>
      </c>
      <c r="J5" s="411">
        <v>11505991</v>
      </c>
      <c r="K5" s="411">
        <v>11508512</v>
      </c>
      <c r="L5" s="118">
        <v>11511079</v>
      </c>
      <c r="M5" s="118">
        <v>11513681</v>
      </c>
      <c r="N5" s="118">
        <v>11516279</v>
      </c>
      <c r="O5" s="118">
        <v>11518920</v>
      </c>
      <c r="P5" s="118">
        <v>11521556</v>
      </c>
      <c r="Q5" s="118">
        <v>11524089</v>
      </c>
      <c r="R5" s="118">
        <v>11526621</v>
      </c>
      <c r="S5" s="118">
        <v>11529186</v>
      </c>
      <c r="T5" s="118">
        <v>11531730</v>
      </c>
      <c r="U5" s="245">
        <v>11534300</v>
      </c>
      <c r="V5" s="118">
        <v>11536842</v>
      </c>
      <c r="W5" s="118">
        <v>11539390</v>
      </c>
      <c r="X5" s="118">
        <v>11541966</v>
      </c>
      <c r="Y5" s="118">
        <v>11544574</v>
      </c>
      <c r="Z5" s="118">
        <v>11547204</v>
      </c>
      <c r="AA5" s="118">
        <v>11549869</v>
      </c>
      <c r="AB5" s="118">
        <v>11552532</v>
      </c>
      <c r="AC5" s="118">
        <v>11555182</v>
      </c>
      <c r="AD5" s="118">
        <v>11557809</v>
      </c>
      <c r="AE5" s="118">
        <v>11560465</v>
      </c>
      <c r="AF5" s="118">
        <v>11563092</v>
      </c>
      <c r="AG5" s="118">
        <v>11565818</v>
      </c>
      <c r="AH5" s="118"/>
      <c r="AI5" s="118"/>
      <c r="AJ5" s="116">
        <f t="shared" si="0"/>
        <v>-15958.681944444443</v>
      </c>
      <c r="AK5" s="111">
        <v>11167660</v>
      </c>
      <c r="HP5" s="112"/>
    </row>
    <row r="6" spans="1:224" ht="20.25" customHeight="1" thickBot="1" x14ac:dyDescent="0.25">
      <c r="A6" s="502"/>
      <c r="B6" s="117" t="s">
        <v>87</v>
      </c>
      <c r="C6" s="118">
        <v>3325593</v>
      </c>
      <c r="D6" s="411">
        <v>3326255</v>
      </c>
      <c r="E6" s="411">
        <v>3326925</v>
      </c>
      <c r="F6" s="411">
        <v>3327581</v>
      </c>
      <c r="G6" s="411">
        <v>3328257</v>
      </c>
      <c r="H6" s="411">
        <v>3328963</v>
      </c>
      <c r="I6" s="411">
        <v>3329656</v>
      </c>
      <c r="J6" s="411">
        <v>3330348</v>
      </c>
      <c r="K6" s="411">
        <v>3331079</v>
      </c>
      <c r="L6" s="118">
        <v>3331780</v>
      </c>
      <c r="M6" s="118">
        <v>3332500</v>
      </c>
      <c r="N6" s="118">
        <v>3333204</v>
      </c>
      <c r="O6" s="118">
        <v>3333881</v>
      </c>
      <c r="P6" s="118">
        <v>3334575</v>
      </c>
      <c r="Q6" s="118">
        <v>3335264</v>
      </c>
      <c r="R6" s="118">
        <v>3335861</v>
      </c>
      <c r="S6" s="118">
        <v>3336448</v>
      </c>
      <c r="T6" s="118">
        <v>3337075</v>
      </c>
      <c r="U6" s="245">
        <v>3337699</v>
      </c>
      <c r="V6" s="118">
        <v>3338358</v>
      </c>
      <c r="W6" s="118">
        <v>3339047</v>
      </c>
      <c r="X6" s="118">
        <v>3339731</v>
      </c>
      <c r="Y6" s="118">
        <v>3340420</v>
      </c>
      <c r="Z6" s="118">
        <v>3341115</v>
      </c>
      <c r="AA6" s="118">
        <v>3341819</v>
      </c>
      <c r="AB6" s="118">
        <v>3342533</v>
      </c>
      <c r="AC6" s="118">
        <v>3343246</v>
      </c>
      <c r="AD6" s="118">
        <v>3343261</v>
      </c>
      <c r="AE6" s="118">
        <v>3343261</v>
      </c>
      <c r="AF6" s="118">
        <v>3343261</v>
      </c>
      <c r="AG6" s="118">
        <v>3343723</v>
      </c>
      <c r="AH6" s="118"/>
      <c r="AI6" s="118"/>
      <c r="AJ6" s="116">
        <f t="shared" si="0"/>
        <v>-4619.7986111111113</v>
      </c>
      <c r="AK6" s="111">
        <v>3240996</v>
      </c>
      <c r="HP6" s="112"/>
    </row>
    <row r="7" spans="1:224" ht="20.25" customHeight="1" thickBot="1" x14ac:dyDescent="0.25">
      <c r="A7" s="502"/>
      <c r="B7" s="117" t="s">
        <v>88</v>
      </c>
      <c r="C7" s="118">
        <v>3321545</v>
      </c>
      <c r="D7" s="411">
        <v>3322211</v>
      </c>
      <c r="E7" s="411">
        <v>3322872</v>
      </c>
      <c r="F7" s="411">
        <v>3323517</v>
      </c>
      <c r="G7" s="411">
        <v>3324193</v>
      </c>
      <c r="H7" s="411">
        <v>3324898</v>
      </c>
      <c r="I7" s="411">
        <v>3325600</v>
      </c>
      <c r="J7" s="411">
        <v>3326288</v>
      </c>
      <c r="K7" s="411">
        <v>3327017</v>
      </c>
      <c r="L7" s="118">
        <v>3327714</v>
      </c>
      <c r="M7" s="118">
        <v>3328412</v>
      </c>
      <c r="N7" s="118">
        <v>3329116</v>
      </c>
      <c r="O7" s="118">
        <v>3329786</v>
      </c>
      <c r="P7" s="118">
        <v>3330486</v>
      </c>
      <c r="Q7" s="118">
        <v>3331175</v>
      </c>
      <c r="R7" s="118">
        <v>3331767</v>
      </c>
      <c r="S7" s="118">
        <v>3332366</v>
      </c>
      <c r="T7" s="118">
        <v>3333014</v>
      </c>
      <c r="U7" s="245">
        <v>3333643</v>
      </c>
      <c r="V7" s="118">
        <v>3334301</v>
      </c>
      <c r="W7" s="118">
        <v>3335009</v>
      </c>
      <c r="X7" s="118">
        <v>3335677</v>
      </c>
      <c r="Y7" s="118">
        <v>3336370</v>
      </c>
      <c r="Z7" s="118">
        <v>3337062</v>
      </c>
      <c r="AA7" s="118">
        <v>3337752</v>
      </c>
      <c r="AB7" s="118">
        <v>3338457</v>
      </c>
      <c r="AC7" s="118">
        <v>3339165</v>
      </c>
      <c r="AD7" s="118">
        <v>3339881</v>
      </c>
      <c r="AE7" s="118">
        <v>3340608</v>
      </c>
      <c r="AF7" s="118">
        <v>3341327</v>
      </c>
      <c r="AG7" s="118">
        <v>3342064</v>
      </c>
      <c r="AH7" s="118"/>
      <c r="AI7" s="118"/>
      <c r="AJ7" s="116">
        <f t="shared" si="0"/>
        <v>-4614.1819444444445</v>
      </c>
      <c r="AK7" s="111">
        <v>3236502</v>
      </c>
      <c r="HP7" s="112"/>
    </row>
    <row r="8" spans="1:224" ht="20.25" customHeight="1" thickBot="1" x14ac:dyDescent="0.25">
      <c r="A8" s="502"/>
      <c r="B8" s="117" t="s">
        <v>89</v>
      </c>
      <c r="C8" s="118">
        <v>3341120</v>
      </c>
      <c r="D8" s="411">
        <v>3341761</v>
      </c>
      <c r="E8" s="411">
        <v>3342399</v>
      </c>
      <c r="F8" s="411">
        <v>3343041</v>
      </c>
      <c r="G8" s="411">
        <v>3343712</v>
      </c>
      <c r="H8" s="411">
        <v>3344408</v>
      </c>
      <c r="I8" s="411">
        <v>3345094</v>
      </c>
      <c r="J8" s="411">
        <v>3345779</v>
      </c>
      <c r="K8" s="411">
        <v>3346498</v>
      </c>
      <c r="L8" s="118">
        <v>3347201</v>
      </c>
      <c r="M8" s="118">
        <v>3347919</v>
      </c>
      <c r="N8" s="118">
        <v>3348619</v>
      </c>
      <c r="O8" s="118">
        <v>3349290</v>
      </c>
      <c r="P8" s="118">
        <v>3349984</v>
      </c>
      <c r="Q8" s="118">
        <v>3350667</v>
      </c>
      <c r="R8" s="118">
        <v>3351259</v>
      </c>
      <c r="S8" s="118">
        <v>3351852</v>
      </c>
      <c r="T8" s="118">
        <v>3352464</v>
      </c>
      <c r="U8" s="245">
        <v>3353095</v>
      </c>
      <c r="V8" s="118">
        <v>3353750</v>
      </c>
      <c r="W8" s="118">
        <v>3354439</v>
      </c>
      <c r="X8" s="118">
        <v>3355115</v>
      </c>
      <c r="Y8" s="118">
        <v>3355791</v>
      </c>
      <c r="Z8" s="118">
        <v>3356479</v>
      </c>
      <c r="AA8" s="118">
        <v>3357181</v>
      </c>
      <c r="AB8" s="118">
        <v>3357897</v>
      </c>
      <c r="AC8" s="118">
        <v>3358446</v>
      </c>
      <c r="AD8" s="118">
        <v>3358446</v>
      </c>
      <c r="AE8" s="118">
        <v>3358446</v>
      </c>
      <c r="AF8" s="118">
        <v>3358503</v>
      </c>
      <c r="AG8" s="118">
        <v>3359108</v>
      </c>
      <c r="AH8" s="118"/>
      <c r="AI8" s="118"/>
      <c r="AJ8" s="116">
        <f t="shared" si="0"/>
        <v>-4641.3347222222228</v>
      </c>
      <c r="AK8" s="111">
        <v>3257847</v>
      </c>
      <c r="HP8" s="112"/>
    </row>
    <row r="9" spans="1:224" ht="20.25" customHeight="1" thickBot="1" x14ac:dyDescent="0.25">
      <c r="A9" s="502"/>
      <c r="B9" s="117" t="s">
        <v>90</v>
      </c>
      <c r="C9" s="118">
        <v>3330741</v>
      </c>
      <c r="D9" s="411">
        <v>3331385</v>
      </c>
      <c r="E9" s="411">
        <v>3332013</v>
      </c>
      <c r="F9" s="411">
        <v>3332637</v>
      </c>
      <c r="G9" s="411">
        <v>3333289</v>
      </c>
      <c r="H9" s="411">
        <v>3333971</v>
      </c>
      <c r="I9" s="411">
        <v>3334636</v>
      </c>
      <c r="J9" s="411">
        <v>3335327</v>
      </c>
      <c r="K9" s="411">
        <v>3336030</v>
      </c>
      <c r="L9" s="118">
        <v>3336727</v>
      </c>
      <c r="M9" s="118">
        <v>3337438</v>
      </c>
      <c r="N9" s="118">
        <v>3338105</v>
      </c>
      <c r="O9" s="118">
        <v>3338770</v>
      </c>
      <c r="P9" s="118">
        <v>3339463</v>
      </c>
      <c r="Q9" s="118">
        <v>3340111</v>
      </c>
      <c r="R9" s="118">
        <v>3340680</v>
      </c>
      <c r="S9" s="118">
        <v>3341276</v>
      </c>
      <c r="T9" s="118">
        <v>3341877</v>
      </c>
      <c r="U9" s="248">
        <v>3342489</v>
      </c>
      <c r="V9" s="118">
        <v>3343125</v>
      </c>
      <c r="W9" s="118">
        <v>3343799</v>
      </c>
      <c r="X9" s="118">
        <v>3344460</v>
      </c>
      <c r="Y9" s="118">
        <v>3345125</v>
      </c>
      <c r="Z9" s="118">
        <v>3345796</v>
      </c>
      <c r="AA9" s="118">
        <v>3346487</v>
      </c>
      <c r="AB9" s="118">
        <v>3347176</v>
      </c>
      <c r="AC9" s="118">
        <v>3347862</v>
      </c>
      <c r="AD9" s="118">
        <v>3348577</v>
      </c>
      <c r="AE9" s="241">
        <v>3349280</v>
      </c>
      <c r="AF9" s="118">
        <v>3349932</v>
      </c>
      <c r="AG9" s="118">
        <v>3350618</v>
      </c>
      <c r="AH9" s="118"/>
      <c r="AI9" s="118"/>
      <c r="AJ9" s="116">
        <f t="shared" si="0"/>
        <v>-4626.9236111111113</v>
      </c>
      <c r="AK9" s="111">
        <v>3250589</v>
      </c>
      <c r="HP9" s="112"/>
    </row>
    <row r="10" spans="1:224" ht="20.25" customHeight="1" thickBot="1" x14ac:dyDescent="0.25">
      <c r="A10" s="502"/>
      <c r="B10" s="117" t="s">
        <v>91</v>
      </c>
      <c r="C10" s="118">
        <v>3234129</v>
      </c>
      <c r="D10" s="411">
        <v>3234808</v>
      </c>
      <c r="E10" s="411">
        <v>3235461</v>
      </c>
      <c r="F10" s="411">
        <v>3236144</v>
      </c>
      <c r="G10" s="411">
        <v>3236838</v>
      </c>
      <c r="H10" s="411">
        <v>3237539</v>
      </c>
      <c r="I10" s="411">
        <v>3238238</v>
      </c>
      <c r="J10" s="411">
        <v>3238935</v>
      </c>
      <c r="K10" s="411">
        <v>3239665</v>
      </c>
      <c r="L10" s="118">
        <v>3240391</v>
      </c>
      <c r="M10" s="118">
        <v>3241108</v>
      </c>
      <c r="N10" s="118">
        <v>3241846</v>
      </c>
      <c r="O10" s="118">
        <v>3242565</v>
      </c>
      <c r="P10" s="118">
        <v>3243257</v>
      </c>
      <c r="Q10" s="118">
        <v>3243948</v>
      </c>
      <c r="R10" s="118">
        <v>3244645</v>
      </c>
      <c r="S10" s="118">
        <v>3245337</v>
      </c>
      <c r="T10" s="118">
        <v>3246035</v>
      </c>
      <c r="U10" s="248">
        <v>3246740</v>
      </c>
      <c r="V10" s="118">
        <v>3247446</v>
      </c>
      <c r="W10" s="118">
        <v>3248137</v>
      </c>
      <c r="X10" s="118">
        <v>3248838</v>
      </c>
      <c r="Y10" s="118">
        <v>3249545</v>
      </c>
      <c r="Z10" s="118">
        <v>3250241</v>
      </c>
      <c r="AA10" s="118">
        <v>3250960</v>
      </c>
      <c r="AB10" s="118">
        <v>3251694</v>
      </c>
      <c r="AC10" s="118">
        <v>3252428</v>
      </c>
      <c r="AD10" s="118">
        <v>3253147</v>
      </c>
      <c r="AE10" s="241">
        <v>3253872</v>
      </c>
      <c r="AF10" s="118">
        <v>3254606</v>
      </c>
      <c r="AG10" s="118">
        <v>3255340</v>
      </c>
      <c r="AH10" s="118"/>
      <c r="AI10" s="118"/>
      <c r="AJ10" s="116">
        <f t="shared" si="0"/>
        <v>-4492.7888888888892</v>
      </c>
      <c r="AK10" s="111">
        <v>3149916</v>
      </c>
      <c r="HP10" s="112"/>
    </row>
    <row r="11" spans="1:224" ht="20.25" customHeight="1" thickBot="1" x14ac:dyDescent="0.25">
      <c r="A11" s="502"/>
      <c r="B11" s="117" t="s">
        <v>92</v>
      </c>
      <c r="C11" s="118">
        <v>3178750</v>
      </c>
      <c r="D11" s="411">
        <v>3179461</v>
      </c>
      <c r="E11" s="411">
        <v>3180145</v>
      </c>
      <c r="F11" s="411">
        <v>3180835</v>
      </c>
      <c r="G11" s="411">
        <v>3181569</v>
      </c>
      <c r="H11" s="411">
        <v>3182294</v>
      </c>
      <c r="I11" s="411">
        <v>3183009</v>
      </c>
      <c r="J11" s="411">
        <v>3183737</v>
      </c>
      <c r="K11" s="411">
        <v>3184470</v>
      </c>
      <c r="L11" s="118">
        <v>3185204</v>
      </c>
      <c r="M11" s="118">
        <v>3185927</v>
      </c>
      <c r="N11" s="118">
        <v>3186652</v>
      </c>
      <c r="O11" s="118">
        <v>3187375</v>
      </c>
      <c r="P11" s="118">
        <v>3188087</v>
      </c>
      <c r="Q11" s="118">
        <v>3188790</v>
      </c>
      <c r="R11" s="118">
        <v>3189527</v>
      </c>
      <c r="S11" s="118">
        <v>3190220</v>
      </c>
      <c r="T11" s="118">
        <v>3190936</v>
      </c>
      <c r="U11" s="248">
        <v>3191644</v>
      </c>
      <c r="V11" s="118">
        <v>3192357</v>
      </c>
      <c r="W11" s="118">
        <v>3193098</v>
      </c>
      <c r="X11" s="118">
        <v>3193807</v>
      </c>
      <c r="Y11" s="118">
        <v>3194510</v>
      </c>
      <c r="Z11" s="118">
        <v>3195243</v>
      </c>
      <c r="AA11" s="118">
        <v>3195980</v>
      </c>
      <c r="AB11" s="118">
        <v>3196703</v>
      </c>
      <c r="AC11" s="118">
        <v>3197413</v>
      </c>
      <c r="AD11" s="118">
        <v>3198121</v>
      </c>
      <c r="AE11" s="118">
        <v>3198853</v>
      </c>
      <c r="AF11" s="118">
        <v>3199561</v>
      </c>
      <c r="AG11" s="118">
        <v>3200255</v>
      </c>
      <c r="AH11" s="118"/>
      <c r="AI11" s="118"/>
      <c r="AJ11" s="116">
        <f t="shared" si="0"/>
        <v>-4415.9180555555558</v>
      </c>
      <c r="AK11" s="111">
        <v>3093083</v>
      </c>
      <c r="HP11" s="112"/>
    </row>
    <row r="12" spans="1:224" ht="20.25" customHeight="1" thickBot="1" x14ac:dyDescent="0.25">
      <c r="A12" s="502"/>
      <c r="B12" s="117" t="s">
        <v>93</v>
      </c>
      <c r="C12" s="118">
        <v>3108803</v>
      </c>
      <c r="D12" s="411">
        <v>3109411</v>
      </c>
      <c r="E12" s="412">
        <v>3110009</v>
      </c>
      <c r="F12" s="411">
        <v>3110641</v>
      </c>
      <c r="G12" s="411">
        <v>3111269</v>
      </c>
      <c r="H12" s="411">
        <v>3111921</v>
      </c>
      <c r="I12" s="411">
        <v>3112563</v>
      </c>
      <c r="J12" s="411">
        <v>3113220</v>
      </c>
      <c r="K12" s="411">
        <v>3113890</v>
      </c>
      <c r="L12" s="118">
        <v>3114562</v>
      </c>
      <c r="M12" s="118">
        <v>3115219</v>
      </c>
      <c r="N12" s="118">
        <v>3115878</v>
      </c>
      <c r="O12" s="118">
        <v>3116543</v>
      </c>
      <c r="P12" s="118">
        <v>3117181</v>
      </c>
      <c r="Q12" s="118">
        <v>3117827</v>
      </c>
      <c r="R12" s="118">
        <v>3118456</v>
      </c>
      <c r="S12" s="118">
        <v>3119109</v>
      </c>
      <c r="T12" s="118">
        <v>3119768</v>
      </c>
      <c r="U12" s="118">
        <v>3120412</v>
      </c>
      <c r="V12" s="118">
        <v>3120590</v>
      </c>
      <c r="W12" s="118">
        <v>3120590</v>
      </c>
      <c r="X12" s="118">
        <v>3120659</v>
      </c>
      <c r="Y12" s="118">
        <v>3121292</v>
      </c>
      <c r="Z12" s="118">
        <v>3121972</v>
      </c>
      <c r="AA12" s="118">
        <v>3122638</v>
      </c>
      <c r="AB12" s="118">
        <v>3123304</v>
      </c>
      <c r="AC12" s="118">
        <v>3123935</v>
      </c>
      <c r="AD12" s="118">
        <v>3124574</v>
      </c>
      <c r="AE12" s="118">
        <v>3125241</v>
      </c>
      <c r="AF12" s="118">
        <v>3125904</v>
      </c>
      <c r="AG12" s="118">
        <v>3126598</v>
      </c>
      <c r="AH12" s="118"/>
      <c r="AI12" s="118"/>
      <c r="AJ12" s="116">
        <f t="shared" si="0"/>
        <v>-4318.6263888888889</v>
      </c>
      <c r="AK12" s="111">
        <v>3029592</v>
      </c>
      <c r="HP12" s="112"/>
    </row>
    <row r="13" spans="1:224" ht="20.25" customHeight="1" thickBot="1" x14ac:dyDescent="0.25">
      <c r="A13" s="502"/>
      <c r="B13" s="117" t="s">
        <v>94</v>
      </c>
      <c r="C13" s="118">
        <v>3150443</v>
      </c>
      <c r="D13" s="411">
        <v>3151102</v>
      </c>
      <c r="E13" s="411">
        <v>3151764</v>
      </c>
      <c r="F13" s="411">
        <v>3152445</v>
      </c>
      <c r="G13" s="411">
        <v>3153153</v>
      </c>
      <c r="H13" s="411">
        <v>3153840</v>
      </c>
      <c r="I13" s="411">
        <v>3154531</v>
      </c>
      <c r="J13" s="411">
        <v>3155269</v>
      </c>
      <c r="K13" s="411">
        <v>3155991</v>
      </c>
      <c r="L13" s="118">
        <v>3156718</v>
      </c>
      <c r="M13" s="118">
        <v>3157437</v>
      </c>
      <c r="N13" s="118">
        <v>3158135</v>
      </c>
      <c r="O13" s="118">
        <v>3158853</v>
      </c>
      <c r="P13" s="118">
        <v>3159538</v>
      </c>
      <c r="Q13" s="118">
        <v>3160218</v>
      </c>
      <c r="R13" s="118">
        <v>3160931</v>
      </c>
      <c r="S13" s="118">
        <v>3161628</v>
      </c>
      <c r="T13" s="118">
        <v>3162332</v>
      </c>
      <c r="U13" s="118">
        <v>3163053</v>
      </c>
      <c r="V13" s="118">
        <v>3163764</v>
      </c>
      <c r="W13" s="118">
        <v>3164442</v>
      </c>
      <c r="X13" s="118">
        <v>3165086</v>
      </c>
      <c r="Y13" s="118">
        <v>3165753</v>
      </c>
      <c r="Z13" s="118">
        <v>3166467</v>
      </c>
      <c r="AA13" s="118">
        <v>3167182</v>
      </c>
      <c r="AB13" s="118">
        <v>3167910</v>
      </c>
      <c r="AC13" s="118">
        <v>3168663</v>
      </c>
      <c r="AD13" s="118">
        <v>3169380</v>
      </c>
      <c r="AE13" s="118">
        <v>3170110</v>
      </c>
      <c r="AF13" s="118">
        <v>3170859</v>
      </c>
      <c r="AG13" s="118">
        <v>3171578</v>
      </c>
      <c r="AH13" s="118"/>
      <c r="AI13" s="118"/>
      <c r="AJ13" s="116">
        <f t="shared" si="0"/>
        <v>-4376.530555555556</v>
      </c>
      <c r="AK13" s="111">
        <v>3065960</v>
      </c>
      <c r="HP13" s="112"/>
    </row>
    <row r="14" spans="1:224" ht="20.25" customHeight="1" thickBot="1" x14ac:dyDescent="0.25">
      <c r="A14" s="502"/>
      <c r="B14" s="117" t="s">
        <v>95</v>
      </c>
      <c r="C14" s="118">
        <v>3234065</v>
      </c>
      <c r="D14" s="411">
        <v>3234689</v>
      </c>
      <c r="E14" s="411">
        <v>3235319</v>
      </c>
      <c r="F14" s="411">
        <v>3235956</v>
      </c>
      <c r="G14" s="411">
        <v>3236610</v>
      </c>
      <c r="H14" s="411">
        <v>3237272</v>
      </c>
      <c r="I14" s="411">
        <v>3237937</v>
      </c>
      <c r="J14" s="411">
        <v>3238626</v>
      </c>
      <c r="K14" s="411">
        <v>3239319</v>
      </c>
      <c r="L14" s="118">
        <v>3240013</v>
      </c>
      <c r="M14" s="118">
        <v>3240702</v>
      </c>
      <c r="N14" s="118">
        <v>3241379</v>
      </c>
      <c r="O14" s="118">
        <v>3242061</v>
      </c>
      <c r="P14" s="118">
        <v>3242721</v>
      </c>
      <c r="Q14" s="118">
        <v>3243374</v>
      </c>
      <c r="R14" s="118">
        <v>3244050</v>
      </c>
      <c r="S14" s="118">
        <v>3244723</v>
      </c>
      <c r="T14" s="118">
        <v>3245383</v>
      </c>
      <c r="U14" s="118">
        <v>3246074</v>
      </c>
      <c r="V14" s="118">
        <v>3246756</v>
      </c>
      <c r="W14" s="118">
        <v>3247420</v>
      </c>
      <c r="X14" s="118">
        <v>3248056</v>
      </c>
      <c r="Y14" s="118">
        <v>3248702</v>
      </c>
      <c r="Z14" s="118">
        <v>3249383</v>
      </c>
      <c r="AA14" s="118">
        <v>3250084</v>
      </c>
      <c r="AB14" s="118">
        <v>3250808</v>
      </c>
      <c r="AC14" s="118">
        <v>3251530</v>
      </c>
      <c r="AD14" s="118">
        <v>3252238</v>
      </c>
      <c r="AE14" s="118">
        <v>3252950</v>
      </c>
      <c r="AF14" s="118">
        <v>3253663</v>
      </c>
      <c r="AG14" s="118">
        <v>3254386</v>
      </c>
      <c r="AH14" s="118"/>
      <c r="AI14" s="118"/>
      <c r="AJ14" s="116">
        <f t="shared" si="0"/>
        <v>-4492.6236111111111</v>
      </c>
      <c r="AK14" s="111">
        <v>3152106</v>
      </c>
      <c r="HP14" s="112"/>
    </row>
    <row r="15" spans="1:224" ht="20.25" customHeight="1" thickBot="1" x14ac:dyDescent="0.25">
      <c r="A15" s="502"/>
      <c r="B15" s="117" t="s">
        <v>96</v>
      </c>
      <c r="C15" s="118">
        <v>3206862</v>
      </c>
      <c r="D15" s="411">
        <v>3207509</v>
      </c>
      <c r="E15" s="411">
        <v>3208163</v>
      </c>
      <c r="F15" s="411">
        <v>3208833</v>
      </c>
      <c r="G15" s="411">
        <v>3209525</v>
      </c>
      <c r="H15" s="411">
        <v>3210211</v>
      </c>
      <c r="I15" s="411">
        <v>3210893</v>
      </c>
      <c r="J15" s="411">
        <v>3211613</v>
      </c>
      <c r="K15" s="411">
        <v>3212323</v>
      </c>
      <c r="L15" s="118">
        <v>3213043</v>
      </c>
      <c r="M15" s="118">
        <v>3213752</v>
      </c>
      <c r="N15" s="118">
        <v>3214453</v>
      </c>
      <c r="O15" s="118">
        <v>3215160</v>
      </c>
      <c r="P15" s="118">
        <v>3215845</v>
      </c>
      <c r="Q15" s="118">
        <v>3216518</v>
      </c>
      <c r="R15" s="118">
        <v>3217203</v>
      </c>
      <c r="S15" s="118">
        <v>3217876</v>
      </c>
      <c r="T15" s="118">
        <v>3218572</v>
      </c>
      <c r="U15" s="118">
        <v>3219283</v>
      </c>
      <c r="V15" s="118">
        <v>3219979</v>
      </c>
      <c r="W15" s="118">
        <v>3220639</v>
      </c>
      <c r="X15" s="118">
        <v>3221260</v>
      </c>
      <c r="Y15" s="118">
        <v>3221910</v>
      </c>
      <c r="Z15" s="118">
        <v>3222601</v>
      </c>
      <c r="AA15" s="118">
        <v>3223306</v>
      </c>
      <c r="AB15" s="118">
        <v>3224034</v>
      </c>
      <c r="AC15" s="118">
        <v>3224762</v>
      </c>
      <c r="AD15" s="118">
        <f>AC15+718</f>
        <v>3225480</v>
      </c>
      <c r="AE15" s="118">
        <v>3226194</v>
      </c>
      <c r="AF15" s="118">
        <v>3226924</v>
      </c>
      <c r="AG15" s="118">
        <v>3227651</v>
      </c>
      <c r="AH15" s="118"/>
      <c r="AI15" s="118"/>
      <c r="AJ15" s="116">
        <f t="shared" si="0"/>
        <v>-4454.8736111111111</v>
      </c>
      <c r="AK15" s="111">
        <v>3123478</v>
      </c>
      <c r="HP15" s="112"/>
    </row>
    <row r="16" spans="1:224" ht="20.25" customHeight="1" thickBot="1" x14ac:dyDescent="0.25">
      <c r="A16" s="502"/>
      <c r="B16" s="117" t="s">
        <v>97</v>
      </c>
      <c r="C16" s="118">
        <v>3293872</v>
      </c>
      <c r="D16" s="411">
        <v>3294584</v>
      </c>
      <c r="E16" s="411">
        <v>3295285</v>
      </c>
      <c r="F16" s="411">
        <v>3295997</v>
      </c>
      <c r="G16" s="411">
        <v>3296732</v>
      </c>
      <c r="H16" s="411">
        <v>3297464</v>
      </c>
      <c r="I16" s="411">
        <v>3298186</v>
      </c>
      <c r="J16" s="411">
        <v>3298939</v>
      </c>
      <c r="K16" s="411">
        <v>3299689</v>
      </c>
      <c r="L16" s="118">
        <v>3300447</v>
      </c>
      <c r="M16" s="118">
        <v>3301206</v>
      </c>
      <c r="N16" s="118">
        <v>3301954</v>
      </c>
      <c r="O16" s="118">
        <v>3302707</v>
      </c>
      <c r="P16" s="118">
        <v>3303432</v>
      </c>
      <c r="Q16" s="118">
        <v>3304144</v>
      </c>
      <c r="R16" s="118">
        <v>3304876</v>
      </c>
      <c r="S16" s="118">
        <v>3305589</v>
      </c>
      <c r="T16" s="118">
        <v>3306324</v>
      </c>
      <c r="U16" s="118">
        <v>3307057</v>
      </c>
      <c r="V16" s="118">
        <v>3307778</v>
      </c>
      <c r="W16" s="118">
        <v>3308516</v>
      </c>
      <c r="X16" s="118">
        <v>3309245</v>
      </c>
      <c r="Y16" s="118">
        <v>3309981</v>
      </c>
      <c r="Z16" s="118">
        <v>3310727</v>
      </c>
      <c r="AA16" s="118">
        <v>3311486</v>
      </c>
      <c r="AB16" s="118">
        <v>3312239</v>
      </c>
      <c r="AC16" s="118">
        <v>3312982</v>
      </c>
      <c r="AD16" s="118">
        <v>3313723</v>
      </c>
      <c r="AE16" s="118">
        <v>3314474</v>
      </c>
      <c r="AF16" s="118">
        <v>3315237</v>
      </c>
      <c r="AG16" s="118">
        <v>3316007</v>
      </c>
      <c r="AH16" s="118"/>
      <c r="AI16" s="118"/>
      <c r="AJ16" s="116">
        <f t="shared" si="0"/>
        <v>-4575.8111111111111</v>
      </c>
      <c r="AK16" s="111">
        <v>3206200</v>
      </c>
      <c r="HP16" s="112"/>
    </row>
    <row r="17" spans="1:224" ht="20.25" customHeight="1" thickBot="1" x14ac:dyDescent="0.25">
      <c r="A17" s="502"/>
      <c r="B17" s="117" t="s">
        <v>98</v>
      </c>
      <c r="C17" s="118">
        <v>3112289</v>
      </c>
      <c r="D17" s="411">
        <v>3112947</v>
      </c>
      <c r="E17" s="411">
        <v>3113615</v>
      </c>
      <c r="F17" s="411">
        <v>3114287</v>
      </c>
      <c r="G17" s="411">
        <v>3114965</v>
      </c>
      <c r="H17" s="411">
        <v>3115675</v>
      </c>
      <c r="I17" s="411">
        <v>3116346</v>
      </c>
      <c r="J17" s="411">
        <v>3117047</v>
      </c>
      <c r="K17" s="411">
        <v>3117779</v>
      </c>
      <c r="L17" s="118">
        <v>3118484</v>
      </c>
      <c r="M17" s="118">
        <v>3119203</v>
      </c>
      <c r="N17" s="118">
        <v>3119925</v>
      </c>
      <c r="O17" s="118">
        <v>3120632</v>
      </c>
      <c r="P17" s="118">
        <v>3121342</v>
      </c>
      <c r="Q17" s="118">
        <v>3122012</v>
      </c>
      <c r="R17" s="118">
        <v>3122702</v>
      </c>
      <c r="S17" s="118">
        <v>3123390</v>
      </c>
      <c r="T17" s="118">
        <v>3124059</v>
      </c>
      <c r="U17" s="118">
        <v>3124762</v>
      </c>
      <c r="V17" s="118">
        <v>3125464</v>
      </c>
      <c r="W17" s="118">
        <v>3126145</v>
      </c>
      <c r="X17" s="118">
        <v>3126859</v>
      </c>
      <c r="Y17" s="118">
        <v>3127565</v>
      </c>
      <c r="Z17" s="118">
        <v>3128255</v>
      </c>
      <c r="AA17" s="118">
        <v>3128983</v>
      </c>
      <c r="AB17" s="118">
        <v>3129721</v>
      </c>
      <c r="AC17" s="118">
        <v>3130450</v>
      </c>
      <c r="AD17" s="118">
        <v>3131187</v>
      </c>
      <c r="AE17" s="118">
        <v>3131899</v>
      </c>
      <c r="AF17" s="118">
        <v>3132638</v>
      </c>
      <c r="AG17" s="118">
        <v>3133368</v>
      </c>
      <c r="AH17" s="118"/>
      <c r="AI17" s="118"/>
      <c r="AJ17" s="116">
        <f t="shared" si="0"/>
        <v>-4323.5374999999995</v>
      </c>
      <c r="AK17" s="111">
        <v>3029265</v>
      </c>
      <c r="HP17" s="112"/>
    </row>
    <row r="18" spans="1:224" ht="20.25" customHeight="1" thickBot="1" x14ac:dyDescent="0.25">
      <c r="A18" s="502"/>
      <c r="B18" s="117" t="s">
        <v>99</v>
      </c>
      <c r="C18" s="118">
        <v>3033612</v>
      </c>
      <c r="D18" s="411">
        <v>3034273</v>
      </c>
      <c r="E18" s="411">
        <v>3034946</v>
      </c>
      <c r="F18" s="411">
        <v>3035634</v>
      </c>
      <c r="G18" s="411">
        <v>3036332</v>
      </c>
      <c r="H18" s="411">
        <v>3037035</v>
      </c>
      <c r="I18" s="411">
        <v>3037695</v>
      </c>
      <c r="J18" s="411">
        <v>3038316</v>
      </c>
      <c r="K18" s="411">
        <v>3038925</v>
      </c>
      <c r="L18" s="118">
        <v>3039604</v>
      </c>
      <c r="M18" s="118">
        <v>3040296</v>
      </c>
      <c r="N18" s="118">
        <v>3040965</v>
      </c>
      <c r="O18" s="118">
        <v>3041676</v>
      </c>
      <c r="P18" s="118">
        <v>3042361</v>
      </c>
      <c r="Q18" s="118">
        <v>3043052</v>
      </c>
      <c r="R18" s="118">
        <v>3043741</v>
      </c>
      <c r="S18" s="118">
        <v>3044450</v>
      </c>
      <c r="T18" s="118">
        <v>3045141</v>
      </c>
      <c r="U18" s="118">
        <v>3045829</v>
      </c>
      <c r="V18" s="118">
        <v>3046526</v>
      </c>
      <c r="W18" s="118">
        <v>3047237</v>
      </c>
      <c r="X18" s="118">
        <v>3047930</v>
      </c>
      <c r="Y18" s="118">
        <v>3048634</v>
      </c>
      <c r="Z18" s="118">
        <v>3049335</v>
      </c>
      <c r="AA18" s="118">
        <v>3050049</v>
      </c>
      <c r="AB18" s="118">
        <v>3050784</v>
      </c>
      <c r="AC18" s="118">
        <v>3051512</v>
      </c>
      <c r="AD18" s="118">
        <v>3052247</v>
      </c>
      <c r="AE18" s="118">
        <v>3052989</v>
      </c>
      <c r="AF18" s="118">
        <v>3053719</v>
      </c>
      <c r="AG18" s="118">
        <v>3054467</v>
      </c>
      <c r="AH18" s="118"/>
      <c r="AI18" s="118"/>
      <c r="AJ18" s="116">
        <f t="shared" si="0"/>
        <v>-4214.2680555555553</v>
      </c>
      <c r="AK18" s="111">
        <v>2950450</v>
      </c>
      <c r="HP18" s="112"/>
    </row>
    <row r="19" spans="1:224" ht="20.25" customHeight="1" thickBot="1" x14ac:dyDescent="0.25">
      <c r="A19" s="502"/>
      <c r="B19" s="117" t="s">
        <v>100</v>
      </c>
      <c r="C19" s="118">
        <v>3137128</v>
      </c>
      <c r="D19" s="411">
        <v>3137783</v>
      </c>
      <c r="E19" s="411">
        <v>3138429</v>
      </c>
      <c r="F19" s="411">
        <v>3139091</v>
      </c>
      <c r="G19" s="411">
        <v>3139778</v>
      </c>
      <c r="H19" s="411">
        <v>3140464</v>
      </c>
      <c r="I19" s="411">
        <v>3141126</v>
      </c>
      <c r="J19" s="411">
        <v>3141753</v>
      </c>
      <c r="K19" s="411">
        <v>3142341</v>
      </c>
      <c r="L19" s="118">
        <v>3143009</v>
      </c>
      <c r="M19" s="118">
        <v>3143688</v>
      </c>
      <c r="N19" s="118">
        <v>3144348</v>
      </c>
      <c r="O19" s="118">
        <v>3145055</v>
      </c>
      <c r="P19" s="118">
        <v>3145729</v>
      </c>
      <c r="Q19" s="118">
        <v>3146415</v>
      </c>
      <c r="R19" s="118">
        <v>3147093</v>
      </c>
      <c r="S19" s="118">
        <v>3147764</v>
      </c>
      <c r="T19" s="118">
        <v>3148446</v>
      </c>
      <c r="U19" s="118">
        <v>3149142</v>
      </c>
      <c r="V19" s="118">
        <v>3149836</v>
      </c>
      <c r="W19" s="118">
        <v>3150551</v>
      </c>
      <c r="X19" s="118">
        <v>3151268</v>
      </c>
      <c r="Y19" s="118">
        <v>3151963</v>
      </c>
      <c r="Z19" s="118">
        <v>3152673</v>
      </c>
      <c r="AA19" s="118">
        <v>3153392</v>
      </c>
      <c r="AB19" s="118">
        <v>3154115</v>
      </c>
      <c r="AC19" s="118">
        <v>3154847</v>
      </c>
      <c r="AD19" s="118">
        <v>3155573</v>
      </c>
      <c r="AE19" s="118">
        <v>3156307</v>
      </c>
      <c r="AF19" s="118">
        <v>3157027</v>
      </c>
      <c r="AG19" s="118">
        <v>3157771</v>
      </c>
      <c r="AH19" s="118"/>
      <c r="AI19" s="118"/>
      <c r="AJ19" s="116">
        <f t="shared" si="0"/>
        <v>-4358.031944444444</v>
      </c>
      <c r="AK19" s="111">
        <v>3054888</v>
      </c>
      <c r="HP19" s="112"/>
    </row>
    <row r="20" spans="1:224" ht="20.25" customHeight="1" thickBot="1" x14ac:dyDescent="0.25">
      <c r="A20" s="502"/>
      <c r="B20" s="117" t="s">
        <v>101</v>
      </c>
      <c r="C20" s="118">
        <v>3016442</v>
      </c>
      <c r="D20" s="411">
        <v>3017078</v>
      </c>
      <c r="E20" s="411">
        <v>3017707</v>
      </c>
      <c r="F20" s="411">
        <v>3018361</v>
      </c>
      <c r="G20" s="411">
        <v>3019031</v>
      </c>
      <c r="H20" s="411">
        <v>3019691</v>
      </c>
      <c r="I20" s="411">
        <v>3020330</v>
      </c>
      <c r="J20" s="411">
        <v>3020944</v>
      </c>
      <c r="K20" s="411">
        <v>3021539</v>
      </c>
      <c r="L20" s="118">
        <v>3022193</v>
      </c>
      <c r="M20" s="118">
        <v>3022842</v>
      </c>
      <c r="N20" s="118">
        <v>3023472</v>
      </c>
      <c r="O20" s="118">
        <v>3024155</v>
      </c>
      <c r="P20" s="118">
        <v>3024809</v>
      </c>
      <c r="Q20" s="118">
        <v>3025452</v>
      </c>
      <c r="R20" s="118">
        <v>3026109</v>
      </c>
      <c r="S20" s="118">
        <v>3026767</v>
      </c>
      <c r="T20" s="118">
        <v>3027424</v>
      </c>
      <c r="U20" s="118">
        <v>3028104</v>
      </c>
      <c r="V20" s="118">
        <v>3028766</v>
      </c>
      <c r="W20" s="118">
        <v>3029451</v>
      </c>
      <c r="X20" s="118">
        <v>3030130</v>
      </c>
      <c r="Y20" s="118">
        <v>3030799</v>
      </c>
      <c r="Z20" s="118">
        <v>3031477</v>
      </c>
      <c r="AA20" s="118">
        <v>3032167</v>
      </c>
      <c r="AB20" s="118">
        <v>3032857</v>
      </c>
      <c r="AC20" s="118">
        <v>3033550</v>
      </c>
      <c r="AD20" s="118">
        <v>3034230</v>
      </c>
      <c r="AE20" s="118">
        <v>3034909</v>
      </c>
      <c r="AF20" s="118">
        <v>3035609</v>
      </c>
      <c r="AG20" s="118">
        <v>3036312</v>
      </c>
      <c r="AH20" s="118"/>
      <c r="AI20" s="118"/>
      <c r="AJ20" s="116">
        <f t="shared" si="0"/>
        <v>-4190.3861111111109</v>
      </c>
      <c r="AK20" s="111">
        <v>2936150</v>
      </c>
      <c r="HP20" s="112"/>
    </row>
    <row r="21" spans="1:224" ht="20.25" customHeight="1" thickBot="1" x14ac:dyDescent="0.25">
      <c r="A21" s="502"/>
      <c r="B21" s="117" t="s">
        <v>102</v>
      </c>
      <c r="C21" s="118">
        <v>2993693</v>
      </c>
      <c r="D21" s="411">
        <v>2994334</v>
      </c>
      <c r="E21" s="411">
        <v>2994990</v>
      </c>
      <c r="F21" s="411">
        <v>2995660</v>
      </c>
      <c r="G21" s="411">
        <v>2996334</v>
      </c>
      <c r="H21" s="411">
        <v>2997021</v>
      </c>
      <c r="I21" s="411">
        <v>2997681</v>
      </c>
      <c r="J21" s="411">
        <v>2998294</v>
      </c>
      <c r="K21" s="411">
        <v>2998867</v>
      </c>
      <c r="L21" s="118">
        <v>2999514</v>
      </c>
      <c r="M21" s="118">
        <v>3000157</v>
      </c>
      <c r="N21" s="118">
        <v>3000793</v>
      </c>
      <c r="O21" s="118">
        <v>3001484</v>
      </c>
      <c r="P21" s="118">
        <v>3002140</v>
      </c>
      <c r="Q21" s="118">
        <v>3002799</v>
      </c>
      <c r="R21" s="118">
        <v>3003470</v>
      </c>
      <c r="S21" s="118">
        <v>3004131</v>
      </c>
      <c r="T21" s="118">
        <v>3004807</v>
      </c>
      <c r="U21" s="118">
        <v>3005496</v>
      </c>
      <c r="V21" s="118">
        <v>3006156</v>
      </c>
      <c r="W21" s="118">
        <v>3006839</v>
      </c>
      <c r="X21" s="118">
        <v>3007534</v>
      </c>
      <c r="Y21" s="118">
        <v>3008200</v>
      </c>
      <c r="Z21" s="118">
        <v>3008888</v>
      </c>
      <c r="AA21" s="118">
        <v>3009582</v>
      </c>
      <c r="AB21" s="118">
        <v>3010298</v>
      </c>
      <c r="AC21" s="118">
        <v>3011022</v>
      </c>
      <c r="AD21" s="118">
        <v>3011729</v>
      </c>
      <c r="AE21" s="118">
        <v>3012444</v>
      </c>
      <c r="AF21" s="118">
        <v>3013134</v>
      </c>
      <c r="AG21" s="118">
        <v>3013828</v>
      </c>
      <c r="AH21" s="118"/>
      <c r="AI21" s="118"/>
      <c r="AJ21" s="116">
        <f t="shared" si="0"/>
        <v>-4158.7972222222224</v>
      </c>
      <c r="AK21" s="111">
        <v>2913120</v>
      </c>
      <c r="HP21" s="112"/>
    </row>
    <row r="22" spans="1:224" ht="20.25" customHeight="1" thickBot="1" x14ac:dyDescent="0.25">
      <c r="A22" s="502"/>
      <c r="B22" s="120" t="s">
        <v>103</v>
      </c>
      <c r="C22" s="118">
        <v>1262377</v>
      </c>
      <c r="D22" s="411">
        <v>1262535</v>
      </c>
      <c r="E22" s="411">
        <v>1262719</v>
      </c>
      <c r="F22" s="411">
        <v>1262899</v>
      </c>
      <c r="G22" s="411">
        <v>1262998</v>
      </c>
      <c r="H22" s="411">
        <v>1263010</v>
      </c>
      <c r="I22" s="411">
        <v>1263215</v>
      </c>
      <c r="J22" s="411">
        <v>1263421</v>
      </c>
      <c r="K22" s="411">
        <v>1263544</v>
      </c>
      <c r="L22" s="118">
        <v>1263617</v>
      </c>
      <c r="M22" s="118">
        <v>1263722</v>
      </c>
      <c r="N22" s="118">
        <v>1263862</v>
      </c>
      <c r="O22" s="118">
        <v>1263925</v>
      </c>
      <c r="P22" s="118">
        <v>1264097</v>
      </c>
      <c r="Q22" s="118">
        <v>1264318</v>
      </c>
      <c r="R22" s="118">
        <v>1264559</v>
      </c>
      <c r="S22" s="118">
        <v>1264648</v>
      </c>
      <c r="T22" s="118">
        <v>1264814</v>
      </c>
      <c r="U22" s="118">
        <v>1264875</v>
      </c>
      <c r="V22" s="118">
        <v>1265028</v>
      </c>
      <c r="W22" s="118">
        <v>1265154</v>
      </c>
      <c r="X22" s="118">
        <v>1265367</v>
      </c>
      <c r="Y22" s="118">
        <v>1265495</v>
      </c>
      <c r="Z22" s="118">
        <v>1265522</v>
      </c>
      <c r="AA22" s="118">
        <v>1265577</v>
      </c>
      <c r="AB22" s="118">
        <v>1265652</v>
      </c>
      <c r="AC22" s="118">
        <v>1265811</v>
      </c>
      <c r="AD22" s="118">
        <v>1266015</v>
      </c>
      <c r="AE22" s="118">
        <v>1266190</v>
      </c>
      <c r="AF22" s="118">
        <v>1266377</v>
      </c>
      <c r="AG22" s="118">
        <v>1266563</v>
      </c>
      <c r="AH22" s="118"/>
      <c r="AI22" s="118"/>
      <c r="AJ22" s="116">
        <f t="shared" si="0"/>
        <v>-1753.5208333333333</v>
      </c>
      <c r="AK22" s="111">
        <v>1251206</v>
      </c>
      <c r="HP22" s="112"/>
    </row>
    <row r="23" spans="1:224" ht="20.25" customHeight="1" thickBot="1" x14ac:dyDescent="0.25">
      <c r="A23" s="502"/>
      <c r="B23" s="120" t="s">
        <v>104</v>
      </c>
      <c r="C23" s="118">
        <v>1431587</v>
      </c>
      <c r="D23" s="411">
        <v>1431592</v>
      </c>
      <c r="E23" s="411">
        <v>1431600</v>
      </c>
      <c r="F23" s="411">
        <v>1431677</v>
      </c>
      <c r="G23" s="411">
        <v>1431692</v>
      </c>
      <c r="H23" s="411">
        <v>1431707</v>
      </c>
      <c r="I23" s="411">
        <v>1431726</v>
      </c>
      <c r="J23" s="411">
        <v>1431735</v>
      </c>
      <c r="K23" s="411">
        <v>1431741</v>
      </c>
      <c r="L23" s="118">
        <v>1431757</v>
      </c>
      <c r="M23" s="118">
        <v>1431803</v>
      </c>
      <c r="N23" s="118">
        <v>1431806</v>
      </c>
      <c r="O23" s="118">
        <v>1431858</v>
      </c>
      <c r="P23" s="118">
        <v>1431870</v>
      </c>
      <c r="Q23" s="118">
        <v>1431886</v>
      </c>
      <c r="R23" s="118">
        <v>1431921</v>
      </c>
      <c r="S23" s="118">
        <v>1431996</v>
      </c>
      <c r="T23" s="118">
        <v>1432009</v>
      </c>
      <c r="U23" s="118">
        <v>1433030</v>
      </c>
      <c r="V23" s="118">
        <v>1432083</v>
      </c>
      <c r="W23" s="118">
        <v>1432088</v>
      </c>
      <c r="X23" s="118">
        <v>1432115</v>
      </c>
      <c r="Y23" s="118">
        <v>1432189</v>
      </c>
      <c r="Z23" s="118">
        <v>1432284</v>
      </c>
      <c r="AA23" s="118">
        <v>1432380</v>
      </c>
      <c r="AB23" s="118">
        <v>1432432</v>
      </c>
      <c r="AC23" s="118">
        <v>1432459</v>
      </c>
      <c r="AD23" s="118">
        <v>1432481</v>
      </c>
      <c r="AE23" s="118">
        <v>1432501</v>
      </c>
      <c r="AF23" s="118">
        <v>1432567</v>
      </c>
      <c r="AG23" s="118">
        <v>1432699</v>
      </c>
      <c r="AH23" s="118"/>
      <c r="AI23" s="118"/>
      <c r="AJ23" s="116">
        <f t="shared" si="0"/>
        <v>-1988.3222222222221</v>
      </c>
      <c r="AK23" s="111">
        <v>1424751</v>
      </c>
      <c r="HP23" s="112"/>
    </row>
    <row r="24" spans="1:224" ht="20.25" customHeight="1" thickBot="1" x14ac:dyDescent="0.25">
      <c r="A24" s="502"/>
      <c r="B24" s="120" t="s">
        <v>105</v>
      </c>
      <c r="C24" s="118">
        <v>249201</v>
      </c>
      <c r="D24" s="411">
        <v>249208</v>
      </c>
      <c r="E24" s="411">
        <v>249214</v>
      </c>
      <c r="F24" s="411">
        <v>249222</v>
      </c>
      <c r="G24" s="411">
        <v>249226</v>
      </c>
      <c r="H24" s="411">
        <v>249227</v>
      </c>
      <c r="I24" s="411">
        <v>249231</v>
      </c>
      <c r="J24" s="411">
        <v>249236</v>
      </c>
      <c r="K24" s="411">
        <v>249239</v>
      </c>
      <c r="L24" s="118">
        <v>249240</v>
      </c>
      <c r="M24" s="118">
        <v>249245</v>
      </c>
      <c r="N24" s="118">
        <v>249247</v>
      </c>
      <c r="O24" s="118">
        <v>249251</v>
      </c>
      <c r="P24" s="118">
        <v>249256</v>
      </c>
      <c r="Q24" s="118">
        <v>249259</v>
      </c>
      <c r="R24" s="118">
        <v>249274</v>
      </c>
      <c r="S24" s="118">
        <v>249276</v>
      </c>
      <c r="T24" s="118">
        <v>249278</v>
      </c>
      <c r="U24" s="118">
        <v>249280</v>
      </c>
      <c r="V24" s="118">
        <v>249295</v>
      </c>
      <c r="W24" s="118">
        <v>249299</v>
      </c>
      <c r="X24" s="118">
        <v>249302</v>
      </c>
      <c r="Y24" s="118">
        <v>249306</v>
      </c>
      <c r="Z24" s="118">
        <v>249309</v>
      </c>
      <c r="AA24" s="118">
        <v>249310</v>
      </c>
      <c r="AB24" s="118">
        <v>249313</v>
      </c>
      <c r="AC24" s="118">
        <v>249317</v>
      </c>
      <c r="AD24" s="118">
        <v>249321</v>
      </c>
      <c r="AE24" s="118">
        <v>249325</v>
      </c>
      <c r="AF24" s="118">
        <v>249331</v>
      </c>
      <c r="AG24" s="118">
        <v>249334</v>
      </c>
      <c r="AH24" s="118"/>
      <c r="AI24" s="118"/>
      <c r="AJ24" s="116">
        <f t="shared" si="0"/>
        <v>-346.12222222222221</v>
      </c>
      <c r="AK24" s="111">
        <v>246697</v>
      </c>
      <c r="HP24" s="112"/>
    </row>
    <row r="25" spans="1:224" ht="20.25" customHeight="1" thickBot="1" x14ac:dyDescent="0.25">
      <c r="A25" s="502"/>
      <c r="B25" s="120" t="s">
        <v>106</v>
      </c>
      <c r="C25" s="118">
        <v>2131988</v>
      </c>
      <c r="D25" s="411">
        <v>2132748</v>
      </c>
      <c r="E25" s="411">
        <v>2133505</v>
      </c>
      <c r="F25" s="411">
        <v>2134263</v>
      </c>
      <c r="G25" s="411">
        <v>2134934</v>
      </c>
      <c r="H25" s="411">
        <v>2135541</v>
      </c>
      <c r="I25" s="411">
        <v>2136174</v>
      </c>
      <c r="J25" s="411">
        <v>2136630</v>
      </c>
      <c r="K25" s="411">
        <v>2137187</v>
      </c>
      <c r="L25" s="118">
        <v>2137711</v>
      </c>
      <c r="M25" s="118">
        <v>2138211</v>
      </c>
      <c r="N25" s="118">
        <v>2138760</v>
      </c>
      <c r="O25" s="118">
        <v>2139284</v>
      </c>
      <c r="P25" s="118">
        <v>2139847</v>
      </c>
      <c r="Q25" s="118">
        <v>2140518</v>
      </c>
      <c r="R25" s="118">
        <v>2141004</v>
      </c>
      <c r="S25" s="118">
        <v>2141539</v>
      </c>
      <c r="T25" s="118">
        <v>2142048</v>
      </c>
      <c r="U25" s="118">
        <v>2142603</v>
      </c>
      <c r="V25" s="118">
        <v>2143331</v>
      </c>
      <c r="W25" s="118">
        <v>2144103</v>
      </c>
      <c r="X25" s="118">
        <v>2144991</v>
      </c>
      <c r="Y25" s="118">
        <v>2145535</v>
      </c>
      <c r="Z25" s="118">
        <v>2146098</v>
      </c>
      <c r="AA25" s="118">
        <v>2146656</v>
      </c>
      <c r="AB25" s="118">
        <v>2147213</v>
      </c>
      <c r="AC25" s="118">
        <v>2147975</v>
      </c>
      <c r="AD25" s="118">
        <v>2148847</v>
      </c>
      <c r="AE25" s="118">
        <v>2149769</v>
      </c>
      <c r="AF25" s="118">
        <v>2150375</v>
      </c>
      <c r="AG25" s="118">
        <v>2150915</v>
      </c>
      <c r="AH25" s="118"/>
      <c r="AI25" s="118"/>
      <c r="AJ25" s="116">
        <f t="shared" si="0"/>
        <v>-2962.15</v>
      </c>
      <c r="AK25" s="111">
        <v>2057406</v>
      </c>
      <c r="HP25" s="112"/>
    </row>
    <row r="26" spans="1:224" s="122" customFormat="1" ht="20.25" customHeight="1" thickBot="1" x14ac:dyDescent="0.25">
      <c r="A26" s="502"/>
      <c r="B26" s="120" t="s">
        <v>107</v>
      </c>
      <c r="C26" s="118">
        <v>336976</v>
      </c>
      <c r="D26" s="411">
        <v>339879</v>
      </c>
      <c r="E26" s="411">
        <v>342783</v>
      </c>
      <c r="F26" s="411">
        <v>345733</v>
      </c>
      <c r="G26" s="411">
        <v>348719</v>
      </c>
      <c r="H26" s="411">
        <v>351660</v>
      </c>
      <c r="I26" s="411">
        <v>354631</v>
      </c>
      <c r="J26" s="411">
        <v>357694</v>
      </c>
      <c r="K26" s="411">
        <v>360699</v>
      </c>
      <c r="L26" s="118">
        <v>363713</v>
      </c>
      <c r="M26" s="118">
        <v>366745</v>
      </c>
      <c r="N26" s="118">
        <v>369732</v>
      </c>
      <c r="O26" s="118">
        <v>372680</v>
      </c>
      <c r="P26" s="118">
        <v>375718.9</v>
      </c>
      <c r="Q26" s="118">
        <v>378624.5</v>
      </c>
      <c r="R26" s="118">
        <v>381591</v>
      </c>
      <c r="S26" s="118">
        <v>384515</v>
      </c>
      <c r="T26" s="118">
        <v>387515</v>
      </c>
      <c r="U26" s="118">
        <v>390465</v>
      </c>
      <c r="V26" s="118">
        <v>393378</v>
      </c>
      <c r="W26" s="118">
        <v>396274.1</v>
      </c>
      <c r="X26" s="118">
        <v>399109</v>
      </c>
      <c r="Y26" s="118">
        <v>402102</v>
      </c>
      <c r="Z26" s="118">
        <v>405080</v>
      </c>
      <c r="AA26" s="118">
        <v>408113.78</v>
      </c>
      <c r="AB26" s="118">
        <v>411135</v>
      </c>
      <c r="AC26" s="118">
        <v>413990</v>
      </c>
      <c r="AD26" s="118">
        <v>416781.12</v>
      </c>
      <c r="AE26" s="118">
        <v>419514.37</v>
      </c>
      <c r="AF26" s="118">
        <v>422462</v>
      </c>
      <c r="AG26" s="118">
        <v>425551</v>
      </c>
      <c r="AH26" s="118"/>
      <c r="AI26" s="118"/>
      <c r="AJ26" s="116">
        <f t="shared" si="0"/>
        <v>-472.05416666666662</v>
      </c>
      <c r="AK26" s="121">
        <v>15613</v>
      </c>
      <c r="AL26" s="121"/>
      <c r="AM26" s="121"/>
      <c r="AN26" s="121"/>
      <c r="AO26" s="121"/>
      <c r="AP26" s="121"/>
      <c r="AQ26" s="121"/>
      <c r="AR26" s="121"/>
      <c r="AS26" s="121"/>
      <c r="AT26" s="121"/>
      <c r="AU26" s="121"/>
      <c r="AV26" s="121"/>
      <c r="AW26" s="121"/>
      <c r="AX26" s="121"/>
      <c r="AY26" s="121"/>
      <c r="AZ26" s="121"/>
      <c r="BA26" s="121"/>
      <c r="BB26" s="121"/>
      <c r="BC26" s="121"/>
      <c r="BD26" s="121"/>
      <c r="BE26" s="121"/>
      <c r="BF26" s="121"/>
      <c r="BG26" s="121"/>
      <c r="BH26" s="121"/>
      <c r="BI26" s="121"/>
      <c r="BJ26" s="121"/>
      <c r="BK26" s="121"/>
      <c r="BL26" s="121"/>
      <c r="BM26" s="121"/>
      <c r="BN26" s="121"/>
      <c r="BO26" s="121"/>
      <c r="BP26" s="121"/>
      <c r="BQ26" s="121"/>
      <c r="BR26" s="121"/>
      <c r="BS26" s="121"/>
      <c r="BT26" s="121"/>
      <c r="BU26" s="121"/>
      <c r="BV26" s="121"/>
      <c r="BW26" s="121"/>
      <c r="BX26" s="121"/>
      <c r="BY26" s="121"/>
      <c r="BZ26" s="121"/>
      <c r="CA26" s="121"/>
      <c r="CB26" s="121"/>
      <c r="CC26" s="121"/>
      <c r="CD26" s="121"/>
      <c r="CE26" s="121"/>
      <c r="CF26" s="121"/>
      <c r="CG26" s="121"/>
      <c r="CH26" s="121"/>
      <c r="CI26" s="121"/>
      <c r="CJ26" s="121"/>
      <c r="CK26" s="121"/>
      <c r="CL26" s="121"/>
      <c r="CM26" s="121"/>
      <c r="CN26" s="121"/>
      <c r="CO26" s="121"/>
      <c r="CP26" s="121"/>
      <c r="CQ26" s="121"/>
      <c r="CR26" s="121"/>
      <c r="CS26" s="121"/>
      <c r="CT26" s="121"/>
      <c r="CU26" s="121"/>
      <c r="CV26" s="121"/>
      <c r="CW26" s="121"/>
      <c r="CX26" s="121"/>
      <c r="CY26" s="121"/>
      <c r="CZ26" s="121"/>
      <c r="DA26" s="121"/>
      <c r="DB26" s="121"/>
      <c r="DC26" s="121"/>
      <c r="DD26" s="121"/>
      <c r="DE26" s="121"/>
      <c r="DF26" s="121"/>
      <c r="DG26" s="121"/>
      <c r="DH26" s="121"/>
      <c r="DI26" s="121"/>
      <c r="DJ26" s="121"/>
      <c r="DK26" s="121"/>
      <c r="DL26" s="121"/>
      <c r="DM26" s="121"/>
      <c r="DN26" s="121"/>
      <c r="DO26" s="121"/>
      <c r="DP26" s="121"/>
      <c r="DQ26" s="121"/>
      <c r="DR26" s="121"/>
      <c r="DS26" s="121"/>
      <c r="DT26" s="121"/>
      <c r="DU26" s="121"/>
      <c r="DV26" s="121"/>
      <c r="DW26" s="121"/>
      <c r="DX26" s="121"/>
      <c r="DY26" s="121"/>
      <c r="DZ26" s="121"/>
      <c r="EA26" s="121"/>
      <c r="EB26" s="121"/>
      <c r="EC26" s="121"/>
      <c r="ED26" s="121"/>
      <c r="EE26" s="121"/>
      <c r="EF26" s="121"/>
      <c r="EG26" s="121"/>
      <c r="EH26" s="121"/>
      <c r="EI26" s="121"/>
      <c r="EJ26" s="121"/>
      <c r="EK26" s="121"/>
      <c r="EL26" s="121"/>
      <c r="EM26" s="121"/>
      <c r="EN26" s="121"/>
      <c r="EO26" s="121"/>
      <c r="EP26" s="121"/>
      <c r="EQ26" s="121"/>
      <c r="ER26" s="121"/>
      <c r="ES26" s="121"/>
      <c r="ET26" s="121"/>
      <c r="EU26" s="121"/>
      <c r="EV26" s="121"/>
      <c r="EW26" s="121"/>
      <c r="EX26" s="121"/>
      <c r="EY26" s="121"/>
      <c r="EZ26" s="121"/>
      <c r="FA26" s="121"/>
      <c r="FB26" s="121"/>
      <c r="FC26" s="121"/>
      <c r="FD26" s="121"/>
      <c r="FE26" s="121"/>
      <c r="FF26" s="121"/>
      <c r="FG26" s="121"/>
      <c r="FH26" s="121"/>
      <c r="FI26" s="121"/>
      <c r="FJ26" s="121"/>
      <c r="FK26" s="121"/>
      <c r="FL26" s="121"/>
      <c r="FM26" s="121"/>
      <c r="FN26" s="121"/>
      <c r="FO26" s="121"/>
      <c r="FP26" s="121"/>
      <c r="FQ26" s="121"/>
      <c r="FR26" s="121"/>
      <c r="FS26" s="121"/>
      <c r="FT26" s="121"/>
      <c r="FU26" s="121"/>
      <c r="FV26" s="121"/>
      <c r="FW26" s="121"/>
      <c r="FX26" s="121"/>
      <c r="FY26" s="121"/>
      <c r="FZ26" s="121"/>
      <c r="GA26" s="121"/>
      <c r="GB26" s="121"/>
      <c r="GC26" s="121"/>
      <c r="GD26" s="121"/>
      <c r="GE26" s="121"/>
      <c r="GF26" s="121"/>
      <c r="GG26" s="121"/>
      <c r="GH26" s="121"/>
      <c r="GI26" s="121"/>
      <c r="GJ26" s="121"/>
      <c r="GK26" s="121"/>
      <c r="GL26" s="121"/>
      <c r="GM26" s="121"/>
      <c r="GN26" s="121"/>
      <c r="GO26" s="121"/>
      <c r="GP26" s="121"/>
      <c r="GQ26" s="121"/>
      <c r="GR26" s="121"/>
      <c r="GS26" s="121"/>
      <c r="GT26" s="121"/>
      <c r="GU26" s="121"/>
      <c r="GV26" s="121"/>
      <c r="GW26" s="121"/>
      <c r="GX26" s="121"/>
      <c r="GY26" s="121"/>
      <c r="GZ26" s="121"/>
      <c r="HA26" s="121"/>
      <c r="HB26" s="121"/>
      <c r="HC26" s="121"/>
      <c r="HD26" s="121"/>
      <c r="HE26" s="121"/>
      <c r="HF26" s="121"/>
      <c r="HG26" s="121"/>
      <c r="HH26" s="121"/>
      <c r="HI26" s="121"/>
      <c r="HJ26" s="121"/>
      <c r="HK26" s="121"/>
      <c r="HL26" s="121"/>
      <c r="HM26" s="121"/>
      <c r="HN26" s="121"/>
      <c r="HO26" s="121"/>
    </row>
    <row r="27" spans="1:224" ht="20.25" customHeight="1" thickBot="1" x14ac:dyDescent="0.25">
      <c r="A27" s="502"/>
      <c r="B27" s="120" t="s">
        <v>108</v>
      </c>
      <c r="C27" s="119">
        <v>12641</v>
      </c>
      <c r="D27" s="415">
        <v>12720</v>
      </c>
      <c r="E27" s="411">
        <v>12817</v>
      </c>
      <c r="F27" s="411">
        <v>12908</v>
      </c>
      <c r="G27" s="411">
        <v>12957</v>
      </c>
      <c r="H27" s="411">
        <v>12958</v>
      </c>
      <c r="I27" s="411">
        <v>13069</v>
      </c>
      <c r="J27" s="411">
        <v>13179</v>
      </c>
      <c r="K27" s="411">
        <v>13224</v>
      </c>
      <c r="L27" s="118">
        <v>13240</v>
      </c>
      <c r="M27" s="118">
        <v>13278</v>
      </c>
      <c r="N27" s="118">
        <v>13338</v>
      </c>
      <c r="O27" s="118">
        <v>13353</v>
      </c>
      <c r="P27" s="124">
        <v>13437.51</v>
      </c>
      <c r="Q27" s="118">
        <v>13551.328</v>
      </c>
      <c r="R27" s="118">
        <v>13682</v>
      </c>
      <c r="S27" s="118">
        <v>13709</v>
      </c>
      <c r="T27" s="118">
        <v>13794</v>
      </c>
      <c r="U27" s="118">
        <v>13808</v>
      </c>
      <c r="V27" s="124">
        <v>13884</v>
      </c>
      <c r="W27" s="118">
        <v>13949.55</v>
      </c>
      <c r="X27" s="118">
        <v>14064</v>
      </c>
      <c r="Y27" s="118">
        <v>14128</v>
      </c>
      <c r="Z27" s="118">
        <v>14136</v>
      </c>
      <c r="AA27" s="118">
        <v>14155.584999999999</v>
      </c>
      <c r="AB27" s="118">
        <v>14186</v>
      </c>
      <c r="AC27" s="118">
        <v>14271</v>
      </c>
      <c r="AD27" s="118">
        <v>14381.919</v>
      </c>
      <c r="AE27" s="118">
        <v>14470.928</v>
      </c>
      <c r="AF27" s="118">
        <v>14570</v>
      </c>
      <c r="AG27" s="118">
        <v>14669</v>
      </c>
      <c r="AH27" s="119"/>
      <c r="AI27" s="119"/>
      <c r="AJ27" s="116">
        <f t="shared" si="0"/>
        <v>-17.666666666666668</v>
      </c>
      <c r="AK27" s="111">
        <v>7846</v>
      </c>
      <c r="HP27" s="112"/>
    </row>
    <row r="28" spans="1:224" ht="20.25" customHeight="1" thickBot="1" x14ac:dyDescent="0.25">
      <c r="A28" s="502"/>
      <c r="B28" s="123" t="s">
        <v>109</v>
      </c>
      <c r="C28" s="119">
        <v>284127</v>
      </c>
      <c r="D28" s="415">
        <v>284772</v>
      </c>
      <c r="E28" s="416">
        <v>285430</v>
      </c>
      <c r="F28" s="416">
        <v>286107</v>
      </c>
      <c r="G28" s="416">
        <v>286625</v>
      </c>
      <c r="H28" s="416">
        <v>287033</v>
      </c>
      <c r="I28" s="416">
        <v>287580</v>
      </c>
      <c r="J28" s="416">
        <v>287974</v>
      </c>
      <c r="K28" s="411">
        <v>288407</v>
      </c>
      <c r="L28" s="124">
        <v>288777</v>
      </c>
      <c r="M28" s="118">
        <v>289169</v>
      </c>
      <c r="N28" s="118">
        <v>289595</v>
      </c>
      <c r="O28" s="124">
        <f>N28+390</f>
        <v>289985</v>
      </c>
      <c r="P28" s="124">
        <v>290462</v>
      </c>
      <c r="Q28" s="118">
        <v>291043</v>
      </c>
      <c r="R28" s="124">
        <v>291524</v>
      </c>
      <c r="S28" s="124">
        <v>291933</v>
      </c>
      <c r="T28" s="118">
        <v>292334</v>
      </c>
      <c r="U28" s="124">
        <v>292733</v>
      </c>
      <c r="V28" s="118">
        <v>293370</v>
      </c>
      <c r="W28" s="118">
        <v>293984</v>
      </c>
      <c r="X28" s="118">
        <v>294751</v>
      </c>
      <c r="Y28" s="118">
        <v>295191</v>
      </c>
      <c r="Z28" s="124">
        <v>295607</v>
      </c>
      <c r="AA28" s="124">
        <v>296022</v>
      </c>
      <c r="AB28" s="124">
        <v>296431</v>
      </c>
      <c r="AC28" s="118">
        <v>297048</v>
      </c>
      <c r="AD28" s="124">
        <v>297768</v>
      </c>
      <c r="AE28" s="124">
        <v>298537</v>
      </c>
      <c r="AF28" s="124">
        <v>299056</v>
      </c>
      <c r="AG28" s="119">
        <v>299533</v>
      </c>
      <c r="AH28" s="119"/>
      <c r="AI28" s="119"/>
      <c r="AJ28" s="116">
        <f t="shared" si="0"/>
        <v>-395.51666666666665</v>
      </c>
      <c r="AK28" s="111">
        <v>219407</v>
      </c>
      <c r="HP28" s="112"/>
    </row>
    <row r="29" spans="1:224" s="122" customFormat="1" ht="20.25" customHeight="1" x14ac:dyDescent="0.2">
      <c r="A29" s="503" t="s">
        <v>110</v>
      </c>
      <c r="B29" s="125" t="s">
        <v>111</v>
      </c>
      <c r="C29" s="293"/>
      <c r="D29" s="417">
        <f t="shared" ref="D29:T31" si="1">D3-C3</f>
        <v>3850</v>
      </c>
      <c r="E29" s="417">
        <f t="shared" si="1"/>
        <v>3840</v>
      </c>
      <c r="F29" s="417">
        <f t="shared" si="1"/>
        <v>3888</v>
      </c>
      <c r="G29" s="417">
        <f t="shared" si="1"/>
        <v>3948</v>
      </c>
      <c r="H29" s="417">
        <f t="shared" si="1"/>
        <v>3914</v>
      </c>
      <c r="I29" s="417">
        <f t="shared" si="1"/>
        <v>3864</v>
      </c>
      <c r="J29" s="417">
        <f t="shared" si="1"/>
        <v>3950</v>
      </c>
      <c r="K29" s="417">
        <f t="shared" si="1"/>
        <v>3912</v>
      </c>
      <c r="L29" s="417">
        <f t="shared" si="1"/>
        <v>3966</v>
      </c>
      <c r="M29" s="417">
        <f t="shared" si="1"/>
        <v>3982</v>
      </c>
      <c r="N29" s="417">
        <f t="shared" ref="N29:AG30" si="2">N3-M3</f>
        <v>3918</v>
      </c>
      <c r="O29" s="417">
        <f t="shared" si="2"/>
        <v>4006</v>
      </c>
      <c r="P29" s="417">
        <f t="shared" si="2"/>
        <v>3888</v>
      </c>
      <c r="Q29" s="417">
        <f t="shared" si="2"/>
        <v>3830</v>
      </c>
      <c r="R29" s="417">
        <f t="shared" si="2"/>
        <v>3834</v>
      </c>
      <c r="S29" s="417">
        <f t="shared" si="2"/>
        <v>3852</v>
      </c>
      <c r="T29" s="417">
        <f t="shared" si="2"/>
        <v>3878</v>
      </c>
      <c r="U29" s="417">
        <f t="shared" ref="U29:AG29" si="3">U3-T3</f>
        <v>3922</v>
      </c>
      <c r="V29" s="417">
        <f t="shared" si="3"/>
        <v>3844</v>
      </c>
      <c r="W29" s="417">
        <f t="shared" si="3"/>
        <v>3824</v>
      </c>
      <c r="X29" s="417">
        <f t="shared" si="3"/>
        <v>3806</v>
      </c>
      <c r="Y29" s="417">
        <f t="shared" si="3"/>
        <v>3912</v>
      </c>
      <c r="Z29" s="417">
        <f t="shared" si="3"/>
        <v>4004</v>
      </c>
      <c r="AA29" s="417">
        <f t="shared" si="3"/>
        <v>3994</v>
      </c>
      <c r="AB29" s="417">
        <f t="shared" si="3"/>
        <v>4022</v>
      </c>
      <c r="AC29" s="417">
        <f t="shared" si="3"/>
        <v>3794</v>
      </c>
      <c r="AD29" s="417">
        <f t="shared" si="3"/>
        <v>3682</v>
      </c>
      <c r="AE29" s="417">
        <f t="shared" si="3"/>
        <v>3618</v>
      </c>
      <c r="AF29" s="417">
        <f t="shared" si="3"/>
        <v>3848</v>
      </c>
      <c r="AG29" s="417">
        <f t="shared" si="3"/>
        <v>4062</v>
      </c>
      <c r="AH29" s="293"/>
      <c r="AI29" s="308"/>
      <c r="AJ29" s="271">
        <f t="shared" ref="AJ29:AJ39" si="4">AVERAGE(D29:AH29)/24</f>
        <v>162.01666666666668</v>
      </c>
      <c r="AK29" s="121">
        <v>3862</v>
      </c>
      <c r="AL29" s="121"/>
      <c r="AM29" s="121"/>
      <c r="AN29" s="121"/>
      <c r="AO29" s="121"/>
      <c r="AP29" s="121"/>
      <c r="AQ29" s="121"/>
      <c r="AR29" s="121"/>
      <c r="AS29" s="121"/>
      <c r="AT29" s="121"/>
      <c r="AU29" s="121"/>
      <c r="AV29" s="121"/>
      <c r="AW29" s="121"/>
      <c r="AX29" s="121"/>
      <c r="AY29" s="121"/>
      <c r="AZ29" s="121"/>
      <c r="BA29" s="121"/>
      <c r="BB29" s="121"/>
      <c r="BC29" s="121"/>
      <c r="BD29" s="121"/>
      <c r="BE29" s="121"/>
      <c r="BF29" s="121"/>
      <c r="BG29" s="121"/>
      <c r="BH29" s="121"/>
      <c r="BI29" s="121"/>
      <c r="BJ29" s="121"/>
      <c r="BK29" s="121"/>
      <c r="BL29" s="121"/>
      <c r="BM29" s="121"/>
      <c r="BN29" s="121"/>
      <c r="BO29" s="121"/>
      <c r="BP29" s="121"/>
      <c r="BQ29" s="121"/>
      <c r="BR29" s="121"/>
      <c r="BS29" s="121"/>
      <c r="BT29" s="121"/>
      <c r="BU29" s="121"/>
      <c r="BV29" s="121"/>
      <c r="BW29" s="121"/>
      <c r="BX29" s="121"/>
      <c r="BY29" s="121"/>
      <c r="BZ29" s="121"/>
      <c r="CA29" s="121"/>
      <c r="CB29" s="121"/>
      <c r="CC29" s="121"/>
      <c r="CD29" s="121"/>
      <c r="CE29" s="121"/>
      <c r="CF29" s="121"/>
      <c r="CG29" s="121"/>
      <c r="CH29" s="121"/>
      <c r="CI29" s="121"/>
      <c r="CJ29" s="121"/>
      <c r="CK29" s="121"/>
      <c r="CL29" s="121"/>
      <c r="CM29" s="121"/>
      <c r="CN29" s="121"/>
      <c r="CO29" s="121"/>
      <c r="CP29" s="121"/>
      <c r="CQ29" s="121"/>
      <c r="CR29" s="121"/>
      <c r="CS29" s="121"/>
      <c r="CT29" s="121"/>
      <c r="CU29" s="121"/>
      <c r="CV29" s="121"/>
      <c r="CW29" s="121"/>
      <c r="CX29" s="121"/>
      <c r="CY29" s="121"/>
      <c r="CZ29" s="121"/>
      <c r="DA29" s="121"/>
      <c r="DB29" s="121"/>
      <c r="DC29" s="121"/>
      <c r="DD29" s="121"/>
      <c r="DE29" s="121"/>
      <c r="DF29" s="121"/>
      <c r="DG29" s="121"/>
      <c r="DH29" s="121"/>
      <c r="DI29" s="121"/>
      <c r="DJ29" s="121"/>
      <c r="DK29" s="121"/>
      <c r="DL29" s="121"/>
      <c r="DM29" s="121"/>
      <c r="DN29" s="121"/>
      <c r="DO29" s="121"/>
      <c r="DP29" s="121"/>
      <c r="DQ29" s="121"/>
      <c r="DR29" s="121"/>
      <c r="DS29" s="121"/>
      <c r="DT29" s="121"/>
      <c r="DU29" s="121"/>
      <c r="DV29" s="121"/>
      <c r="DW29" s="121"/>
      <c r="DX29" s="121"/>
      <c r="DY29" s="121"/>
      <c r="DZ29" s="121"/>
      <c r="EA29" s="121"/>
      <c r="EB29" s="121"/>
      <c r="EC29" s="121"/>
      <c r="ED29" s="121"/>
      <c r="EE29" s="121"/>
      <c r="EF29" s="121"/>
      <c r="EG29" s="121"/>
      <c r="EH29" s="121"/>
      <c r="EI29" s="121"/>
      <c r="EJ29" s="121"/>
      <c r="EK29" s="121"/>
      <c r="EL29" s="121"/>
      <c r="EM29" s="121"/>
      <c r="EN29" s="121"/>
      <c r="EO29" s="121"/>
      <c r="EP29" s="121"/>
      <c r="EQ29" s="121"/>
      <c r="ER29" s="121"/>
      <c r="ES29" s="121"/>
      <c r="ET29" s="121"/>
      <c r="EU29" s="121"/>
      <c r="EV29" s="121"/>
      <c r="EW29" s="121"/>
      <c r="EX29" s="121"/>
      <c r="EY29" s="121"/>
      <c r="EZ29" s="121"/>
      <c r="FA29" s="121"/>
      <c r="FB29" s="121"/>
      <c r="FC29" s="121"/>
      <c r="FD29" s="121"/>
      <c r="FE29" s="121"/>
      <c r="FF29" s="121"/>
      <c r="FG29" s="121"/>
      <c r="FH29" s="121"/>
      <c r="FI29" s="121"/>
      <c r="FJ29" s="121"/>
      <c r="FK29" s="121"/>
      <c r="FL29" s="121"/>
      <c r="FM29" s="121"/>
      <c r="FN29" s="121"/>
      <c r="FO29" s="121"/>
      <c r="FP29" s="121"/>
      <c r="FQ29" s="121"/>
      <c r="FR29" s="121"/>
      <c r="FS29" s="121"/>
      <c r="FT29" s="121"/>
      <c r="FU29" s="121"/>
      <c r="FV29" s="121"/>
      <c r="FW29" s="121"/>
      <c r="FX29" s="121"/>
      <c r="FY29" s="121"/>
      <c r="FZ29" s="121"/>
      <c r="GA29" s="121"/>
      <c r="GB29" s="121"/>
      <c r="GC29" s="121"/>
      <c r="GD29" s="121"/>
      <c r="GE29" s="121"/>
      <c r="GF29" s="121"/>
      <c r="GG29" s="121"/>
      <c r="GH29" s="121"/>
      <c r="GI29" s="121"/>
      <c r="GJ29" s="121"/>
      <c r="GK29" s="121"/>
      <c r="GL29" s="121"/>
      <c r="GM29" s="121"/>
      <c r="GN29" s="121"/>
      <c r="GO29" s="121"/>
      <c r="GP29" s="121"/>
      <c r="GQ29" s="121"/>
      <c r="GR29" s="121"/>
      <c r="GS29" s="121"/>
      <c r="GT29" s="121"/>
      <c r="GU29" s="121"/>
      <c r="GV29" s="121"/>
      <c r="GW29" s="121"/>
      <c r="GX29" s="121"/>
      <c r="GY29" s="121"/>
      <c r="GZ29" s="121"/>
      <c r="HA29" s="121"/>
      <c r="HB29" s="121"/>
      <c r="HC29" s="121"/>
      <c r="HD29" s="121"/>
      <c r="HE29" s="121"/>
      <c r="HF29" s="121"/>
      <c r="HG29" s="121"/>
      <c r="HH29" s="121"/>
      <c r="HI29" s="121"/>
      <c r="HJ29" s="121"/>
      <c r="HK29" s="121"/>
      <c r="HL29" s="121"/>
      <c r="HM29" s="121"/>
      <c r="HN29" s="121"/>
      <c r="HO29" s="121"/>
      <c r="HP29" s="121"/>
    </row>
    <row r="30" spans="1:224" s="122" customFormat="1" ht="20.25" customHeight="1" x14ac:dyDescent="0.2">
      <c r="A30" s="504"/>
      <c r="B30" s="126" t="s">
        <v>112</v>
      </c>
      <c r="C30" s="293"/>
      <c r="D30" s="417">
        <f t="shared" si="1"/>
        <v>3690</v>
      </c>
      <c r="E30" s="417">
        <f t="shared" si="1"/>
        <v>3698</v>
      </c>
      <c r="F30" s="417">
        <f t="shared" si="1"/>
        <v>3752</v>
      </c>
      <c r="G30" s="417">
        <f t="shared" si="1"/>
        <v>3920</v>
      </c>
      <c r="H30" s="417">
        <f t="shared" si="1"/>
        <v>3922</v>
      </c>
      <c r="I30" s="417">
        <f t="shared" si="1"/>
        <v>3874</v>
      </c>
      <c r="J30" s="417">
        <f t="shared" si="1"/>
        <v>3956</v>
      </c>
      <c r="K30" s="417">
        <f t="shared" si="1"/>
        <v>3918</v>
      </c>
      <c r="L30" s="417">
        <f t="shared" si="1"/>
        <v>3974</v>
      </c>
      <c r="M30" s="417">
        <f t="shared" si="1"/>
        <v>3982</v>
      </c>
      <c r="N30" s="417">
        <f t="shared" si="2"/>
        <v>3912</v>
      </c>
      <c r="O30" s="417">
        <f t="shared" si="2"/>
        <v>4010</v>
      </c>
      <c r="P30" s="417">
        <f t="shared" si="2"/>
        <v>3890</v>
      </c>
      <c r="Q30" s="417">
        <f t="shared" si="2"/>
        <v>3826</v>
      </c>
      <c r="R30" s="417">
        <f t="shared" si="2"/>
        <v>3824</v>
      </c>
      <c r="S30" s="417">
        <f t="shared" si="2"/>
        <v>3852</v>
      </c>
      <c r="T30" s="417">
        <f t="shared" si="2"/>
        <v>3876</v>
      </c>
      <c r="U30" s="417">
        <f t="shared" si="2"/>
        <v>3924</v>
      </c>
      <c r="V30" s="417">
        <f t="shared" si="2"/>
        <v>3818</v>
      </c>
      <c r="W30" s="417">
        <f t="shared" si="2"/>
        <v>3728</v>
      </c>
      <c r="X30" s="417">
        <f t="shared" si="2"/>
        <v>3700</v>
      </c>
      <c r="Y30" s="417">
        <f t="shared" si="2"/>
        <v>3914</v>
      </c>
      <c r="Z30" s="417">
        <f t="shared" si="2"/>
        <v>4016</v>
      </c>
      <c r="AA30" s="417">
        <f t="shared" si="2"/>
        <v>4004</v>
      </c>
      <c r="AB30" s="417">
        <f t="shared" si="2"/>
        <v>4024</v>
      </c>
      <c r="AC30" s="417">
        <f t="shared" si="2"/>
        <v>3572</v>
      </c>
      <c r="AD30" s="417">
        <f t="shared" si="2"/>
        <v>3548</v>
      </c>
      <c r="AE30" s="417">
        <f t="shared" si="2"/>
        <v>3662</v>
      </c>
      <c r="AF30" s="417">
        <f t="shared" si="2"/>
        <v>3892</v>
      </c>
      <c r="AG30" s="417">
        <f t="shared" si="2"/>
        <v>4060</v>
      </c>
      <c r="AH30" s="293"/>
      <c r="AI30" s="309"/>
      <c r="AJ30" s="272">
        <f t="shared" si="4"/>
        <v>160.74722222222223</v>
      </c>
      <c r="AK30" s="121">
        <v>4000</v>
      </c>
      <c r="AL30" s="121"/>
      <c r="AM30" s="121"/>
      <c r="AN30" s="121"/>
      <c r="AO30" s="121"/>
      <c r="AP30" s="121"/>
      <c r="AQ30" s="121"/>
      <c r="AR30" s="121"/>
      <c r="AS30" s="121"/>
      <c r="AT30" s="121"/>
      <c r="AU30" s="121"/>
      <c r="AV30" s="121"/>
      <c r="AW30" s="121"/>
      <c r="AX30" s="121"/>
      <c r="AY30" s="121"/>
      <c r="AZ30" s="121"/>
      <c r="BA30" s="121"/>
      <c r="BB30" s="121"/>
      <c r="BC30" s="121"/>
      <c r="BD30" s="121"/>
      <c r="BE30" s="121"/>
      <c r="BF30" s="121"/>
      <c r="BG30" s="121"/>
      <c r="BH30" s="121"/>
      <c r="BI30" s="121"/>
      <c r="BJ30" s="121"/>
      <c r="BK30" s="121"/>
      <c r="BL30" s="121"/>
      <c r="BM30" s="121"/>
      <c r="BN30" s="121"/>
      <c r="BO30" s="121"/>
      <c r="BP30" s="121"/>
      <c r="BQ30" s="121"/>
      <c r="BR30" s="121"/>
      <c r="BS30" s="121"/>
      <c r="BT30" s="121"/>
      <c r="BU30" s="121"/>
      <c r="BV30" s="121"/>
      <c r="BW30" s="121"/>
      <c r="BX30" s="121"/>
      <c r="BY30" s="121"/>
      <c r="BZ30" s="121"/>
      <c r="CA30" s="121"/>
      <c r="CB30" s="121"/>
      <c r="CC30" s="121"/>
      <c r="CD30" s="121"/>
      <c r="CE30" s="121"/>
      <c r="CF30" s="121"/>
      <c r="CG30" s="121"/>
      <c r="CH30" s="121"/>
      <c r="CI30" s="121"/>
      <c r="CJ30" s="121"/>
      <c r="CK30" s="121"/>
      <c r="CL30" s="121"/>
      <c r="CM30" s="121"/>
      <c r="CN30" s="121"/>
      <c r="CO30" s="121"/>
      <c r="CP30" s="121"/>
      <c r="CQ30" s="121"/>
      <c r="CR30" s="121"/>
      <c r="CS30" s="121"/>
      <c r="CT30" s="121"/>
      <c r="CU30" s="121"/>
      <c r="CV30" s="121"/>
      <c r="CW30" s="121"/>
      <c r="CX30" s="121"/>
      <c r="CY30" s="121"/>
      <c r="CZ30" s="121"/>
      <c r="DA30" s="121"/>
      <c r="DB30" s="121"/>
      <c r="DC30" s="121"/>
      <c r="DD30" s="121"/>
      <c r="DE30" s="121"/>
      <c r="DF30" s="121"/>
      <c r="DG30" s="121"/>
      <c r="DH30" s="121"/>
      <c r="DI30" s="121"/>
      <c r="DJ30" s="121"/>
      <c r="DK30" s="121"/>
      <c r="DL30" s="121"/>
      <c r="DM30" s="121"/>
      <c r="DN30" s="121"/>
      <c r="DO30" s="121"/>
      <c r="DP30" s="121"/>
      <c r="DQ30" s="121"/>
      <c r="DR30" s="121"/>
      <c r="DS30" s="121"/>
      <c r="DT30" s="121"/>
      <c r="DU30" s="121"/>
      <c r="DV30" s="121"/>
      <c r="DW30" s="121"/>
      <c r="DX30" s="121"/>
      <c r="DY30" s="121"/>
      <c r="DZ30" s="121"/>
      <c r="EA30" s="121"/>
      <c r="EB30" s="121"/>
      <c r="EC30" s="121"/>
      <c r="ED30" s="121"/>
      <c r="EE30" s="121"/>
      <c r="EF30" s="121"/>
      <c r="EG30" s="121"/>
      <c r="EH30" s="121"/>
      <c r="EI30" s="121"/>
      <c r="EJ30" s="121"/>
      <c r="EK30" s="121"/>
      <c r="EL30" s="121"/>
      <c r="EM30" s="121"/>
      <c r="EN30" s="121"/>
      <c r="EO30" s="121"/>
      <c r="EP30" s="121"/>
      <c r="EQ30" s="121"/>
      <c r="ER30" s="121"/>
      <c r="ES30" s="121"/>
      <c r="ET30" s="121"/>
      <c r="EU30" s="121"/>
      <c r="EV30" s="121"/>
      <c r="EW30" s="121"/>
      <c r="EX30" s="121"/>
      <c r="EY30" s="121"/>
      <c r="EZ30" s="121"/>
      <c r="FA30" s="121"/>
      <c r="FB30" s="121"/>
      <c r="FC30" s="121"/>
      <c r="FD30" s="121"/>
      <c r="FE30" s="121"/>
      <c r="FF30" s="121"/>
      <c r="FG30" s="121"/>
      <c r="FH30" s="121"/>
      <c r="FI30" s="121"/>
      <c r="FJ30" s="121"/>
      <c r="FK30" s="121"/>
      <c r="FL30" s="121"/>
      <c r="FM30" s="121"/>
      <c r="FN30" s="121"/>
      <c r="FO30" s="121"/>
      <c r="FP30" s="121"/>
      <c r="FQ30" s="121"/>
      <c r="FR30" s="121"/>
      <c r="FS30" s="121"/>
      <c r="FT30" s="121"/>
      <c r="FU30" s="121"/>
      <c r="FV30" s="121"/>
      <c r="FW30" s="121"/>
      <c r="FX30" s="121"/>
      <c r="FY30" s="121"/>
      <c r="FZ30" s="121"/>
      <c r="GA30" s="121"/>
      <c r="GB30" s="121"/>
      <c r="GC30" s="121"/>
      <c r="GD30" s="121"/>
      <c r="GE30" s="121"/>
      <c r="GF30" s="121"/>
      <c r="GG30" s="121"/>
      <c r="GH30" s="121"/>
      <c r="GI30" s="121"/>
      <c r="GJ30" s="121"/>
      <c r="GK30" s="121"/>
      <c r="GL30" s="121"/>
      <c r="GM30" s="121"/>
      <c r="GN30" s="121"/>
      <c r="GO30" s="121"/>
      <c r="GP30" s="121"/>
      <c r="GQ30" s="121"/>
      <c r="GR30" s="121"/>
      <c r="GS30" s="121"/>
      <c r="GT30" s="121"/>
      <c r="GU30" s="121"/>
      <c r="GV30" s="121"/>
      <c r="GW30" s="121"/>
      <c r="GX30" s="121"/>
      <c r="GY30" s="121"/>
      <c r="GZ30" s="121"/>
      <c r="HA30" s="121"/>
      <c r="HB30" s="121"/>
      <c r="HC30" s="121"/>
      <c r="HD30" s="121"/>
      <c r="HE30" s="121"/>
      <c r="HF30" s="121"/>
      <c r="HG30" s="121"/>
      <c r="HH30" s="121"/>
      <c r="HI30" s="121"/>
      <c r="HJ30" s="121"/>
      <c r="HK30" s="121"/>
      <c r="HL30" s="121"/>
      <c r="HM30" s="121"/>
      <c r="HN30" s="121"/>
      <c r="HO30" s="121"/>
      <c r="HP30" s="121"/>
    </row>
    <row r="31" spans="1:224" s="122" customFormat="1" ht="20.25" customHeight="1" x14ac:dyDescent="0.2">
      <c r="A31" s="504"/>
      <c r="B31" s="126" t="s">
        <v>113</v>
      </c>
      <c r="C31" s="293"/>
      <c r="D31" s="417">
        <f t="shared" si="1"/>
        <v>2572</v>
      </c>
      <c r="E31" s="417">
        <f t="shared" si="1"/>
        <v>2603</v>
      </c>
      <c r="F31" s="417">
        <f t="shared" si="1"/>
        <v>2671</v>
      </c>
      <c r="G31" s="417">
        <f t="shared" si="1"/>
        <v>2641</v>
      </c>
      <c r="H31" s="417">
        <f t="shared" si="1"/>
        <v>2645</v>
      </c>
      <c r="I31" s="417">
        <f t="shared" si="1"/>
        <v>2618</v>
      </c>
      <c r="J31" s="417">
        <f t="shared" si="1"/>
        <v>2562</v>
      </c>
      <c r="K31" s="417">
        <f t="shared" si="1"/>
        <v>2521</v>
      </c>
      <c r="L31" s="417">
        <f t="shared" si="1"/>
        <v>2567</v>
      </c>
      <c r="M31" s="417">
        <f t="shared" si="1"/>
        <v>2602</v>
      </c>
      <c r="N31" s="417">
        <f t="shared" si="1"/>
        <v>2598</v>
      </c>
      <c r="O31" s="417">
        <f t="shared" si="1"/>
        <v>2641</v>
      </c>
      <c r="P31" s="417">
        <f t="shared" si="1"/>
        <v>2636</v>
      </c>
      <c r="Q31" s="417">
        <f t="shared" si="1"/>
        <v>2533</v>
      </c>
      <c r="R31" s="417">
        <f t="shared" si="1"/>
        <v>2532</v>
      </c>
      <c r="S31" s="417">
        <f t="shared" si="1"/>
        <v>2565</v>
      </c>
      <c r="T31" s="417">
        <f t="shared" si="1"/>
        <v>2544</v>
      </c>
      <c r="U31" s="417">
        <f t="shared" ref="U31:AG31" si="5">U5-T5</f>
        <v>2570</v>
      </c>
      <c r="V31" s="417">
        <f t="shared" si="5"/>
        <v>2542</v>
      </c>
      <c r="W31" s="417">
        <f t="shared" si="5"/>
        <v>2548</v>
      </c>
      <c r="X31" s="417">
        <f t="shared" si="5"/>
        <v>2576</v>
      </c>
      <c r="Y31" s="417">
        <f t="shared" si="5"/>
        <v>2608</v>
      </c>
      <c r="Z31" s="417">
        <f t="shared" si="5"/>
        <v>2630</v>
      </c>
      <c r="AA31" s="417">
        <f t="shared" si="5"/>
        <v>2665</v>
      </c>
      <c r="AB31" s="417">
        <f t="shared" si="5"/>
        <v>2663</v>
      </c>
      <c r="AC31" s="417">
        <f t="shared" si="5"/>
        <v>2650</v>
      </c>
      <c r="AD31" s="417">
        <f t="shared" si="5"/>
        <v>2627</v>
      </c>
      <c r="AE31" s="417">
        <f t="shared" si="5"/>
        <v>2656</v>
      </c>
      <c r="AF31" s="417">
        <f t="shared" si="5"/>
        <v>2627</v>
      </c>
      <c r="AG31" s="417">
        <f t="shared" si="5"/>
        <v>2726</v>
      </c>
      <c r="AH31" s="293"/>
      <c r="AI31" s="309"/>
      <c r="AJ31" s="272">
        <f t="shared" si="4"/>
        <v>108.52638888888889</v>
      </c>
      <c r="AK31" s="121">
        <v>2626</v>
      </c>
      <c r="AL31" s="121"/>
      <c r="AM31" s="121"/>
      <c r="AN31" s="121"/>
      <c r="AO31" s="121"/>
      <c r="AP31" s="121"/>
      <c r="AQ31" s="121"/>
      <c r="AR31" s="121"/>
      <c r="AS31" s="121"/>
      <c r="AT31" s="121"/>
      <c r="AU31" s="121"/>
      <c r="AV31" s="121"/>
      <c r="AW31" s="121"/>
      <c r="AX31" s="121"/>
      <c r="AY31" s="121"/>
      <c r="AZ31" s="121"/>
      <c r="BA31" s="121"/>
      <c r="BB31" s="121"/>
      <c r="BC31" s="121"/>
      <c r="BD31" s="121"/>
      <c r="BE31" s="121"/>
      <c r="BF31" s="121"/>
      <c r="BG31" s="121"/>
      <c r="BH31" s="121"/>
      <c r="BI31" s="121"/>
      <c r="BJ31" s="121"/>
      <c r="BK31" s="121"/>
      <c r="BL31" s="121"/>
      <c r="BM31" s="121"/>
      <c r="BN31" s="121"/>
      <c r="BO31" s="121"/>
      <c r="BP31" s="121"/>
      <c r="BQ31" s="121"/>
      <c r="BR31" s="121"/>
      <c r="BS31" s="121"/>
      <c r="BT31" s="121"/>
      <c r="BU31" s="121"/>
      <c r="BV31" s="121"/>
      <c r="BW31" s="121"/>
      <c r="BX31" s="121"/>
      <c r="BY31" s="121"/>
      <c r="BZ31" s="121"/>
      <c r="CA31" s="121"/>
      <c r="CB31" s="121"/>
      <c r="CC31" s="121"/>
      <c r="CD31" s="121"/>
      <c r="CE31" s="121"/>
      <c r="CF31" s="121"/>
      <c r="CG31" s="121"/>
      <c r="CH31" s="121"/>
      <c r="CI31" s="121"/>
      <c r="CJ31" s="121"/>
      <c r="CK31" s="121"/>
      <c r="CL31" s="121"/>
      <c r="CM31" s="121"/>
      <c r="CN31" s="121"/>
      <c r="CO31" s="121"/>
      <c r="CP31" s="121"/>
      <c r="CQ31" s="121"/>
      <c r="CR31" s="121"/>
      <c r="CS31" s="121"/>
      <c r="CT31" s="121"/>
      <c r="CU31" s="121"/>
      <c r="CV31" s="121"/>
      <c r="CW31" s="121"/>
      <c r="CX31" s="121"/>
      <c r="CY31" s="121"/>
      <c r="CZ31" s="121"/>
      <c r="DA31" s="121"/>
      <c r="DB31" s="121"/>
      <c r="DC31" s="121"/>
      <c r="DD31" s="121"/>
      <c r="DE31" s="121"/>
      <c r="DF31" s="121"/>
      <c r="DG31" s="121"/>
      <c r="DH31" s="121"/>
      <c r="DI31" s="121"/>
      <c r="DJ31" s="121"/>
      <c r="DK31" s="121"/>
      <c r="DL31" s="121"/>
      <c r="DM31" s="121"/>
      <c r="DN31" s="121"/>
      <c r="DO31" s="121"/>
      <c r="DP31" s="121"/>
      <c r="DQ31" s="121"/>
      <c r="DR31" s="121"/>
      <c r="DS31" s="121"/>
      <c r="DT31" s="121"/>
      <c r="DU31" s="121"/>
      <c r="DV31" s="121"/>
      <c r="DW31" s="121"/>
      <c r="DX31" s="121"/>
      <c r="DY31" s="121"/>
      <c r="DZ31" s="121"/>
      <c r="EA31" s="121"/>
      <c r="EB31" s="121"/>
      <c r="EC31" s="121"/>
      <c r="ED31" s="121"/>
      <c r="EE31" s="121"/>
      <c r="EF31" s="121"/>
      <c r="EG31" s="121"/>
      <c r="EH31" s="121"/>
      <c r="EI31" s="121"/>
      <c r="EJ31" s="121"/>
      <c r="EK31" s="121"/>
      <c r="EL31" s="121"/>
      <c r="EM31" s="121"/>
      <c r="EN31" s="121"/>
      <c r="EO31" s="121"/>
      <c r="EP31" s="121"/>
      <c r="EQ31" s="121"/>
      <c r="ER31" s="121"/>
      <c r="ES31" s="121"/>
      <c r="ET31" s="121"/>
      <c r="EU31" s="121"/>
      <c r="EV31" s="121"/>
      <c r="EW31" s="121"/>
      <c r="EX31" s="121"/>
      <c r="EY31" s="121"/>
      <c r="EZ31" s="121"/>
      <c r="FA31" s="121"/>
      <c r="FB31" s="121"/>
      <c r="FC31" s="121"/>
      <c r="FD31" s="121"/>
      <c r="FE31" s="121"/>
      <c r="FF31" s="121"/>
      <c r="FG31" s="121"/>
      <c r="FH31" s="121"/>
      <c r="FI31" s="121"/>
      <c r="FJ31" s="121"/>
      <c r="FK31" s="121"/>
      <c r="FL31" s="121"/>
      <c r="FM31" s="121"/>
      <c r="FN31" s="121"/>
      <c r="FO31" s="121"/>
      <c r="FP31" s="121"/>
      <c r="FQ31" s="121"/>
      <c r="FR31" s="121"/>
      <c r="FS31" s="121"/>
      <c r="FT31" s="121"/>
      <c r="FU31" s="121"/>
      <c r="FV31" s="121"/>
      <c r="FW31" s="121"/>
      <c r="FX31" s="121"/>
      <c r="FY31" s="121"/>
      <c r="FZ31" s="121"/>
      <c r="GA31" s="121"/>
      <c r="GB31" s="121"/>
      <c r="GC31" s="121"/>
      <c r="GD31" s="121"/>
      <c r="GE31" s="121"/>
      <c r="GF31" s="121"/>
      <c r="GG31" s="121"/>
      <c r="GH31" s="121"/>
      <c r="GI31" s="121"/>
      <c r="GJ31" s="121"/>
      <c r="GK31" s="121"/>
      <c r="GL31" s="121"/>
      <c r="GM31" s="121"/>
      <c r="GN31" s="121"/>
      <c r="GO31" s="121"/>
      <c r="GP31" s="121"/>
      <c r="GQ31" s="121"/>
      <c r="GR31" s="121"/>
      <c r="GS31" s="121"/>
      <c r="GT31" s="121"/>
      <c r="GU31" s="121"/>
      <c r="GV31" s="121"/>
      <c r="GW31" s="121"/>
      <c r="GX31" s="121"/>
      <c r="GY31" s="121"/>
      <c r="GZ31" s="121"/>
      <c r="HA31" s="121"/>
      <c r="HB31" s="121"/>
      <c r="HC31" s="121"/>
      <c r="HD31" s="121"/>
      <c r="HE31" s="121"/>
      <c r="HF31" s="121"/>
      <c r="HG31" s="121"/>
      <c r="HH31" s="121"/>
      <c r="HI31" s="121"/>
      <c r="HJ31" s="121"/>
      <c r="HK31" s="121"/>
      <c r="HL31" s="121"/>
      <c r="HM31" s="121"/>
      <c r="HN31" s="121"/>
      <c r="HO31" s="121"/>
      <c r="HP31" s="121"/>
    </row>
    <row r="32" spans="1:224" s="122" customFormat="1" ht="20.25" customHeight="1" x14ac:dyDescent="0.2">
      <c r="A32" s="504"/>
      <c r="B32" s="127" t="s">
        <v>114</v>
      </c>
      <c r="C32" s="293"/>
      <c r="D32" s="417">
        <f t="shared" ref="D32:AG38" si="6">D22-C22</f>
        <v>158</v>
      </c>
      <c r="E32" s="417">
        <f t="shared" si="6"/>
        <v>184</v>
      </c>
      <c r="F32" s="417">
        <f t="shared" si="6"/>
        <v>180</v>
      </c>
      <c r="G32" s="417">
        <f t="shared" si="6"/>
        <v>99</v>
      </c>
      <c r="H32" s="417">
        <f t="shared" si="6"/>
        <v>12</v>
      </c>
      <c r="I32" s="417">
        <f t="shared" si="6"/>
        <v>205</v>
      </c>
      <c r="J32" s="417">
        <f t="shared" si="6"/>
        <v>206</v>
      </c>
      <c r="K32" s="417">
        <f t="shared" si="6"/>
        <v>123</v>
      </c>
      <c r="L32" s="417">
        <f t="shared" si="6"/>
        <v>73</v>
      </c>
      <c r="M32" s="417">
        <f t="shared" si="6"/>
        <v>105</v>
      </c>
      <c r="N32" s="417">
        <f t="shared" si="6"/>
        <v>140</v>
      </c>
      <c r="O32" s="417">
        <f t="shared" si="6"/>
        <v>63</v>
      </c>
      <c r="P32" s="417">
        <f t="shared" si="6"/>
        <v>172</v>
      </c>
      <c r="Q32" s="417">
        <f t="shared" si="6"/>
        <v>221</v>
      </c>
      <c r="R32" s="417">
        <f t="shared" si="6"/>
        <v>241</v>
      </c>
      <c r="S32" s="417">
        <f t="shared" si="6"/>
        <v>89</v>
      </c>
      <c r="T32" s="417">
        <f t="shared" si="6"/>
        <v>166</v>
      </c>
      <c r="U32" s="417">
        <f t="shared" si="6"/>
        <v>61</v>
      </c>
      <c r="V32" s="417">
        <f t="shared" si="6"/>
        <v>153</v>
      </c>
      <c r="W32" s="417">
        <f t="shared" si="6"/>
        <v>126</v>
      </c>
      <c r="X32" s="417">
        <f t="shared" si="6"/>
        <v>213</v>
      </c>
      <c r="Y32" s="417">
        <f t="shared" si="6"/>
        <v>128</v>
      </c>
      <c r="Z32" s="417">
        <f t="shared" si="6"/>
        <v>27</v>
      </c>
      <c r="AA32" s="417">
        <f t="shared" si="6"/>
        <v>55</v>
      </c>
      <c r="AB32" s="417">
        <f t="shared" si="6"/>
        <v>75</v>
      </c>
      <c r="AC32" s="417">
        <f t="shared" si="6"/>
        <v>159</v>
      </c>
      <c r="AD32" s="417">
        <f t="shared" si="6"/>
        <v>204</v>
      </c>
      <c r="AE32" s="417">
        <f t="shared" si="6"/>
        <v>175</v>
      </c>
      <c r="AF32" s="417">
        <f t="shared" si="6"/>
        <v>187</v>
      </c>
      <c r="AG32" s="417">
        <f t="shared" si="6"/>
        <v>186</v>
      </c>
      <c r="AH32" s="293"/>
      <c r="AI32" s="309"/>
      <c r="AJ32" s="272">
        <f t="shared" si="4"/>
        <v>5.8138888888888891</v>
      </c>
      <c r="AK32" s="121">
        <v>691</v>
      </c>
      <c r="AL32" s="121"/>
      <c r="AM32" s="121"/>
      <c r="AN32" s="121"/>
      <c r="AO32" s="121"/>
      <c r="AP32" s="121"/>
      <c r="AQ32" s="121"/>
      <c r="AR32" s="121"/>
      <c r="AS32" s="121"/>
      <c r="AT32" s="121"/>
      <c r="AU32" s="121"/>
      <c r="AV32" s="121"/>
      <c r="AW32" s="121"/>
      <c r="AX32" s="121"/>
      <c r="AY32" s="121"/>
      <c r="AZ32" s="121"/>
      <c r="BA32" s="121"/>
      <c r="BB32" s="121"/>
      <c r="BC32" s="121"/>
      <c r="BD32" s="121"/>
      <c r="BE32" s="121"/>
      <c r="BF32" s="121"/>
      <c r="BG32" s="121"/>
      <c r="BH32" s="121"/>
      <c r="BI32" s="121"/>
      <c r="BJ32" s="121"/>
      <c r="BK32" s="121"/>
      <c r="BL32" s="121"/>
      <c r="BM32" s="121"/>
      <c r="BN32" s="121"/>
      <c r="BO32" s="121"/>
      <c r="BP32" s="121"/>
      <c r="BQ32" s="121"/>
      <c r="BR32" s="121"/>
      <c r="BS32" s="121"/>
      <c r="BT32" s="121"/>
      <c r="BU32" s="121"/>
      <c r="BV32" s="121"/>
      <c r="BW32" s="121"/>
      <c r="BX32" s="121"/>
      <c r="BY32" s="121"/>
      <c r="BZ32" s="121"/>
      <c r="CA32" s="121"/>
      <c r="CB32" s="121"/>
      <c r="CC32" s="121"/>
      <c r="CD32" s="121"/>
      <c r="CE32" s="121"/>
      <c r="CF32" s="121"/>
      <c r="CG32" s="121"/>
      <c r="CH32" s="121"/>
      <c r="CI32" s="121"/>
      <c r="CJ32" s="121"/>
      <c r="CK32" s="121"/>
      <c r="CL32" s="121"/>
      <c r="CM32" s="121"/>
      <c r="CN32" s="121"/>
      <c r="CO32" s="121"/>
      <c r="CP32" s="121"/>
      <c r="CQ32" s="121"/>
      <c r="CR32" s="121"/>
      <c r="CS32" s="121"/>
      <c r="CT32" s="121"/>
      <c r="CU32" s="121"/>
      <c r="CV32" s="121"/>
      <c r="CW32" s="121"/>
      <c r="CX32" s="121"/>
      <c r="CY32" s="121"/>
      <c r="CZ32" s="121"/>
      <c r="DA32" s="121"/>
      <c r="DB32" s="121"/>
      <c r="DC32" s="121"/>
      <c r="DD32" s="121"/>
      <c r="DE32" s="121"/>
      <c r="DF32" s="121"/>
      <c r="DG32" s="121"/>
      <c r="DH32" s="121"/>
      <c r="DI32" s="121"/>
      <c r="DJ32" s="121"/>
      <c r="DK32" s="121"/>
      <c r="DL32" s="121"/>
      <c r="DM32" s="121"/>
      <c r="DN32" s="121"/>
      <c r="DO32" s="121"/>
      <c r="DP32" s="121"/>
      <c r="DQ32" s="121"/>
      <c r="DR32" s="121"/>
      <c r="DS32" s="121"/>
      <c r="DT32" s="121"/>
      <c r="DU32" s="121"/>
      <c r="DV32" s="121"/>
      <c r="DW32" s="121"/>
      <c r="DX32" s="121"/>
      <c r="DY32" s="121"/>
      <c r="DZ32" s="121"/>
      <c r="EA32" s="121"/>
      <c r="EB32" s="121"/>
      <c r="EC32" s="121"/>
      <c r="ED32" s="121"/>
      <c r="EE32" s="121"/>
      <c r="EF32" s="121"/>
      <c r="EG32" s="121"/>
      <c r="EH32" s="121"/>
      <c r="EI32" s="121"/>
      <c r="EJ32" s="121"/>
      <c r="EK32" s="121"/>
      <c r="EL32" s="121"/>
      <c r="EM32" s="121"/>
      <c r="EN32" s="121"/>
      <c r="EO32" s="121"/>
      <c r="EP32" s="121"/>
      <c r="EQ32" s="121"/>
      <c r="ER32" s="121"/>
      <c r="ES32" s="121"/>
      <c r="ET32" s="121"/>
      <c r="EU32" s="121"/>
      <c r="EV32" s="121"/>
      <c r="EW32" s="121"/>
      <c r="EX32" s="121"/>
      <c r="EY32" s="121"/>
      <c r="EZ32" s="121"/>
      <c r="FA32" s="121"/>
      <c r="FB32" s="121"/>
      <c r="FC32" s="121"/>
      <c r="FD32" s="121"/>
      <c r="FE32" s="121"/>
      <c r="FF32" s="121"/>
      <c r="FG32" s="121"/>
      <c r="FH32" s="121"/>
      <c r="FI32" s="121"/>
      <c r="FJ32" s="121"/>
      <c r="FK32" s="121"/>
      <c r="FL32" s="121"/>
      <c r="FM32" s="121"/>
      <c r="FN32" s="121"/>
      <c r="FO32" s="121"/>
      <c r="FP32" s="121"/>
      <c r="FQ32" s="121"/>
      <c r="FR32" s="121"/>
      <c r="FS32" s="121"/>
      <c r="FT32" s="121"/>
      <c r="FU32" s="121"/>
      <c r="FV32" s="121"/>
      <c r="FW32" s="121"/>
      <c r="FX32" s="121"/>
      <c r="FY32" s="121"/>
      <c r="FZ32" s="121"/>
      <c r="GA32" s="121"/>
      <c r="GB32" s="121"/>
      <c r="GC32" s="121"/>
      <c r="GD32" s="121"/>
      <c r="GE32" s="121"/>
      <c r="GF32" s="121"/>
      <c r="GG32" s="121"/>
      <c r="GH32" s="121"/>
      <c r="GI32" s="121"/>
      <c r="GJ32" s="121"/>
      <c r="GK32" s="121"/>
      <c r="GL32" s="121"/>
      <c r="GM32" s="121"/>
      <c r="GN32" s="121"/>
      <c r="GO32" s="121"/>
      <c r="GP32" s="121"/>
      <c r="GQ32" s="121"/>
      <c r="GR32" s="121"/>
      <c r="GS32" s="121"/>
      <c r="GT32" s="121"/>
      <c r="GU32" s="121"/>
      <c r="GV32" s="121"/>
      <c r="GW32" s="121"/>
      <c r="GX32" s="121"/>
      <c r="GY32" s="121"/>
      <c r="GZ32" s="121"/>
      <c r="HA32" s="121"/>
      <c r="HB32" s="121"/>
      <c r="HC32" s="121"/>
      <c r="HD32" s="121"/>
      <c r="HE32" s="121"/>
      <c r="HF32" s="121"/>
      <c r="HG32" s="121"/>
      <c r="HH32" s="121"/>
      <c r="HI32" s="121"/>
      <c r="HJ32" s="121"/>
      <c r="HK32" s="121"/>
      <c r="HL32" s="121"/>
      <c r="HM32" s="121"/>
      <c r="HN32" s="121"/>
      <c r="HO32" s="121"/>
      <c r="HP32" s="121"/>
    </row>
    <row r="33" spans="1:224" s="122" customFormat="1" ht="20.25" customHeight="1" x14ac:dyDescent="0.2">
      <c r="A33" s="504"/>
      <c r="B33" s="127" t="s">
        <v>115</v>
      </c>
      <c r="C33" s="293"/>
      <c r="D33" s="417">
        <f t="shared" si="6"/>
        <v>5</v>
      </c>
      <c r="E33" s="417">
        <f t="shared" si="6"/>
        <v>8</v>
      </c>
      <c r="F33" s="417">
        <f t="shared" si="6"/>
        <v>77</v>
      </c>
      <c r="G33" s="417">
        <f t="shared" si="6"/>
        <v>15</v>
      </c>
      <c r="H33" s="417">
        <f t="shared" si="6"/>
        <v>15</v>
      </c>
      <c r="I33" s="417">
        <f t="shared" si="6"/>
        <v>19</v>
      </c>
      <c r="J33" s="417">
        <f t="shared" si="6"/>
        <v>9</v>
      </c>
      <c r="K33" s="417">
        <f t="shared" si="6"/>
        <v>6</v>
      </c>
      <c r="L33" s="417">
        <f t="shared" si="6"/>
        <v>16</v>
      </c>
      <c r="M33" s="417">
        <f t="shared" si="6"/>
        <v>46</v>
      </c>
      <c r="N33" s="417">
        <f t="shared" si="6"/>
        <v>3</v>
      </c>
      <c r="O33" s="417">
        <f t="shared" si="6"/>
        <v>52</v>
      </c>
      <c r="P33" s="417">
        <f t="shared" si="6"/>
        <v>12</v>
      </c>
      <c r="Q33" s="417">
        <f t="shared" si="6"/>
        <v>16</v>
      </c>
      <c r="R33" s="417">
        <f t="shared" si="6"/>
        <v>35</v>
      </c>
      <c r="S33" s="417">
        <f t="shared" si="6"/>
        <v>75</v>
      </c>
      <c r="T33" s="417">
        <f t="shared" si="6"/>
        <v>13</v>
      </c>
      <c r="U33" s="417">
        <f t="shared" si="6"/>
        <v>1021</v>
      </c>
      <c r="V33" s="417">
        <f t="shared" si="6"/>
        <v>-947</v>
      </c>
      <c r="W33" s="417">
        <f t="shared" si="6"/>
        <v>5</v>
      </c>
      <c r="X33" s="417">
        <f t="shared" si="6"/>
        <v>27</v>
      </c>
      <c r="Y33" s="417">
        <f t="shared" si="6"/>
        <v>74</v>
      </c>
      <c r="Z33" s="417">
        <f t="shared" si="6"/>
        <v>95</v>
      </c>
      <c r="AA33" s="417">
        <f t="shared" si="6"/>
        <v>96</v>
      </c>
      <c r="AB33" s="417">
        <f t="shared" si="6"/>
        <v>52</v>
      </c>
      <c r="AC33" s="417">
        <f t="shared" si="6"/>
        <v>27</v>
      </c>
      <c r="AD33" s="417">
        <f t="shared" si="6"/>
        <v>22</v>
      </c>
      <c r="AE33" s="417">
        <f t="shared" si="6"/>
        <v>20</v>
      </c>
      <c r="AF33" s="417">
        <f t="shared" si="6"/>
        <v>66</v>
      </c>
      <c r="AG33" s="417">
        <f t="shared" si="6"/>
        <v>132</v>
      </c>
      <c r="AH33" s="293"/>
      <c r="AI33" s="309"/>
      <c r="AJ33" s="272">
        <f t="shared" si="4"/>
        <v>1.5444444444444445</v>
      </c>
      <c r="AK33" s="121">
        <v>683</v>
      </c>
      <c r="AL33" s="121"/>
      <c r="AM33" s="121"/>
      <c r="AN33" s="121"/>
      <c r="AO33" s="121"/>
      <c r="AP33" s="121"/>
      <c r="AQ33" s="121"/>
      <c r="AR33" s="121"/>
      <c r="AS33" s="121"/>
      <c r="AT33" s="121"/>
      <c r="AU33" s="121"/>
      <c r="AV33" s="121"/>
      <c r="AW33" s="121"/>
      <c r="AX33" s="121"/>
      <c r="AY33" s="121"/>
      <c r="AZ33" s="121"/>
      <c r="BA33" s="121"/>
      <c r="BB33" s="121"/>
      <c r="BC33" s="121"/>
      <c r="BD33" s="121"/>
      <c r="BE33" s="121"/>
      <c r="BF33" s="121"/>
      <c r="BG33" s="121"/>
      <c r="BH33" s="121"/>
      <c r="BI33" s="121"/>
      <c r="BJ33" s="121"/>
      <c r="BK33" s="121"/>
      <c r="BL33" s="121"/>
      <c r="BM33" s="121"/>
      <c r="BN33" s="121"/>
      <c r="BO33" s="121"/>
      <c r="BP33" s="121"/>
      <c r="BQ33" s="121"/>
      <c r="BR33" s="121"/>
      <c r="BS33" s="121"/>
      <c r="BT33" s="121"/>
      <c r="BU33" s="121"/>
      <c r="BV33" s="121"/>
      <c r="BW33" s="121"/>
      <c r="BX33" s="121"/>
      <c r="BY33" s="121"/>
      <c r="BZ33" s="121"/>
      <c r="CA33" s="121"/>
      <c r="CB33" s="121"/>
      <c r="CC33" s="121"/>
      <c r="CD33" s="121"/>
      <c r="CE33" s="121"/>
      <c r="CF33" s="121"/>
      <c r="CG33" s="121"/>
      <c r="CH33" s="121"/>
      <c r="CI33" s="121"/>
      <c r="CJ33" s="121"/>
      <c r="CK33" s="121"/>
      <c r="CL33" s="121"/>
      <c r="CM33" s="121"/>
      <c r="CN33" s="121"/>
      <c r="CO33" s="121"/>
      <c r="CP33" s="121"/>
      <c r="CQ33" s="121"/>
      <c r="CR33" s="121"/>
      <c r="CS33" s="121"/>
      <c r="CT33" s="121"/>
      <c r="CU33" s="121"/>
      <c r="CV33" s="121"/>
      <c r="CW33" s="121"/>
      <c r="CX33" s="121"/>
      <c r="CY33" s="121"/>
      <c r="CZ33" s="121"/>
      <c r="DA33" s="121"/>
      <c r="DB33" s="121"/>
      <c r="DC33" s="121"/>
      <c r="DD33" s="121"/>
      <c r="DE33" s="121"/>
      <c r="DF33" s="121"/>
      <c r="DG33" s="121"/>
      <c r="DH33" s="121"/>
      <c r="DI33" s="121"/>
      <c r="DJ33" s="121"/>
      <c r="DK33" s="121"/>
      <c r="DL33" s="121"/>
      <c r="DM33" s="121"/>
      <c r="DN33" s="121"/>
      <c r="DO33" s="121"/>
      <c r="DP33" s="121"/>
      <c r="DQ33" s="121"/>
      <c r="DR33" s="121"/>
      <c r="DS33" s="121"/>
      <c r="DT33" s="121"/>
      <c r="DU33" s="121"/>
      <c r="DV33" s="121"/>
      <c r="DW33" s="121"/>
      <c r="DX33" s="121"/>
      <c r="DY33" s="121"/>
      <c r="DZ33" s="121"/>
      <c r="EA33" s="121"/>
      <c r="EB33" s="121"/>
      <c r="EC33" s="121"/>
      <c r="ED33" s="121"/>
      <c r="EE33" s="121"/>
      <c r="EF33" s="121"/>
      <c r="EG33" s="121"/>
      <c r="EH33" s="121"/>
      <c r="EI33" s="121"/>
      <c r="EJ33" s="121"/>
      <c r="EK33" s="121"/>
      <c r="EL33" s="121"/>
      <c r="EM33" s="121"/>
      <c r="EN33" s="121"/>
      <c r="EO33" s="121"/>
      <c r="EP33" s="121"/>
      <c r="EQ33" s="121"/>
      <c r="ER33" s="121"/>
      <c r="ES33" s="121"/>
      <c r="ET33" s="121"/>
      <c r="EU33" s="121"/>
      <c r="EV33" s="121"/>
      <c r="EW33" s="121"/>
      <c r="EX33" s="121"/>
      <c r="EY33" s="121"/>
      <c r="EZ33" s="121"/>
      <c r="FA33" s="121"/>
      <c r="FB33" s="121"/>
      <c r="FC33" s="121"/>
      <c r="FD33" s="121"/>
      <c r="FE33" s="121"/>
      <c r="FF33" s="121"/>
      <c r="FG33" s="121"/>
      <c r="FH33" s="121"/>
      <c r="FI33" s="121"/>
      <c r="FJ33" s="121"/>
      <c r="FK33" s="121"/>
      <c r="FL33" s="121"/>
      <c r="FM33" s="121"/>
      <c r="FN33" s="121"/>
      <c r="FO33" s="121"/>
      <c r="FP33" s="121"/>
      <c r="FQ33" s="121"/>
      <c r="FR33" s="121"/>
      <c r="FS33" s="121"/>
      <c r="FT33" s="121"/>
      <c r="FU33" s="121"/>
      <c r="FV33" s="121"/>
      <c r="FW33" s="121"/>
      <c r="FX33" s="121"/>
      <c r="FY33" s="121"/>
      <c r="FZ33" s="121"/>
      <c r="GA33" s="121"/>
      <c r="GB33" s="121"/>
      <c r="GC33" s="121"/>
      <c r="GD33" s="121"/>
      <c r="GE33" s="121"/>
      <c r="GF33" s="121"/>
      <c r="GG33" s="121"/>
      <c r="GH33" s="121"/>
      <c r="GI33" s="121"/>
      <c r="GJ33" s="121"/>
      <c r="GK33" s="121"/>
      <c r="GL33" s="121"/>
      <c r="GM33" s="121"/>
      <c r="GN33" s="121"/>
      <c r="GO33" s="121"/>
      <c r="GP33" s="121"/>
      <c r="GQ33" s="121"/>
      <c r="GR33" s="121"/>
      <c r="GS33" s="121"/>
      <c r="GT33" s="121"/>
      <c r="GU33" s="121"/>
      <c r="GV33" s="121"/>
      <c r="GW33" s="121"/>
      <c r="GX33" s="121"/>
      <c r="GY33" s="121"/>
      <c r="GZ33" s="121"/>
      <c r="HA33" s="121"/>
      <c r="HB33" s="121"/>
      <c r="HC33" s="121"/>
      <c r="HD33" s="121"/>
      <c r="HE33" s="121"/>
      <c r="HF33" s="121"/>
      <c r="HG33" s="121"/>
      <c r="HH33" s="121"/>
      <c r="HI33" s="121"/>
      <c r="HJ33" s="121"/>
      <c r="HK33" s="121"/>
      <c r="HL33" s="121"/>
      <c r="HM33" s="121"/>
      <c r="HN33" s="121"/>
      <c r="HO33" s="121"/>
      <c r="HP33" s="121"/>
    </row>
    <row r="34" spans="1:224" s="122" customFormat="1" ht="20.25" customHeight="1" x14ac:dyDescent="0.2">
      <c r="A34" s="504"/>
      <c r="B34" s="127" t="s">
        <v>116</v>
      </c>
      <c r="C34" s="293"/>
      <c r="D34" s="417">
        <f t="shared" si="6"/>
        <v>7</v>
      </c>
      <c r="E34" s="417">
        <f t="shared" si="6"/>
        <v>6</v>
      </c>
      <c r="F34" s="417">
        <f t="shared" si="6"/>
        <v>8</v>
      </c>
      <c r="G34" s="417">
        <f t="shared" si="6"/>
        <v>4</v>
      </c>
      <c r="H34" s="417">
        <f t="shared" si="6"/>
        <v>1</v>
      </c>
      <c r="I34" s="417">
        <f t="shared" si="6"/>
        <v>4</v>
      </c>
      <c r="J34" s="417">
        <f t="shared" si="6"/>
        <v>5</v>
      </c>
      <c r="K34" s="417">
        <f t="shared" si="6"/>
        <v>3</v>
      </c>
      <c r="L34" s="417">
        <f t="shared" si="6"/>
        <v>1</v>
      </c>
      <c r="M34" s="417">
        <f t="shared" si="6"/>
        <v>5</v>
      </c>
      <c r="N34" s="417">
        <f t="shared" si="6"/>
        <v>2</v>
      </c>
      <c r="O34" s="417">
        <f t="shared" si="6"/>
        <v>4</v>
      </c>
      <c r="P34" s="417">
        <f t="shared" si="6"/>
        <v>5</v>
      </c>
      <c r="Q34" s="417">
        <f t="shared" si="6"/>
        <v>3</v>
      </c>
      <c r="R34" s="417">
        <f t="shared" si="6"/>
        <v>15</v>
      </c>
      <c r="S34" s="417">
        <f t="shared" si="6"/>
        <v>2</v>
      </c>
      <c r="T34" s="417">
        <f t="shared" si="6"/>
        <v>2</v>
      </c>
      <c r="U34" s="417">
        <f t="shared" si="6"/>
        <v>2</v>
      </c>
      <c r="V34" s="417">
        <f t="shared" si="6"/>
        <v>15</v>
      </c>
      <c r="W34" s="417">
        <f t="shared" si="6"/>
        <v>4</v>
      </c>
      <c r="X34" s="417">
        <f t="shared" si="6"/>
        <v>3</v>
      </c>
      <c r="Y34" s="417">
        <f t="shared" si="6"/>
        <v>4</v>
      </c>
      <c r="Z34" s="417">
        <f t="shared" si="6"/>
        <v>3</v>
      </c>
      <c r="AA34" s="417">
        <f t="shared" si="6"/>
        <v>1</v>
      </c>
      <c r="AB34" s="417">
        <f t="shared" si="6"/>
        <v>3</v>
      </c>
      <c r="AC34" s="417">
        <f t="shared" si="6"/>
        <v>4</v>
      </c>
      <c r="AD34" s="417">
        <f t="shared" si="6"/>
        <v>4</v>
      </c>
      <c r="AE34" s="417">
        <f t="shared" si="6"/>
        <v>4</v>
      </c>
      <c r="AF34" s="417">
        <f t="shared" si="6"/>
        <v>6</v>
      </c>
      <c r="AG34" s="417">
        <f t="shared" si="6"/>
        <v>3</v>
      </c>
      <c r="AH34" s="293"/>
      <c r="AI34" s="309"/>
      <c r="AJ34" s="272">
        <f t="shared" si="4"/>
        <v>0.18472222222222223</v>
      </c>
      <c r="AK34" s="121">
        <v>699</v>
      </c>
      <c r="AL34" s="121"/>
      <c r="AM34" s="121"/>
      <c r="AN34" s="121"/>
      <c r="AO34" s="121"/>
      <c r="AP34" s="121"/>
      <c r="AQ34" s="121"/>
      <c r="AR34" s="121"/>
      <c r="AS34" s="121"/>
      <c r="AT34" s="121"/>
      <c r="AU34" s="121"/>
      <c r="AV34" s="121"/>
      <c r="AW34" s="121"/>
      <c r="AX34" s="121"/>
      <c r="AY34" s="121"/>
      <c r="AZ34" s="121"/>
      <c r="BA34" s="121"/>
      <c r="BB34" s="121"/>
      <c r="BC34" s="121"/>
      <c r="BD34" s="121"/>
      <c r="BE34" s="121"/>
      <c r="BF34" s="121"/>
      <c r="BG34" s="121"/>
      <c r="BH34" s="121"/>
      <c r="BI34" s="121"/>
      <c r="BJ34" s="121"/>
      <c r="BK34" s="121"/>
      <c r="BL34" s="121"/>
      <c r="BM34" s="121"/>
      <c r="BN34" s="121"/>
      <c r="BO34" s="121"/>
      <c r="BP34" s="121"/>
      <c r="BQ34" s="121"/>
      <c r="BR34" s="121"/>
      <c r="BS34" s="121"/>
      <c r="BT34" s="121"/>
      <c r="BU34" s="121"/>
      <c r="BV34" s="121"/>
      <c r="BW34" s="121"/>
      <c r="BX34" s="121"/>
      <c r="BY34" s="121"/>
      <c r="BZ34" s="121"/>
      <c r="CA34" s="121"/>
      <c r="CB34" s="121"/>
      <c r="CC34" s="121"/>
      <c r="CD34" s="121"/>
      <c r="CE34" s="121"/>
      <c r="CF34" s="121"/>
      <c r="CG34" s="121"/>
      <c r="CH34" s="121"/>
      <c r="CI34" s="121"/>
      <c r="CJ34" s="121"/>
      <c r="CK34" s="121"/>
      <c r="CL34" s="121"/>
      <c r="CM34" s="121"/>
      <c r="CN34" s="121"/>
      <c r="CO34" s="121"/>
      <c r="CP34" s="121"/>
      <c r="CQ34" s="121"/>
      <c r="CR34" s="121"/>
      <c r="CS34" s="121"/>
      <c r="CT34" s="121"/>
      <c r="CU34" s="121"/>
      <c r="CV34" s="121"/>
      <c r="CW34" s="121"/>
      <c r="CX34" s="121"/>
      <c r="CY34" s="121"/>
      <c r="CZ34" s="121"/>
      <c r="DA34" s="121"/>
      <c r="DB34" s="121"/>
      <c r="DC34" s="121"/>
      <c r="DD34" s="121"/>
      <c r="DE34" s="121"/>
      <c r="DF34" s="121"/>
      <c r="DG34" s="121"/>
      <c r="DH34" s="121"/>
      <c r="DI34" s="121"/>
      <c r="DJ34" s="121"/>
      <c r="DK34" s="121"/>
      <c r="DL34" s="121"/>
      <c r="DM34" s="121"/>
      <c r="DN34" s="121"/>
      <c r="DO34" s="121"/>
      <c r="DP34" s="121"/>
      <c r="DQ34" s="121"/>
      <c r="DR34" s="121"/>
      <c r="DS34" s="121"/>
      <c r="DT34" s="121"/>
      <c r="DU34" s="121"/>
      <c r="DV34" s="121"/>
      <c r="DW34" s="121"/>
      <c r="DX34" s="121"/>
      <c r="DY34" s="121"/>
      <c r="DZ34" s="121"/>
      <c r="EA34" s="121"/>
      <c r="EB34" s="121"/>
      <c r="EC34" s="121"/>
      <c r="ED34" s="121"/>
      <c r="EE34" s="121"/>
      <c r="EF34" s="121"/>
      <c r="EG34" s="121"/>
      <c r="EH34" s="121"/>
      <c r="EI34" s="121"/>
      <c r="EJ34" s="121"/>
      <c r="EK34" s="121"/>
      <c r="EL34" s="121"/>
      <c r="EM34" s="121"/>
      <c r="EN34" s="121"/>
      <c r="EO34" s="121"/>
      <c r="EP34" s="121"/>
      <c r="EQ34" s="121"/>
      <c r="ER34" s="121"/>
      <c r="ES34" s="121"/>
      <c r="ET34" s="121"/>
      <c r="EU34" s="121"/>
      <c r="EV34" s="121"/>
      <c r="EW34" s="121"/>
      <c r="EX34" s="121"/>
      <c r="EY34" s="121"/>
      <c r="EZ34" s="121"/>
      <c r="FA34" s="121"/>
      <c r="FB34" s="121"/>
      <c r="FC34" s="121"/>
      <c r="FD34" s="121"/>
      <c r="FE34" s="121"/>
      <c r="FF34" s="121"/>
      <c r="FG34" s="121"/>
      <c r="FH34" s="121"/>
      <c r="FI34" s="121"/>
      <c r="FJ34" s="121"/>
      <c r="FK34" s="121"/>
      <c r="FL34" s="121"/>
      <c r="FM34" s="121"/>
      <c r="FN34" s="121"/>
      <c r="FO34" s="121"/>
      <c r="FP34" s="121"/>
      <c r="FQ34" s="121"/>
      <c r="FR34" s="121"/>
      <c r="FS34" s="121"/>
      <c r="FT34" s="121"/>
      <c r="FU34" s="121"/>
      <c r="FV34" s="121"/>
      <c r="FW34" s="121"/>
      <c r="FX34" s="121"/>
      <c r="FY34" s="121"/>
      <c r="FZ34" s="121"/>
      <c r="GA34" s="121"/>
      <c r="GB34" s="121"/>
      <c r="GC34" s="121"/>
      <c r="GD34" s="121"/>
      <c r="GE34" s="121"/>
      <c r="GF34" s="121"/>
      <c r="GG34" s="121"/>
      <c r="GH34" s="121"/>
      <c r="GI34" s="121"/>
      <c r="GJ34" s="121"/>
      <c r="GK34" s="121"/>
      <c r="GL34" s="121"/>
      <c r="GM34" s="121"/>
      <c r="GN34" s="121"/>
      <c r="GO34" s="121"/>
      <c r="GP34" s="121"/>
      <c r="GQ34" s="121"/>
      <c r="GR34" s="121"/>
      <c r="GS34" s="121"/>
      <c r="GT34" s="121"/>
      <c r="GU34" s="121"/>
      <c r="GV34" s="121"/>
      <c r="GW34" s="121"/>
      <c r="GX34" s="121"/>
      <c r="GY34" s="121"/>
      <c r="GZ34" s="121"/>
      <c r="HA34" s="121"/>
      <c r="HB34" s="121"/>
      <c r="HC34" s="121"/>
      <c r="HD34" s="121"/>
      <c r="HE34" s="121"/>
      <c r="HF34" s="121"/>
      <c r="HG34" s="121"/>
      <c r="HH34" s="121"/>
      <c r="HI34" s="121"/>
      <c r="HJ34" s="121"/>
      <c r="HK34" s="121"/>
      <c r="HL34" s="121"/>
      <c r="HM34" s="121"/>
      <c r="HN34" s="121"/>
      <c r="HO34" s="121"/>
      <c r="HP34" s="121"/>
    </row>
    <row r="35" spans="1:224" s="122" customFormat="1" ht="20.25" customHeight="1" x14ac:dyDescent="0.2">
      <c r="A35" s="504"/>
      <c r="B35" s="127" t="s">
        <v>117</v>
      </c>
      <c r="C35" s="293"/>
      <c r="D35" s="417">
        <f t="shared" si="6"/>
        <v>760</v>
      </c>
      <c r="E35" s="417">
        <f t="shared" si="6"/>
        <v>757</v>
      </c>
      <c r="F35" s="417">
        <f t="shared" si="6"/>
        <v>758</v>
      </c>
      <c r="G35" s="417">
        <f t="shared" si="6"/>
        <v>671</v>
      </c>
      <c r="H35" s="417">
        <f t="shared" si="6"/>
        <v>607</v>
      </c>
      <c r="I35" s="417">
        <f t="shared" si="6"/>
        <v>633</v>
      </c>
      <c r="J35" s="417">
        <f t="shared" si="6"/>
        <v>456</v>
      </c>
      <c r="K35" s="417">
        <f t="shared" si="6"/>
        <v>557</v>
      </c>
      <c r="L35" s="417">
        <f t="shared" si="6"/>
        <v>524</v>
      </c>
      <c r="M35" s="417">
        <f t="shared" si="6"/>
        <v>500</v>
      </c>
      <c r="N35" s="417">
        <f t="shared" si="6"/>
        <v>549</v>
      </c>
      <c r="O35" s="417">
        <f t="shared" si="6"/>
        <v>524</v>
      </c>
      <c r="P35" s="417">
        <f t="shared" si="6"/>
        <v>563</v>
      </c>
      <c r="Q35" s="417">
        <f t="shared" si="6"/>
        <v>671</v>
      </c>
      <c r="R35" s="417">
        <f t="shared" si="6"/>
        <v>486</v>
      </c>
      <c r="S35" s="417">
        <f t="shared" si="6"/>
        <v>535</v>
      </c>
      <c r="T35" s="417">
        <f t="shared" si="6"/>
        <v>509</v>
      </c>
      <c r="U35" s="417">
        <f t="shared" si="6"/>
        <v>555</v>
      </c>
      <c r="V35" s="417">
        <f t="shared" si="6"/>
        <v>728</v>
      </c>
      <c r="W35" s="417">
        <f t="shared" si="6"/>
        <v>772</v>
      </c>
      <c r="X35" s="417">
        <f t="shared" si="6"/>
        <v>888</v>
      </c>
      <c r="Y35" s="417">
        <f t="shared" si="6"/>
        <v>544</v>
      </c>
      <c r="Z35" s="417">
        <f t="shared" si="6"/>
        <v>563</v>
      </c>
      <c r="AA35" s="417">
        <f t="shared" si="6"/>
        <v>558</v>
      </c>
      <c r="AB35" s="417">
        <f t="shared" si="6"/>
        <v>557</v>
      </c>
      <c r="AC35" s="417">
        <f t="shared" si="6"/>
        <v>762</v>
      </c>
      <c r="AD35" s="417">
        <f t="shared" si="6"/>
        <v>872</v>
      </c>
      <c r="AE35" s="417">
        <f t="shared" si="6"/>
        <v>922</v>
      </c>
      <c r="AF35" s="417">
        <f t="shared" si="6"/>
        <v>606</v>
      </c>
      <c r="AG35" s="417">
        <f t="shared" si="6"/>
        <v>540</v>
      </c>
      <c r="AH35" s="293"/>
      <c r="AI35" s="309"/>
      <c r="AJ35" s="272">
        <f t="shared" si="4"/>
        <v>26.287499999999998</v>
      </c>
      <c r="AK35" s="121">
        <v>689</v>
      </c>
      <c r="AL35" s="121"/>
      <c r="AM35" s="121"/>
      <c r="AN35" s="121"/>
      <c r="AO35" s="121"/>
      <c r="AP35" s="121"/>
      <c r="AQ35" s="121"/>
      <c r="AR35" s="121"/>
      <c r="AS35" s="121"/>
      <c r="AT35" s="121"/>
      <c r="AU35" s="121"/>
      <c r="AV35" s="121"/>
      <c r="AW35" s="121"/>
      <c r="AX35" s="121"/>
      <c r="AY35" s="121"/>
      <c r="AZ35" s="121"/>
      <c r="BA35" s="121"/>
      <c r="BB35" s="121"/>
      <c r="BC35" s="121"/>
      <c r="BD35" s="121"/>
      <c r="BE35" s="121"/>
      <c r="BF35" s="121"/>
      <c r="BG35" s="121"/>
      <c r="BH35" s="121"/>
      <c r="BI35" s="121"/>
      <c r="BJ35" s="121"/>
      <c r="BK35" s="121"/>
      <c r="BL35" s="121"/>
      <c r="BM35" s="121"/>
      <c r="BN35" s="121"/>
      <c r="BO35" s="121"/>
      <c r="BP35" s="121"/>
      <c r="BQ35" s="121"/>
      <c r="BR35" s="121"/>
      <c r="BS35" s="121"/>
      <c r="BT35" s="121"/>
      <c r="BU35" s="121"/>
      <c r="BV35" s="121"/>
      <c r="BW35" s="121"/>
      <c r="BX35" s="121"/>
      <c r="BY35" s="121"/>
      <c r="BZ35" s="121"/>
      <c r="CA35" s="121"/>
      <c r="CB35" s="121"/>
      <c r="CC35" s="121"/>
      <c r="CD35" s="121"/>
      <c r="CE35" s="121"/>
      <c r="CF35" s="121"/>
      <c r="CG35" s="121"/>
      <c r="CH35" s="121"/>
      <c r="CI35" s="121"/>
      <c r="CJ35" s="121"/>
      <c r="CK35" s="121"/>
      <c r="CL35" s="121"/>
      <c r="CM35" s="121"/>
      <c r="CN35" s="121"/>
      <c r="CO35" s="121"/>
      <c r="CP35" s="121"/>
      <c r="CQ35" s="121"/>
      <c r="CR35" s="121"/>
      <c r="CS35" s="121"/>
      <c r="CT35" s="121"/>
      <c r="CU35" s="121"/>
      <c r="CV35" s="121"/>
      <c r="CW35" s="121"/>
      <c r="CX35" s="121"/>
      <c r="CY35" s="121"/>
      <c r="CZ35" s="121"/>
      <c r="DA35" s="121"/>
      <c r="DB35" s="121"/>
      <c r="DC35" s="121"/>
      <c r="DD35" s="121"/>
      <c r="DE35" s="121"/>
      <c r="DF35" s="121"/>
      <c r="DG35" s="121"/>
      <c r="DH35" s="121"/>
      <c r="DI35" s="121"/>
      <c r="DJ35" s="121"/>
      <c r="DK35" s="121"/>
      <c r="DL35" s="121"/>
      <c r="DM35" s="121"/>
      <c r="DN35" s="121"/>
      <c r="DO35" s="121"/>
      <c r="DP35" s="121"/>
      <c r="DQ35" s="121"/>
      <c r="DR35" s="121"/>
      <c r="DS35" s="121"/>
      <c r="DT35" s="121"/>
      <c r="DU35" s="121"/>
      <c r="DV35" s="121"/>
      <c r="DW35" s="121"/>
      <c r="DX35" s="121"/>
      <c r="DY35" s="121"/>
      <c r="DZ35" s="121"/>
      <c r="EA35" s="121"/>
      <c r="EB35" s="121"/>
      <c r="EC35" s="121"/>
      <c r="ED35" s="121"/>
      <c r="EE35" s="121"/>
      <c r="EF35" s="121"/>
      <c r="EG35" s="121"/>
      <c r="EH35" s="121"/>
      <c r="EI35" s="121"/>
      <c r="EJ35" s="121"/>
      <c r="EK35" s="121"/>
      <c r="EL35" s="121"/>
      <c r="EM35" s="121"/>
      <c r="EN35" s="121"/>
      <c r="EO35" s="121"/>
      <c r="EP35" s="121"/>
      <c r="EQ35" s="121"/>
      <c r="ER35" s="121"/>
      <c r="ES35" s="121"/>
      <c r="ET35" s="121"/>
      <c r="EU35" s="121"/>
      <c r="EV35" s="121"/>
      <c r="EW35" s="121"/>
      <c r="EX35" s="121"/>
      <c r="EY35" s="121"/>
      <c r="EZ35" s="121"/>
      <c r="FA35" s="121"/>
      <c r="FB35" s="121"/>
      <c r="FC35" s="121"/>
      <c r="FD35" s="121"/>
      <c r="FE35" s="121"/>
      <c r="FF35" s="121"/>
      <c r="FG35" s="121"/>
      <c r="FH35" s="121"/>
      <c r="FI35" s="121"/>
      <c r="FJ35" s="121"/>
      <c r="FK35" s="121"/>
      <c r="FL35" s="121"/>
      <c r="FM35" s="121"/>
      <c r="FN35" s="121"/>
      <c r="FO35" s="121"/>
      <c r="FP35" s="121"/>
      <c r="FQ35" s="121"/>
      <c r="FR35" s="121"/>
      <c r="FS35" s="121"/>
      <c r="FT35" s="121"/>
      <c r="FU35" s="121"/>
      <c r="FV35" s="121"/>
      <c r="FW35" s="121"/>
      <c r="FX35" s="121"/>
      <c r="FY35" s="121"/>
      <c r="FZ35" s="121"/>
      <c r="GA35" s="121"/>
      <c r="GB35" s="121"/>
      <c r="GC35" s="121"/>
      <c r="GD35" s="121"/>
      <c r="GE35" s="121"/>
      <c r="GF35" s="121"/>
      <c r="GG35" s="121"/>
      <c r="GH35" s="121"/>
      <c r="GI35" s="121"/>
      <c r="GJ35" s="121"/>
      <c r="GK35" s="121"/>
      <c r="GL35" s="121"/>
      <c r="GM35" s="121"/>
      <c r="GN35" s="121"/>
      <c r="GO35" s="121"/>
      <c r="GP35" s="121"/>
      <c r="GQ35" s="121"/>
      <c r="GR35" s="121"/>
      <c r="GS35" s="121"/>
      <c r="GT35" s="121"/>
      <c r="GU35" s="121"/>
      <c r="GV35" s="121"/>
      <c r="GW35" s="121"/>
      <c r="GX35" s="121"/>
      <c r="GY35" s="121"/>
      <c r="GZ35" s="121"/>
      <c r="HA35" s="121"/>
      <c r="HB35" s="121"/>
      <c r="HC35" s="121"/>
      <c r="HD35" s="121"/>
      <c r="HE35" s="121"/>
      <c r="HF35" s="121"/>
      <c r="HG35" s="121"/>
      <c r="HH35" s="121"/>
      <c r="HI35" s="121"/>
      <c r="HJ35" s="121"/>
      <c r="HK35" s="121"/>
      <c r="HL35" s="121"/>
      <c r="HM35" s="121"/>
      <c r="HN35" s="121"/>
      <c r="HO35" s="121"/>
      <c r="HP35" s="121"/>
    </row>
    <row r="36" spans="1:224" ht="27" customHeight="1" x14ac:dyDescent="0.2">
      <c r="A36" s="504"/>
      <c r="B36" s="127" t="s">
        <v>118</v>
      </c>
      <c r="C36" s="293"/>
      <c r="D36" s="417">
        <f t="shared" ref="D36:AG36" si="7">D26-C26</f>
        <v>2903</v>
      </c>
      <c r="E36" s="417">
        <f t="shared" si="7"/>
        <v>2904</v>
      </c>
      <c r="F36" s="417">
        <f t="shared" si="7"/>
        <v>2950</v>
      </c>
      <c r="G36" s="417">
        <f t="shared" si="7"/>
        <v>2986</v>
      </c>
      <c r="H36" s="417">
        <f t="shared" si="7"/>
        <v>2941</v>
      </c>
      <c r="I36" s="417">
        <f t="shared" si="7"/>
        <v>2971</v>
      </c>
      <c r="J36" s="417">
        <f t="shared" si="7"/>
        <v>3063</v>
      </c>
      <c r="K36" s="417">
        <f t="shared" si="7"/>
        <v>3005</v>
      </c>
      <c r="L36" s="417">
        <f t="shared" si="7"/>
        <v>3014</v>
      </c>
      <c r="M36" s="417">
        <f t="shared" si="7"/>
        <v>3032</v>
      </c>
      <c r="N36" s="417">
        <f t="shared" si="7"/>
        <v>2987</v>
      </c>
      <c r="O36" s="417">
        <f t="shared" si="7"/>
        <v>2948</v>
      </c>
      <c r="P36" s="417">
        <f t="shared" si="7"/>
        <v>3038.9000000000233</v>
      </c>
      <c r="Q36" s="417">
        <f t="shared" si="7"/>
        <v>2905.5999999999767</v>
      </c>
      <c r="R36" s="417">
        <f t="shared" si="7"/>
        <v>2966.5</v>
      </c>
      <c r="S36" s="417">
        <f t="shared" si="7"/>
        <v>2924</v>
      </c>
      <c r="T36" s="417">
        <f t="shared" si="7"/>
        <v>3000</v>
      </c>
      <c r="U36" s="417">
        <f t="shared" si="7"/>
        <v>2950</v>
      </c>
      <c r="V36" s="417">
        <f t="shared" si="7"/>
        <v>2913</v>
      </c>
      <c r="W36" s="417">
        <f t="shared" si="7"/>
        <v>2896.0999999999767</v>
      </c>
      <c r="X36" s="417">
        <f t="shared" si="7"/>
        <v>2834.9000000000233</v>
      </c>
      <c r="Y36" s="417">
        <f t="shared" si="7"/>
        <v>2993</v>
      </c>
      <c r="Z36" s="417">
        <f t="shared" si="7"/>
        <v>2978</v>
      </c>
      <c r="AA36" s="417">
        <f t="shared" si="7"/>
        <v>3033.7800000000279</v>
      </c>
      <c r="AB36" s="417">
        <f t="shared" si="7"/>
        <v>3021.2199999999721</v>
      </c>
      <c r="AC36" s="417">
        <f t="shared" si="7"/>
        <v>2855</v>
      </c>
      <c r="AD36" s="417">
        <f t="shared" si="7"/>
        <v>2791.1199999999953</v>
      </c>
      <c r="AE36" s="417">
        <f t="shared" si="7"/>
        <v>2733.25</v>
      </c>
      <c r="AF36" s="417">
        <f t="shared" si="7"/>
        <v>2947.6300000000047</v>
      </c>
      <c r="AG36" s="417">
        <f t="shared" si="7"/>
        <v>3089</v>
      </c>
      <c r="AH36" s="293"/>
      <c r="AI36" s="309"/>
      <c r="AJ36" s="272">
        <f t="shared" si="4"/>
        <v>123.02083333333333</v>
      </c>
      <c r="AK36" s="111">
        <v>734</v>
      </c>
    </row>
    <row r="37" spans="1:224" ht="20.25" customHeight="1" x14ac:dyDescent="0.2">
      <c r="A37" s="504"/>
      <c r="B37" s="127" t="s">
        <v>119</v>
      </c>
      <c r="C37" s="293"/>
      <c r="D37" s="417">
        <f t="shared" si="6"/>
        <v>79</v>
      </c>
      <c r="E37" s="417">
        <f t="shared" si="6"/>
        <v>97</v>
      </c>
      <c r="F37" s="417">
        <f t="shared" si="6"/>
        <v>91</v>
      </c>
      <c r="G37" s="417">
        <f t="shared" si="6"/>
        <v>49</v>
      </c>
      <c r="H37" s="417">
        <f t="shared" si="6"/>
        <v>1</v>
      </c>
      <c r="I37" s="417">
        <f t="shared" si="6"/>
        <v>111</v>
      </c>
      <c r="J37" s="417">
        <f t="shared" si="6"/>
        <v>110</v>
      </c>
      <c r="K37" s="417">
        <f t="shared" si="6"/>
        <v>45</v>
      </c>
      <c r="L37" s="417">
        <f t="shared" si="6"/>
        <v>16</v>
      </c>
      <c r="M37" s="417">
        <f t="shared" si="6"/>
        <v>38</v>
      </c>
      <c r="N37" s="417">
        <f t="shared" si="6"/>
        <v>60</v>
      </c>
      <c r="O37" s="417">
        <f t="shared" si="6"/>
        <v>15</v>
      </c>
      <c r="P37" s="417">
        <f t="shared" si="6"/>
        <v>84.510000000000218</v>
      </c>
      <c r="Q37" s="417">
        <f t="shared" si="6"/>
        <v>113.8179999999993</v>
      </c>
      <c r="R37" s="417">
        <f t="shared" si="6"/>
        <v>130.67200000000048</v>
      </c>
      <c r="S37" s="417">
        <f t="shared" si="6"/>
        <v>27</v>
      </c>
      <c r="T37" s="417">
        <f t="shared" si="6"/>
        <v>85</v>
      </c>
      <c r="U37" s="417">
        <f t="shared" si="6"/>
        <v>14</v>
      </c>
      <c r="V37" s="417">
        <f t="shared" si="6"/>
        <v>76</v>
      </c>
      <c r="W37" s="417">
        <f t="shared" si="6"/>
        <v>65.549999999999272</v>
      </c>
      <c r="X37" s="417">
        <f t="shared" si="6"/>
        <v>114.45000000000073</v>
      </c>
      <c r="Y37" s="417">
        <f t="shared" si="6"/>
        <v>64</v>
      </c>
      <c r="Z37" s="417">
        <f t="shared" si="6"/>
        <v>8</v>
      </c>
      <c r="AA37" s="417">
        <f t="shared" si="6"/>
        <v>19.584999999999127</v>
      </c>
      <c r="AB37" s="417">
        <f t="shared" si="6"/>
        <v>30.415000000000873</v>
      </c>
      <c r="AC37" s="417">
        <f t="shared" si="6"/>
        <v>85</v>
      </c>
      <c r="AD37" s="417">
        <f t="shared" si="6"/>
        <v>110.91899999999987</v>
      </c>
      <c r="AE37" s="417">
        <f t="shared" si="6"/>
        <v>89.009000000000015</v>
      </c>
      <c r="AF37" s="417">
        <f t="shared" si="6"/>
        <v>99.072000000000116</v>
      </c>
      <c r="AG37" s="417">
        <f t="shared" si="6"/>
        <v>99</v>
      </c>
      <c r="AH37" s="293"/>
      <c r="AI37" s="309"/>
      <c r="AJ37" s="272">
        <f t="shared" si="4"/>
        <v>2.8166666666666664</v>
      </c>
      <c r="AK37" s="111">
        <v>732</v>
      </c>
    </row>
    <row r="38" spans="1:224" s="122" customFormat="1" ht="36.75" customHeight="1" x14ac:dyDescent="0.2">
      <c r="A38" s="504"/>
      <c r="B38" s="127" t="s">
        <v>120</v>
      </c>
      <c r="C38" s="293"/>
      <c r="D38" s="417">
        <f t="shared" si="6"/>
        <v>645</v>
      </c>
      <c r="E38" s="417">
        <f t="shared" si="6"/>
        <v>658</v>
      </c>
      <c r="F38" s="417">
        <f t="shared" si="6"/>
        <v>677</v>
      </c>
      <c r="G38" s="417">
        <f t="shared" si="6"/>
        <v>518</v>
      </c>
      <c r="H38" s="417">
        <f t="shared" si="6"/>
        <v>408</v>
      </c>
      <c r="I38" s="417">
        <f t="shared" si="6"/>
        <v>547</v>
      </c>
      <c r="J38" s="417">
        <f t="shared" si="6"/>
        <v>394</v>
      </c>
      <c r="K38" s="417">
        <f t="shared" si="6"/>
        <v>433</v>
      </c>
      <c r="L38" s="417">
        <f t="shared" si="6"/>
        <v>370</v>
      </c>
      <c r="M38" s="417">
        <f t="shared" si="6"/>
        <v>392</v>
      </c>
      <c r="N38" s="417">
        <f t="shared" si="6"/>
        <v>426</v>
      </c>
      <c r="O38" s="417">
        <f t="shared" si="6"/>
        <v>390</v>
      </c>
      <c r="P38" s="417">
        <f t="shared" si="6"/>
        <v>477</v>
      </c>
      <c r="Q38" s="417">
        <f t="shared" si="6"/>
        <v>581</v>
      </c>
      <c r="R38" s="417">
        <f t="shared" si="6"/>
        <v>481</v>
      </c>
      <c r="S38" s="417">
        <f t="shared" si="6"/>
        <v>409</v>
      </c>
      <c r="T38" s="417">
        <f t="shared" si="6"/>
        <v>401</v>
      </c>
      <c r="U38" s="417">
        <f t="shared" si="6"/>
        <v>399</v>
      </c>
      <c r="V38" s="417">
        <f t="shared" si="6"/>
        <v>637</v>
      </c>
      <c r="W38" s="417">
        <f t="shared" si="6"/>
        <v>614</v>
      </c>
      <c r="X38" s="417">
        <f t="shared" si="6"/>
        <v>767</v>
      </c>
      <c r="Y38" s="417">
        <f t="shared" si="6"/>
        <v>440</v>
      </c>
      <c r="Z38" s="417">
        <f t="shared" si="6"/>
        <v>416</v>
      </c>
      <c r="AA38" s="417">
        <f t="shared" si="6"/>
        <v>415</v>
      </c>
      <c r="AB38" s="417">
        <f t="shared" si="6"/>
        <v>409</v>
      </c>
      <c r="AC38" s="417">
        <f t="shared" si="6"/>
        <v>617</v>
      </c>
      <c r="AD38" s="417">
        <f t="shared" si="6"/>
        <v>720</v>
      </c>
      <c r="AE38" s="417">
        <f t="shared" si="6"/>
        <v>769</v>
      </c>
      <c r="AF38" s="417">
        <f t="shared" si="6"/>
        <v>519</v>
      </c>
      <c r="AG38" s="417">
        <f t="shared" si="6"/>
        <v>477</v>
      </c>
      <c r="AH38" s="293"/>
      <c r="AI38" s="309"/>
      <c r="AJ38" s="272">
        <f t="shared" si="4"/>
        <v>21.397222222222222</v>
      </c>
      <c r="AK38" s="121">
        <v>691</v>
      </c>
      <c r="AL38" s="121"/>
      <c r="AM38" s="121"/>
      <c r="AN38" s="121"/>
      <c r="AO38" s="121"/>
      <c r="AP38" s="121"/>
      <c r="AQ38" s="121"/>
      <c r="AR38" s="121"/>
      <c r="AS38" s="121"/>
      <c r="AT38" s="121"/>
      <c r="AU38" s="121"/>
      <c r="AV38" s="121"/>
      <c r="AW38" s="121"/>
      <c r="AX38" s="121"/>
      <c r="AY38" s="121"/>
      <c r="AZ38" s="121"/>
      <c r="BA38" s="121"/>
      <c r="BB38" s="121"/>
      <c r="BC38" s="121"/>
      <c r="BD38" s="121"/>
      <c r="BE38" s="121"/>
      <c r="BF38" s="121"/>
      <c r="BG38" s="121"/>
      <c r="BH38" s="121"/>
      <c r="BI38" s="121"/>
      <c r="BJ38" s="121"/>
      <c r="BK38" s="121"/>
      <c r="BL38" s="121"/>
      <c r="BM38" s="121"/>
      <c r="BN38" s="121"/>
      <c r="BO38" s="121"/>
      <c r="BP38" s="121"/>
      <c r="BQ38" s="121"/>
      <c r="BR38" s="121"/>
      <c r="BS38" s="121"/>
      <c r="BT38" s="121"/>
      <c r="BU38" s="121"/>
      <c r="BV38" s="121"/>
      <c r="BW38" s="121"/>
      <c r="BX38" s="121"/>
      <c r="BY38" s="121"/>
      <c r="BZ38" s="121"/>
      <c r="CA38" s="121"/>
      <c r="CB38" s="121"/>
      <c r="CC38" s="121"/>
      <c r="CD38" s="121"/>
      <c r="CE38" s="121"/>
      <c r="CF38" s="121"/>
      <c r="CG38" s="121"/>
      <c r="CH38" s="121"/>
      <c r="CI38" s="121"/>
      <c r="CJ38" s="121"/>
      <c r="CK38" s="121"/>
      <c r="CL38" s="121"/>
      <c r="CM38" s="121"/>
      <c r="CN38" s="121"/>
      <c r="CO38" s="121"/>
      <c r="CP38" s="121"/>
      <c r="CQ38" s="121"/>
      <c r="CR38" s="121"/>
      <c r="CS38" s="121"/>
      <c r="CT38" s="121"/>
      <c r="CU38" s="121"/>
      <c r="CV38" s="121"/>
      <c r="CW38" s="121"/>
      <c r="CX38" s="121"/>
      <c r="CY38" s="121"/>
      <c r="CZ38" s="121"/>
      <c r="DA38" s="121"/>
      <c r="DB38" s="121"/>
      <c r="DC38" s="121"/>
      <c r="DD38" s="121"/>
      <c r="DE38" s="121"/>
      <c r="DF38" s="121"/>
      <c r="DG38" s="121"/>
      <c r="DH38" s="121"/>
      <c r="DI38" s="121"/>
      <c r="DJ38" s="121"/>
      <c r="DK38" s="121"/>
      <c r="DL38" s="121"/>
      <c r="DM38" s="121"/>
      <c r="DN38" s="121"/>
      <c r="DO38" s="121"/>
      <c r="DP38" s="121"/>
      <c r="DQ38" s="121"/>
      <c r="DR38" s="121"/>
      <c r="DS38" s="121"/>
      <c r="DT38" s="121"/>
      <c r="DU38" s="121"/>
      <c r="DV38" s="121"/>
      <c r="DW38" s="121"/>
      <c r="DX38" s="121"/>
      <c r="DY38" s="121"/>
      <c r="DZ38" s="121"/>
      <c r="EA38" s="121"/>
      <c r="EB38" s="121"/>
      <c r="EC38" s="121"/>
      <c r="ED38" s="121"/>
      <c r="EE38" s="121"/>
      <c r="EF38" s="121"/>
      <c r="EG38" s="121"/>
      <c r="EH38" s="121"/>
      <c r="EI38" s="121"/>
      <c r="EJ38" s="121"/>
      <c r="EK38" s="121"/>
      <c r="EL38" s="121"/>
      <c r="EM38" s="121"/>
      <c r="EN38" s="121"/>
      <c r="EO38" s="121"/>
      <c r="EP38" s="121"/>
      <c r="EQ38" s="121"/>
      <c r="ER38" s="121"/>
      <c r="ES38" s="121"/>
      <c r="ET38" s="121"/>
      <c r="EU38" s="121"/>
      <c r="EV38" s="121"/>
      <c r="EW38" s="121"/>
      <c r="EX38" s="121"/>
      <c r="EY38" s="121"/>
      <c r="EZ38" s="121"/>
      <c r="FA38" s="121"/>
      <c r="FB38" s="121"/>
      <c r="FC38" s="121"/>
      <c r="FD38" s="121"/>
      <c r="FE38" s="121"/>
      <c r="FF38" s="121"/>
      <c r="FG38" s="121"/>
      <c r="FH38" s="121"/>
      <c r="FI38" s="121"/>
      <c r="FJ38" s="121"/>
      <c r="FK38" s="121"/>
      <c r="FL38" s="121"/>
      <c r="FM38" s="121"/>
      <c r="FN38" s="121"/>
      <c r="FO38" s="121"/>
      <c r="FP38" s="121"/>
      <c r="FQ38" s="121"/>
      <c r="FR38" s="121"/>
      <c r="FS38" s="121"/>
      <c r="FT38" s="121"/>
      <c r="FU38" s="121"/>
      <c r="FV38" s="121"/>
      <c r="FW38" s="121"/>
      <c r="FX38" s="121"/>
      <c r="FY38" s="121"/>
      <c r="FZ38" s="121"/>
      <c r="GA38" s="121"/>
      <c r="GB38" s="121"/>
      <c r="GC38" s="121"/>
      <c r="GD38" s="121"/>
      <c r="GE38" s="121"/>
      <c r="GF38" s="121"/>
      <c r="GG38" s="121"/>
      <c r="GH38" s="121"/>
      <c r="GI38" s="121"/>
      <c r="GJ38" s="121"/>
      <c r="GK38" s="121"/>
      <c r="GL38" s="121"/>
      <c r="GM38" s="121"/>
      <c r="GN38" s="121"/>
      <c r="GO38" s="121"/>
      <c r="GP38" s="121"/>
      <c r="GQ38" s="121"/>
      <c r="GR38" s="121"/>
      <c r="GS38" s="121"/>
      <c r="GT38" s="121"/>
      <c r="GU38" s="121"/>
      <c r="GV38" s="121"/>
      <c r="GW38" s="121"/>
      <c r="GX38" s="121"/>
      <c r="GY38" s="121"/>
      <c r="GZ38" s="121"/>
      <c r="HA38" s="121"/>
      <c r="HB38" s="121"/>
      <c r="HC38" s="121"/>
      <c r="HD38" s="121"/>
      <c r="HE38" s="121"/>
      <c r="HF38" s="121"/>
      <c r="HG38" s="121"/>
      <c r="HH38" s="121"/>
      <c r="HI38" s="121"/>
      <c r="HJ38" s="121"/>
      <c r="HK38" s="121"/>
      <c r="HL38" s="121"/>
      <c r="HM38" s="121"/>
      <c r="HN38" s="121"/>
      <c r="HO38" s="121"/>
      <c r="HP38" s="121"/>
    </row>
    <row r="39" spans="1:224" s="122" customFormat="1" ht="45.75" thickBot="1" x14ac:dyDescent="0.25">
      <c r="A39" s="505"/>
      <c r="B39" s="128" t="s">
        <v>121</v>
      </c>
      <c r="C39" s="293"/>
      <c r="D39" s="417">
        <f t="shared" ref="D39:E39" si="8">SUM(D32:D35)-D38</f>
        <v>285</v>
      </c>
      <c r="E39" s="417">
        <f t="shared" si="8"/>
        <v>297</v>
      </c>
      <c r="F39" s="417">
        <f t="shared" ref="F39:G39" si="9">SUM(F32:F35)-F38</f>
        <v>346</v>
      </c>
      <c r="G39" s="417">
        <f t="shared" si="9"/>
        <v>271</v>
      </c>
      <c r="H39" s="417">
        <f t="shared" ref="H39:I39" si="10">SUM(H32:H35)-H38</f>
        <v>227</v>
      </c>
      <c r="I39" s="417">
        <f t="shared" si="10"/>
        <v>314</v>
      </c>
      <c r="J39" s="417">
        <f t="shared" ref="J39:K39" si="11">SUM(J32:J35)-J38</f>
        <v>282</v>
      </c>
      <c r="K39" s="417">
        <f t="shared" si="11"/>
        <v>256</v>
      </c>
      <c r="L39" s="417">
        <f t="shared" ref="L39:M39" si="12">SUM(L32:L35)-L38</f>
        <v>244</v>
      </c>
      <c r="M39" s="417">
        <f t="shared" si="12"/>
        <v>264</v>
      </c>
      <c r="N39" s="417">
        <f t="shared" ref="N39:O39" si="13">SUM(N32:N35)-N38</f>
        <v>268</v>
      </c>
      <c r="O39" s="417">
        <f t="shared" si="13"/>
        <v>253</v>
      </c>
      <c r="P39" s="417">
        <f t="shared" ref="P39:Q39" si="14">SUM(P32:P35)-P38</f>
        <v>275</v>
      </c>
      <c r="Q39" s="417">
        <f t="shared" si="14"/>
        <v>330</v>
      </c>
      <c r="R39" s="417">
        <f t="shared" ref="R39:S39" si="15">SUM(R32:R35)-R38</f>
        <v>296</v>
      </c>
      <c r="S39" s="417">
        <f t="shared" si="15"/>
        <v>292</v>
      </c>
      <c r="T39" s="417">
        <f t="shared" ref="T39:U39" si="16">SUM(T32:T35)-T38</f>
        <v>289</v>
      </c>
      <c r="U39" s="417">
        <f t="shared" si="16"/>
        <v>1240</v>
      </c>
      <c r="V39" s="417">
        <f t="shared" ref="V39:W39" si="17">SUM(V32:V35)-V38</f>
        <v>-688</v>
      </c>
      <c r="W39" s="417">
        <f t="shared" si="17"/>
        <v>293</v>
      </c>
      <c r="X39" s="417">
        <f t="shared" ref="X39:Y39" si="18">SUM(X32:X35)-X38</f>
        <v>364</v>
      </c>
      <c r="Y39" s="417">
        <f t="shared" si="18"/>
        <v>310</v>
      </c>
      <c r="Z39" s="417">
        <f t="shared" ref="Z39:AA39" si="19">SUM(Z32:Z35)-Z38</f>
        <v>272</v>
      </c>
      <c r="AA39" s="417">
        <f t="shared" si="19"/>
        <v>295</v>
      </c>
      <c r="AB39" s="417">
        <f t="shared" ref="AB39:AC39" si="20">SUM(AB32:AB35)-AB38</f>
        <v>278</v>
      </c>
      <c r="AC39" s="417">
        <f t="shared" si="20"/>
        <v>335</v>
      </c>
      <c r="AD39" s="417">
        <f t="shared" ref="AD39:AE39" si="21">SUM(AD32:AD35)-AD38</f>
        <v>382</v>
      </c>
      <c r="AE39" s="417">
        <f t="shared" si="21"/>
        <v>352</v>
      </c>
      <c r="AF39" s="417">
        <f t="shared" ref="AF39:AG39" si="22">SUM(AF32:AF35)-AF38</f>
        <v>346</v>
      </c>
      <c r="AG39" s="417">
        <f t="shared" si="22"/>
        <v>384</v>
      </c>
      <c r="AH39" s="293"/>
      <c r="AI39" s="310"/>
      <c r="AJ39" s="281">
        <f t="shared" si="4"/>
        <v>12.433333333333332</v>
      </c>
      <c r="AK39" s="121">
        <v>720</v>
      </c>
      <c r="AL39" s="121"/>
      <c r="AM39" s="121"/>
      <c r="AN39" s="121"/>
      <c r="AO39" s="121"/>
      <c r="AP39" s="121"/>
      <c r="AQ39" s="121"/>
      <c r="AR39" s="121"/>
      <c r="AS39" s="121"/>
      <c r="AT39" s="121"/>
      <c r="AU39" s="121"/>
      <c r="AV39" s="121"/>
      <c r="AW39" s="121"/>
      <c r="AX39" s="121"/>
      <c r="AY39" s="121"/>
      <c r="AZ39" s="121"/>
      <c r="BA39" s="121"/>
      <c r="BB39" s="121"/>
      <c r="BC39" s="121"/>
      <c r="BD39" s="121"/>
      <c r="BE39" s="121"/>
      <c r="BF39" s="121"/>
      <c r="BG39" s="121"/>
      <c r="BH39" s="121"/>
      <c r="BI39" s="121"/>
      <c r="BJ39" s="121"/>
      <c r="BK39" s="121"/>
      <c r="BL39" s="121"/>
      <c r="BM39" s="121"/>
      <c r="BN39" s="121"/>
      <c r="BO39" s="121"/>
      <c r="BP39" s="121"/>
      <c r="BQ39" s="121"/>
      <c r="BR39" s="121"/>
      <c r="BS39" s="121"/>
      <c r="BT39" s="121"/>
      <c r="BU39" s="121"/>
      <c r="BV39" s="121"/>
      <c r="BW39" s="121"/>
      <c r="BX39" s="121"/>
      <c r="BY39" s="121"/>
      <c r="BZ39" s="121"/>
      <c r="CA39" s="121"/>
      <c r="CB39" s="121"/>
      <c r="CC39" s="121"/>
      <c r="CD39" s="121"/>
      <c r="CE39" s="121"/>
      <c r="CF39" s="121"/>
      <c r="CG39" s="121"/>
      <c r="CH39" s="121"/>
      <c r="CI39" s="121"/>
      <c r="CJ39" s="121"/>
      <c r="CK39" s="121"/>
      <c r="CL39" s="121"/>
      <c r="CM39" s="121"/>
      <c r="CN39" s="121"/>
      <c r="CO39" s="121"/>
      <c r="CP39" s="121"/>
      <c r="CQ39" s="121"/>
      <c r="CR39" s="121"/>
      <c r="CS39" s="121"/>
      <c r="CT39" s="121"/>
      <c r="CU39" s="121"/>
      <c r="CV39" s="121"/>
      <c r="CW39" s="121"/>
      <c r="CX39" s="121"/>
      <c r="CY39" s="121"/>
      <c r="CZ39" s="121"/>
      <c r="DA39" s="121"/>
      <c r="DB39" s="121"/>
      <c r="DC39" s="121"/>
      <c r="DD39" s="121"/>
      <c r="DE39" s="121"/>
      <c r="DF39" s="121"/>
      <c r="DG39" s="121"/>
      <c r="DH39" s="121"/>
      <c r="DI39" s="121"/>
      <c r="DJ39" s="121"/>
      <c r="DK39" s="121"/>
      <c r="DL39" s="121"/>
      <c r="DM39" s="121"/>
      <c r="DN39" s="121"/>
      <c r="DO39" s="121"/>
      <c r="DP39" s="121"/>
      <c r="DQ39" s="121"/>
      <c r="DR39" s="121"/>
      <c r="DS39" s="121"/>
      <c r="DT39" s="121"/>
      <c r="DU39" s="121"/>
      <c r="DV39" s="121"/>
      <c r="DW39" s="121"/>
      <c r="DX39" s="121"/>
      <c r="DY39" s="121"/>
      <c r="DZ39" s="121"/>
      <c r="EA39" s="121"/>
      <c r="EB39" s="121"/>
      <c r="EC39" s="121"/>
      <c r="ED39" s="121"/>
      <c r="EE39" s="121"/>
      <c r="EF39" s="121"/>
      <c r="EG39" s="121"/>
      <c r="EH39" s="121"/>
      <c r="EI39" s="121"/>
      <c r="EJ39" s="121"/>
      <c r="EK39" s="121"/>
      <c r="EL39" s="121"/>
      <c r="EM39" s="121"/>
      <c r="EN39" s="121"/>
      <c r="EO39" s="121"/>
      <c r="EP39" s="121"/>
      <c r="EQ39" s="121"/>
      <c r="ER39" s="121"/>
      <c r="ES39" s="121"/>
      <c r="ET39" s="121"/>
      <c r="EU39" s="121"/>
      <c r="EV39" s="121"/>
      <c r="EW39" s="121"/>
      <c r="EX39" s="121"/>
      <c r="EY39" s="121"/>
      <c r="EZ39" s="121"/>
      <c r="FA39" s="121"/>
      <c r="FB39" s="121"/>
      <c r="FC39" s="121"/>
      <c r="FD39" s="121"/>
      <c r="FE39" s="121"/>
      <c r="FF39" s="121"/>
      <c r="FG39" s="121"/>
      <c r="FH39" s="121"/>
      <c r="FI39" s="121"/>
      <c r="FJ39" s="121"/>
      <c r="FK39" s="121"/>
      <c r="FL39" s="121"/>
      <c r="FM39" s="121"/>
      <c r="FN39" s="121"/>
      <c r="FO39" s="121"/>
      <c r="FP39" s="121"/>
      <c r="FQ39" s="121"/>
      <c r="FR39" s="121"/>
      <c r="FS39" s="121"/>
      <c r="FT39" s="121"/>
      <c r="FU39" s="121"/>
      <c r="FV39" s="121"/>
      <c r="FW39" s="121"/>
      <c r="FX39" s="121"/>
      <c r="FY39" s="121"/>
      <c r="FZ39" s="121"/>
      <c r="GA39" s="121"/>
      <c r="GB39" s="121"/>
      <c r="GC39" s="121"/>
      <c r="GD39" s="121"/>
      <c r="GE39" s="121"/>
      <c r="GF39" s="121"/>
      <c r="GG39" s="121"/>
      <c r="GH39" s="121"/>
      <c r="GI39" s="121"/>
      <c r="GJ39" s="121"/>
      <c r="GK39" s="121"/>
      <c r="GL39" s="121"/>
      <c r="GM39" s="121"/>
      <c r="GN39" s="121"/>
      <c r="GO39" s="121"/>
      <c r="GP39" s="121"/>
      <c r="GQ39" s="121"/>
      <c r="GR39" s="121"/>
      <c r="GS39" s="121"/>
      <c r="GT39" s="121"/>
      <c r="GU39" s="121"/>
      <c r="GV39" s="121"/>
      <c r="GW39" s="121"/>
      <c r="GX39" s="121"/>
      <c r="GY39" s="121"/>
      <c r="GZ39" s="121"/>
      <c r="HA39" s="121"/>
      <c r="HB39" s="121"/>
      <c r="HC39" s="121"/>
      <c r="HD39" s="121"/>
      <c r="HE39" s="121"/>
      <c r="HF39" s="121"/>
      <c r="HG39" s="121"/>
      <c r="HH39" s="121"/>
      <c r="HI39" s="121"/>
      <c r="HJ39" s="121"/>
      <c r="HK39" s="121"/>
      <c r="HL39" s="121"/>
      <c r="HM39" s="121"/>
      <c r="HN39" s="121"/>
      <c r="HO39" s="121"/>
      <c r="HP39" s="121"/>
    </row>
    <row r="40" spans="1:224" ht="28.5" customHeight="1" thickBot="1" x14ac:dyDescent="0.25">
      <c r="A40" s="506" t="s">
        <v>122</v>
      </c>
      <c r="B40" s="129" t="s">
        <v>123</v>
      </c>
      <c r="C40" s="132"/>
      <c r="D40" s="418"/>
      <c r="E40" s="419"/>
      <c r="F40" s="419"/>
      <c r="G40" s="419"/>
      <c r="H40" s="419"/>
      <c r="I40" s="419"/>
      <c r="J40" s="419"/>
      <c r="K40" s="419"/>
      <c r="L40" s="130"/>
      <c r="M40" s="130"/>
      <c r="N40" s="130"/>
      <c r="O40" s="130"/>
      <c r="P40" s="130"/>
      <c r="Q40" s="130"/>
      <c r="R40" s="130"/>
      <c r="S40" s="130"/>
      <c r="T40" s="130"/>
      <c r="U40" s="130"/>
      <c r="V40" s="130"/>
      <c r="W40" s="130"/>
      <c r="X40" s="130"/>
      <c r="Y40" s="130"/>
      <c r="Z40" s="130"/>
      <c r="AA40" s="130"/>
      <c r="AB40" s="130"/>
      <c r="AC40" s="130"/>
      <c r="AD40" s="130"/>
      <c r="AE40" s="130"/>
      <c r="AF40" s="130"/>
      <c r="AG40" s="132"/>
      <c r="AH40" s="132"/>
      <c r="AI40" s="132"/>
      <c r="AJ40" s="282"/>
    </row>
    <row r="41" spans="1:224" ht="29.25" thickBot="1" x14ac:dyDescent="0.25">
      <c r="A41" s="507"/>
      <c r="B41" s="131" t="s">
        <v>124</v>
      </c>
      <c r="C41" s="132">
        <v>17485412</v>
      </c>
      <c r="D41" s="418">
        <v>17490724</v>
      </c>
      <c r="E41" s="419">
        <v>17493796</v>
      </c>
      <c r="F41" s="418">
        <v>17498460</v>
      </c>
      <c r="G41" s="418">
        <v>17504586</v>
      </c>
      <c r="H41" s="418">
        <v>17508356</v>
      </c>
      <c r="I41" s="418">
        <v>17513872</v>
      </c>
      <c r="J41" s="418">
        <v>17520780</v>
      </c>
      <c r="K41" s="418">
        <v>17526454</v>
      </c>
      <c r="L41" s="132">
        <v>17533912</v>
      </c>
      <c r="M41" s="132">
        <v>17541378</v>
      </c>
      <c r="N41" s="132">
        <v>17545254</v>
      </c>
      <c r="O41" s="132">
        <v>17552874</v>
      </c>
      <c r="P41" s="132">
        <v>17560662</v>
      </c>
      <c r="Q41" s="132">
        <v>17566820</v>
      </c>
      <c r="R41" s="132">
        <v>17575272</v>
      </c>
      <c r="S41" s="132">
        <v>17582684</v>
      </c>
      <c r="T41" s="132">
        <v>17589898</v>
      </c>
      <c r="U41" s="132">
        <v>17596966</v>
      </c>
      <c r="V41" s="132">
        <v>17604986</v>
      </c>
      <c r="W41" s="132">
        <v>17613356</v>
      </c>
      <c r="X41" s="132">
        <v>17621840</v>
      </c>
      <c r="Y41" s="132">
        <v>17626870</v>
      </c>
      <c r="Z41" s="132">
        <v>17632192</v>
      </c>
      <c r="AA41" s="132">
        <v>17640636</v>
      </c>
      <c r="AB41" s="132">
        <v>17648512</v>
      </c>
      <c r="AC41" s="132">
        <v>17656490</v>
      </c>
      <c r="AD41" s="132">
        <v>17665200</v>
      </c>
      <c r="AE41" s="132">
        <v>17673588</v>
      </c>
      <c r="AF41" s="132">
        <v>17681436</v>
      </c>
      <c r="AG41" s="132">
        <v>17685224</v>
      </c>
      <c r="AH41" s="132">
        <v>17691854</v>
      </c>
      <c r="AI41" s="132"/>
      <c r="AJ41" s="283"/>
      <c r="AK41" s="111">
        <v>16680604</v>
      </c>
      <c r="AL41" s="354">
        <v>16012053</v>
      </c>
    </row>
    <row r="42" spans="1:224" ht="29.25" thickBot="1" x14ac:dyDescent="0.25">
      <c r="A42" s="507"/>
      <c r="B42" s="131" t="s">
        <v>125</v>
      </c>
      <c r="C42" s="132">
        <v>22255700</v>
      </c>
      <c r="D42" s="418">
        <v>22264587</v>
      </c>
      <c r="E42" s="419">
        <v>22272192</v>
      </c>
      <c r="F42" s="418">
        <v>22281517</v>
      </c>
      <c r="G42" s="418">
        <v>22291640</v>
      </c>
      <c r="H42" s="418">
        <v>22300121</v>
      </c>
      <c r="I42" s="418">
        <v>22309837</v>
      </c>
      <c r="J42" s="418">
        <v>22319775</v>
      </c>
      <c r="K42" s="418">
        <v>22327672</v>
      </c>
      <c r="L42" s="132">
        <v>22337791</v>
      </c>
      <c r="M42" s="132">
        <v>22348246</v>
      </c>
      <c r="N42" s="132">
        <v>22353461</v>
      </c>
      <c r="O42" s="132">
        <v>22363068</v>
      </c>
      <c r="P42" s="132">
        <v>22372977</v>
      </c>
      <c r="Q42" s="132">
        <v>22380617</v>
      </c>
      <c r="R42" s="132">
        <v>22390404</v>
      </c>
      <c r="S42" s="132">
        <v>22399421</v>
      </c>
      <c r="T42" s="132">
        <v>22407940</v>
      </c>
      <c r="U42" s="132">
        <v>22416910</v>
      </c>
      <c r="V42" s="132">
        <v>22426097</v>
      </c>
      <c r="W42" s="132">
        <v>22435858</v>
      </c>
      <c r="X42" s="132">
        <v>22446520</v>
      </c>
      <c r="Y42" s="132">
        <v>22453219</v>
      </c>
      <c r="Z42" s="132">
        <v>22460377</v>
      </c>
      <c r="AA42" s="132">
        <v>22470665</v>
      </c>
      <c r="AB42" s="132">
        <v>22480692</v>
      </c>
      <c r="AC42" s="132">
        <v>22489841</v>
      </c>
      <c r="AD42" s="132">
        <v>22498784</v>
      </c>
      <c r="AE42" s="132">
        <v>22511088</v>
      </c>
      <c r="AF42" s="132">
        <v>22521754</v>
      </c>
      <c r="AG42" s="132">
        <v>22527354</v>
      </c>
      <c r="AH42" s="132">
        <v>22535545</v>
      </c>
      <c r="AI42" s="132"/>
      <c r="AJ42" s="283"/>
      <c r="AK42" s="111">
        <v>21067220</v>
      </c>
      <c r="AL42" s="354">
        <v>20325959</v>
      </c>
    </row>
    <row r="43" spans="1:224" ht="29.25" thickBot="1" x14ac:dyDescent="0.25">
      <c r="A43" s="507"/>
      <c r="B43" s="131" t="s">
        <v>126</v>
      </c>
      <c r="C43" s="132"/>
      <c r="D43" s="418"/>
      <c r="E43" s="419"/>
      <c r="F43" s="418"/>
      <c r="G43" s="418"/>
      <c r="H43" s="418"/>
      <c r="I43" s="418"/>
      <c r="J43" s="418"/>
      <c r="K43" s="418"/>
      <c r="L43" s="132"/>
      <c r="M43" s="132"/>
      <c r="N43" s="132"/>
      <c r="O43" s="132"/>
      <c r="P43" s="132"/>
      <c r="Q43" s="132"/>
      <c r="R43" s="132"/>
      <c r="S43" s="132"/>
      <c r="T43" s="132"/>
      <c r="U43" s="132"/>
      <c r="V43" s="132"/>
      <c r="W43" s="132"/>
      <c r="X43" s="132"/>
      <c r="Y43" s="132"/>
      <c r="Z43" s="132"/>
      <c r="AA43" s="132"/>
      <c r="AB43" s="132"/>
      <c r="AC43" s="132"/>
      <c r="AD43" s="132"/>
      <c r="AE43" s="132"/>
      <c r="AF43" s="132"/>
      <c r="AG43" s="132"/>
      <c r="AH43" s="132"/>
      <c r="AI43" s="132"/>
      <c r="AJ43" s="283"/>
      <c r="AL43" s="354"/>
    </row>
    <row r="44" spans="1:224" ht="29.25" thickBot="1" x14ac:dyDescent="0.25">
      <c r="A44" s="507"/>
      <c r="B44" s="131" t="s">
        <v>127</v>
      </c>
      <c r="C44" s="132">
        <v>11893934</v>
      </c>
      <c r="D44" s="418">
        <v>11896406</v>
      </c>
      <c r="E44" s="419">
        <v>11898848</v>
      </c>
      <c r="F44" s="418">
        <v>11901323</v>
      </c>
      <c r="G44" s="418">
        <v>11904072</v>
      </c>
      <c r="H44" s="418">
        <v>11906601</v>
      </c>
      <c r="I44" s="418">
        <v>11909242</v>
      </c>
      <c r="J44" s="418">
        <v>11913790</v>
      </c>
      <c r="K44" s="418">
        <v>11918581</v>
      </c>
      <c r="L44" s="132">
        <v>11923223</v>
      </c>
      <c r="M44" s="132">
        <v>11927678</v>
      </c>
      <c r="N44" s="132">
        <v>11933009</v>
      </c>
      <c r="O44" s="132">
        <v>11938115</v>
      </c>
      <c r="P44" s="132">
        <v>11943117</v>
      </c>
      <c r="Q44" s="132">
        <v>11948330</v>
      </c>
      <c r="R44" s="132">
        <v>11953172</v>
      </c>
      <c r="S44" s="132">
        <v>11958175</v>
      </c>
      <c r="T44" s="132">
        <v>11962921</v>
      </c>
      <c r="U44" s="132">
        <v>11967309</v>
      </c>
      <c r="V44" s="132">
        <v>11971604</v>
      </c>
      <c r="W44" s="132">
        <v>11976114</v>
      </c>
      <c r="X44" s="132">
        <v>11979602</v>
      </c>
      <c r="Y44" s="132">
        <v>11983553</v>
      </c>
      <c r="Z44" s="132">
        <v>11987868</v>
      </c>
      <c r="AA44" s="132">
        <v>11992136</v>
      </c>
      <c r="AB44" s="132">
        <v>11996623</v>
      </c>
      <c r="AC44" s="132">
        <v>12001193</v>
      </c>
      <c r="AD44" s="132">
        <v>12005385</v>
      </c>
      <c r="AE44" s="132">
        <v>12008533</v>
      </c>
      <c r="AF44" s="132">
        <v>12011726</v>
      </c>
      <c r="AG44" s="132">
        <v>12016012</v>
      </c>
      <c r="AH44" s="132">
        <v>12020436</v>
      </c>
      <c r="AI44" s="132"/>
      <c r="AJ44" s="283"/>
      <c r="AK44" s="111">
        <v>11291613</v>
      </c>
      <c r="AL44" s="354">
        <v>10789170</v>
      </c>
    </row>
    <row r="45" spans="1:224" ht="29.25" thickBot="1" x14ac:dyDescent="0.25">
      <c r="A45" s="507"/>
      <c r="B45" s="240" t="s">
        <v>128</v>
      </c>
      <c r="C45" s="132">
        <v>17594510</v>
      </c>
      <c r="D45" s="418">
        <v>17598684</v>
      </c>
      <c r="E45" s="419">
        <v>17603374</v>
      </c>
      <c r="F45" s="418">
        <v>17608922</v>
      </c>
      <c r="G45" s="418">
        <v>17613868</v>
      </c>
      <c r="H45" s="418">
        <v>17619262</v>
      </c>
      <c r="I45" s="418">
        <v>17624670</v>
      </c>
      <c r="J45" s="418">
        <v>17627754</v>
      </c>
      <c r="K45" s="418">
        <v>17630054</v>
      </c>
      <c r="L45" s="132">
        <v>17632646</v>
      </c>
      <c r="M45" s="132">
        <v>17635944</v>
      </c>
      <c r="N45" s="132">
        <v>17637352</v>
      </c>
      <c r="O45" s="132">
        <v>17639620</v>
      </c>
      <c r="P45" s="132">
        <v>17641842</v>
      </c>
      <c r="Q45" s="132">
        <v>17643492</v>
      </c>
      <c r="R45" s="132">
        <v>17644864</v>
      </c>
      <c r="S45" s="132">
        <v>17646904</v>
      </c>
      <c r="T45" s="132">
        <v>17649228</v>
      </c>
      <c r="U45" s="132">
        <v>17651396</v>
      </c>
      <c r="V45" s="132">
        <v>17654016</v>
      </c>
      <c r="W45" s="132">
        <v>17655774</v>
      </c>
      <c r="X45" s="132">
        <v>17658956</v>
      </c>
      <c r="Y45" s="132">
        <v>17661146</v>
      </c>
      <c r="Z45" s="132">
        <v>17663304</v>
      </c>
      <c r="AA45" s="132">
        <v>17665722</v>
      </c>
      <c r="AB45" s="132">
        <v>17668880</v>
      </c>
      <c r="AC45" s="132">
        <v>17671394</v>
      </c>
      <c r="AD45" s="132">
        <v>17672982</v>
      </c>
      <c r="AE45" s="132">
        <v>17677172</v>
      </c>
      <c r="AF45" s="132">
        <v>17680716</v>
      </c>
      <c r="AG45" s="132">
        <v>17682720</v>
      </c>
      <c r="AH45" s="132">
        <v>17684850</v>
      </c>
      <c r="AI45" s="132"/>
      <c r="AJ45" s="283"/>
      <c r="AK45" s="111">
        <v>16993090</v>
      </c>
      <c r="AL45" s="354">
        <v>16514611</v>
      </c>
    </row>
    <row r="46" spans="1:224" ht="29.25" customHeight="1" thickBot="1" x14ac:dyDescent="0.25">
      <c r="A46" s="507"/>
      <c r="B46" s="240" t="s">
        <v>129</v>
      </c>
      <c r="C46" s="132"/>
      <c r="D46" s="418"/>
      <c r="E46" s="419"/>
      <c r="F46" s="418"/>
      <c r="G46" s="418"/>
      <c r="H46" s="418"/>
      <c r="I46" s="418"/>
      <c r="J46" s="418"/>
      <c r="K46" s="418"/>
      <c r="L46" s="132"/>
      <c r="M46" s="132"/>
      <c r="N46" s="132"/>
      <c r="O46" s="132"/>
      <c r="P46" s="132"/>
      <c r="Q46" s="132"/>
      <c r="R46" s="132"/>
      <c r="S46" s="132"/>
      <c r="T46" s="132"/>
      <c r="U46" s="132"/>
      <c r="V46" s="132"/>
      <c r="W46" s="132"/>
      <c r="X46" s="132"/>
      <c r="Y46" s="132"/>
      <c r="Z46" s="132"/>
      <c r="AA46" s="132"/>
      <c r="AB46" s="132"/>
      <c r="AC46" s="132"/>
      <c r="AD46" s="132"/>
      <c r="AE46" s="132"/>
      <c r="AF46" s="132"/>
      <c r="AG46" s="132"/>
      <c r="AH46" s="132"/>
      <c r="AI46" s="132"/>
      <c r="AJ46" s="283"/>
      <c r="AL46" s="354"/>
    </row>
    <row r="47" spans="1:224" ht="30.75" customHeight="1" thickBot="1" x14ac:dyDescent="0.25">
      <c r="A47" s="507"/>
      <c r="B47" s="254" t="s">
        <v>130</v>
      </c>
      <c r="C47" s="132">
        <v>1580278</v>
      </c>
      <c r="D47" s="418">
        <v>1581176</v>
      </c>
      <c r="E47" s="419">
        <v>1582072</v>
      </c>
      <c r="F47" s="418">
        <v>1583199</v>
      </c>
      <c r="G47" s="418">
        <v>1584137</v>
      </c>
      <c r="H47" s="418">
        <v>1585062</v>
      </c>
      <c r="I47" s="418">
        <v>1585885</v>
      </c>
      <c r="J47" s="418">
        <v>1586812</v>
      </c>
      <c r="K47" s="418">
        <v>1587768</v>
      </c>
      <c r="L47" s="132">
        <v>1588790</v>
      </c>
      <c r="M47" s="132">
        <v>1589721</v>
      </c>
      <c r="N47" s="132">
        <v>1590695</v>
      </c>
      <c r="O47" s="132">
        <v>1591628</v>
      </c>
      <c r="P47" s="132">
        <v>1592534</v>
      </c>
      <c r="Q47" s="132">
        <v>1593358</v>
      </c>
      <c r="R47" s="132">
        <v>1594092</v>
      </c>
      <c r="S47" s="132">
        <v>1595005</v>
      </c>
      <c r="T47" s="132">
        <v>1595833</v>
      </c>
      <c r="U47" s="132">
        <v>1596721</v>
      </c>
      <c r="V47" s="132">
        <v>1597667</v>
      </c>
      <c r="W47" s="132">
        <v>1598848</v>
      </c>
      <c r="X47" s="132">
        <v>1599556</v>
      </c>
      <c r="Y47" s="132">
        <v>1600266</v>
      </c>
      <c r="Z47" s="132">
        <v>1601211</v>
      </c>
      <c r="AA47" s="132">
        <v>1602621</v>
      </c>
      <c r="AB47" s="132">
        <v>1605048</v>
      </c>
      <c r="AC47" s="132">
        <v>1606614</v>
      </c>
      <c r="AD47" s="132">
        <v>1607947</v>
      </c>
      <c r="AE47" s="132">
        <v>1609053</v>
      </c>
      <c r="AF47" s="132">
        <v>1610452</v>
      </c>
      <c r="AG47" s="132">
        <v>1611513</v>
      </c>
      <c r="AH47" s="132">
        <v>1612986</v>
      </c>
      <c r="AI47" s="132"/>
      <c r="AJ47" s="283"/>
      <c r="AK47" s="111">
        <v>1485064</v>
      </c>
      <c r="AL47" s="354">
        <v>1407021</v>
      </c>
    </row>
    <row r="48" spans="1:224" ht="22.5" customHeight="1" thickBot="1" x14ac:dyDescent="0.25">
      <c r="A48" s="507"/>
      <c r="B48" s="133" t="s">
        <v>131</v>
      </c>
      <c r="C48" s="132">
        <v>6941199</v>
      </c>
      <c r="D48" s="418">
        <v>6943319</v>
      </c>
      <c r="E48" s="419">
        <v>6945502</v>
      </c>
      <c r="F48" s="418">
        <v>6947570</v>
      </c>
      <c r="G48" s="418">
        <v>6949906</v>
      </c>
      <c r="H48" s="418">
        <v>6952160</v>
      </c>
      <c r="I48" s="418">
        <v>6954334</v>
      </c>
      <c r="J48" s="418">
        <v>6955470</v>
      </c>
      <c r="K48" s="418">
        <v>6956536</v>
      </c>
      <c r="L48" s="132">
        <v>6957347</v>
      </c>
      <c r="M48" s="132">
        <v>6958200</v>
      </c>
      <c r="N48" s="132">
        <v>6959803</v>
      </c>
      <c r="O48" s="132">
        <v>6960978</v>
      </c>
      <c r="P48" s="132">
        <v>6962018</v>
      </c>
      <c r="Q48" s="132">
        <v>6963340</v>
      </c>
      <c r="R48" s="132">
        <v>6964397</v>
      </c>
      <c r="S48" s="132">
        <v>6965403</v>
      </c>
      <c r="T48" s="132">
        <v>6966412</v>
      </c>
      <c r="U48" s="132">
        <v>6967257</v>
      </c>
      <c r="V48" s="132">
        <v>6968120</v>
      </c>
      <c r="W48" s="360">
        <v>6969074</v>
      </c>
      <c r="X48" s="132">
        <v>6970396</v>
      </c>
      <c r="Y48" s="132">
        <v>6971694</v>
      </c>
      <c r="Z48" s="132">
        <v>6972912</v>
      </c>
      <c r="AA48" s="132">
        <v>6974136</v>
      </c>
      <c r="AB48" s="132">
        <v>6974999</v>
      </c>
      <c r="AC48" s="132">
        <v>6975998</v>
      </c>
      <c r="AD48" s="132">
        <v>6977114</v>
      </c>
      <c r="AE48" s="132">
        <v>6978162</v>
      </c>
      <c r="AF48" s="132">
        <v>6979018</v>
      </c>
      <c r="AG48" s="132">
        <v>6980376</v>
      </c>
      <c r="AH48" s="132">
        <v>6981576</v>
      </c>
      <c r="AI48" s="132"/>
      <c r="AJ48" s="283"/>
      <c r="AK48" s="111">
        <v>6628907</v>
      </c>
      <c r="AL48" s="354">
        <v>6460440</v>
      </c>
    </row>
    <row r="49" spans="1:224" ht="22.5" customHeight="1" thickBot="1" x14ac:dyDescent="0.25">
      <c r="A49" s="507"/>
      <c r="B49" s="131" t="s">
        <v>132</v>
      </c>
      <c r="C49" s="132">
        <v>1581644</v>
      </c>
      <c r="D49" s="418">
        <v>1581646</v>
      </c>
      <c r="E49" s="419">
        <v>1581647</v>
      </c>
      <c r="F49" s="418">
        <v>1581648</v>
      </c>
      <c r="G49" s="418">
        <v>1581650</v>
      </c>
      <c r="H49" s="418">
        <v>1581651</v>
      </c>
      <c r="I49" s="418">
        <v>1581652</v>
      </c>
      <c r="J49" s="418">
        <v>1581654</v>
      </c>
      <c r="K49" s="418">
        <v>1581655</v>
      </c>
      <c r="L49" s="132">
        <v>1581656</v>
      </c>
      <c r="M49" s="132">
        <v>1581657</v>
      </c>
      <c r="N49" s="132">
        <v>1581659</v>
      </c>
      <c r="O49" s="132">
        <v>1581660</v>
      </c>
      <c r="P49" s="132">
        <v>1581661</v>
      </c>
      <c r="Q49" s="132">
        <v>1581663</v>
      </c>
      <c r="R49" s="132">
        <v>1581664</v>
      </c>
      <c r="S49" s="132">
        <v>1581666</v>
      </c>
      <c r="T49" s="132">
        <v>1581668</v>
      </c>
      <c r="U49" s="132">
        <v>1581670</v>
      </c>
      <c r="V49" s="132">
        <v>1581671</v>
      </c>
      <c r="W49" s="132">
        <v>1581692</v>
      </c>
      <c r="X49" s="132">
        <v>1581694</v>
      </c>
      <c r="Y49" s="132">
        <v>1581695</v>
      </c>
      <c r="Z49" s="132">
        <v>1581697</v>
      </c>
      <c r="AA49" s="132">
        <v>1581698</v>
      </c>
      <c r="AB49" s="132">
        <v>1581700</v>
      </c>
      <c r="AC49" s="132">
        <v>1581701</v>
      </c>
      <c r="AD49" s="132">
        <v>1581744</v>
      </c>
      <c r="AE49" s="132">
        <v>1581754</v>
      </c>
      <c r="AF49" s="132">
        <v>1581755</v>
      </c>
      <c r="AG49" s="132">
        <v>1581757</v>
      </c>
      <c r="AH49" s="132">
        <v>1581758</v>
      </c>
      <c r="AI49" s="132"/>
      <c r="AJ49" s="283"/>
      <c r="AK49" s="111">
        <v>1581310</v>
      </c>
      <c r="AL49" s="354">
        <v>1581310</v>
      </c>
    </row>
    <row r="50" spans="1:224" ht="22.5" customHeight="1" thickBot="1" x14ac:dyDescent="0.25">
      <c r="A50" s="507"/>
      <c r="B50" s="244" t="s">
        <v>133</v>
      </c>
      <c r="C50" s="132">
        <v>1500483</v>
      </c>
      <c r="D50" s="418">
        <v>1500554</v>
      </c>
      <c r="E50" s="419">
        <v>1500609</v>
      </c>
      <c r="F50" s="418">
        <v>1500651</v>
      </c>
      <c r="G50" s="418">
        <v>1500741</v>
      </c>
      <c r="H50" s="418">
        <v>1500896</v>
      </c>
      <c r="I50" s="418">
        <v>1501039</v>
      </c>
      <c r="J50" s="418">
        <v>1501248</v>
      </c>
      <c r="K50" s="418">
        <v>1501507</v>
      </c>
      <c r="L50" s="132">
        <v>1501857</v>
      </c>
      <c r="M50" s="132">
        <v>1501984</v>
      </c>
      <c r="N50" s="132">
        <v>1502195</v>
      </c>
      <c r="O50" s="132">
        <v>1502286</v>
      </c>
      <c r="P50" s="132">
        <v>1502364</v>
      </c>
      <c r="Q50" s="132">
        <v>1502424</v>
      </c>
      <c r="R50" s="132">
        <v>1502648</v>
      </c>
      <c r="S50" s="132">
        <v>1502724</v>
      </c>
      <c r="T50" s="132">
        <v>1502798</v>
      </c>
      <c r="U50" s="132">
        <v>1502892</v>
      </c>
      <c r="V50" s="132">
        <v>1503016</v>
      </c>
      <c r="W50" s="132">
        <v>1503153</v>
      </c>
      <c r="X50" s="132">
        <v>1503240</v>
      </c>
      <c r="Y50" s="132">
        <v>1503417</v>
      </c>
      <c r="Z50" s="132">
        <v>1503451</v>
      </c>
      <c r="AA50" s="132">
        <v>1503484</v>
      </c>
      <c r="AB50" s="132">
        <v>1504870</v>
      </c>
      <c r="AC50" s="132">
        <v>1505459</v>
      </c>
      <c r="AD50" s="132">
        <v>1505864</v>
      </c>
      <c r="AE50" s="132">
        <v>1506359</v>
      </c>
      <c r="AF50" s="132">
        <v>1506688</v>
      </c>
      <c r="AG50" s="132">
        <v>1507127</v>
      </c>
      <c r="AH50" s="132">
        <v>1507492</v>
      </c>
      <c r="AI50" s="132"/>
      <c r="AJ50" s="283"/>
      <c r="AK50" s="111">
        <v>1468185</v>
      </c>
      <c r="AL50" s="354">
        <v>1317347</v>
      </c>
    </row>
    <row r="51" spans="1:224" ht="22.5" customHeight="1" thickBot="1" x14ac:dyDescent="0.25">
      <c r="A51" s="507"/>
      <c r="B51" s="133" t="s">
        <v>134</v>
      </c>
      <c r="C51" s="132">
        <v>2178597</v>
      </c>
      <c r="D51" s="418">
        <v>2179070</v>
      </c>
      <c r="E51" s="419">
        <v>2179459</v>
      </c>
      <c r="F51" s="418">
        <v>2179881</v>
      </c>
      <c r="G51" s="418">
        <v>2180348</v>
      </c>
      <c r="H51" s="418">
        <v>2180801</v>
      </c>
      <c r="I51" s="418">
        <v>2181258</v>
      </c>
      <c r="J51" s="418">
        <v>2181712</v>
      </c>
      <c r="K51" s="418">
        <v>2182102</v>
      </c>
      <c r="L51" s="132">
        <v>2182443</v>
      </c>
      <c r="M51" s="132">
        <v>2182966</v>
      </c>
      <c r="N51" s="132">
        <v>2183380</v>
      </c>
      <c r="O51" s="132">
        <v>2183889</v>
      </c>
      <c r="P51" s="132">
        <v>2184207</v>
      </c>
      <c r="Q51" s="132">
        <v>2184793</v>
      </c>
      <c r="R51" s="132">
        <v>2185187</v>
      </c>
      <c r="S51" s="132">
        <v>2185622</v>
      </c>
      <c r="T51" s="132">
        <v>2186074</v>
      </c>
      <c r="U51" s="132">
        <v>2186540</v>
      </c>
      <c r="V51" s="132">
        <v>2186963</v>
      </c>
      <c r="W51" s="132">
        <v>2187455</v>
      </c>
      <c r="X51" s="132">
        <v>2188021</v>
      </c>
      <c r="Y51" s="132">
        <v>2188487</v>
      </c>
      <c r="Z51" s="132">
        <v>2189096</v>
      </c>
      <c r="AA51" s="132">
        <v>2189577</v>
      </c>
      <c r="AB51" s="132">
        <v>2190146</v>
      </c>
      <c r="AC51" s="132">
        <v>2190666</v>
      </c>
      <c r="AD51" s="135">
        <v>2191095</v>
      </c>
      <c r="AE51" s="132">
        <v>2191783</v>
      </c>
      <c r="AF51" s="132">
        <v>2192464</v>
      </c>
      <c r="AG51" s="132">
        <v>2192872</v>
      </c>
      <c r="AH51" s="132">
        <v>2193399</v>
      </c>
      <c r="AI51" s="132"/>
      <c r="AJ51" s="283"/>
      <c r="AK51" s="111">
        <v>2134096</v>
      </c>
      <c r="AL51" s="354">
        <v>2109178</v>
      </c>
    </row>
    <row r="52" spans="1:224" ht="22.5" customHeight="1" thickBot="1" x14ac:dyDescent="0.25">
      <c r="A52" s="507"/>
      <c r="B52" s="134" t="s">
        <v>135</v>
      </c>
      <c r="C52" s="132">
        <v>3963350</v>
      </c>
      <c r="D52" s="418">
        <v>3965320</v>
      </c>
      <c r="E52" s="419">
        <v>3968809</v>
      </c>
      <c r="F52" s="418">
        <v>3972413</v>
      </c>
      <c r="G52" s="418">
        <v>3975775</v>
      </c>
      <c r="H52" s="418">
        <v>3978292</v>
      </c>
      <c r="I52" s="418">
        <v>3980648</v>
      </c>
      <c r="J52" s="418">
        <v>3983753</v>
      </c>
      <c r="K52" s="418">
        <v>3986412</v>
      </c>
      <c r="L52" s="135">
        <v>3988762</v>
      </c>
      <c r="M52" s="135">
        <v>3991400</v>
      </c>
      <c r="N52" s="135">
        <v>3994669</v>
      </c>
      <c r="O52" s="132">
        <v>3997949</v>
      </c>
      <c r="P52" s="132">
        <v>4000779</v>
      </c>
      <c r="Q52" s="135">
        <v>4003490</v>
      </c>
      <c r="R52" s="132">
        <v>4005797</v>
      </c>
      <c r="S52" s="132">
        <v>4008158</v>
      </c>
      <c r="T52" s="132">
        <v>4010523</v>
      </c>
      <c r="U52" s="132">
        <v>4012290</v>
      </c>
      <c r="V52" s="132">
        <v>4014031</v>
      </c>
      <c r="W52" s="132">
        <v>4015262</v>
      </c>
      <c r="X52" s="132">
        <v>4016163</v>
      </c>
      <c r="Y52" s="132">
        <v>4017058</v>
      </c>
      <c r="Z52" s="132">
        <v>4018088</v>
      </c>
      <c r="AA52" s="132">
        <v>4018983</v>
      </c>
      <c r="AB52" s="132">
        <v>4019836</v>
      </c>
      <c r="AC52" s="132">
        <v>4020626</v>
      </c>
      <c r="AD52" s="132">
        <v>4021328</v>
      </c>
      <c r="AE52" s="135">
        <v>4022020</v>
      </c>
      <c r="AF52" s="132">
        <v>4022744</v>
      </c>
      <c r="AG52" s="135">
        <v>4023472</v>
      </c>
      <c r="AH52" s="132">
        <v>4024169</v>
      </c>
      <c r="AI52" s="132"/>
      <c r="AJ52" s="284"/>
      <c r="AK52" s="111">
        <v>3659882</v>
      </c>
      <c r="AL52" s="354">
        <v>3590006</v>
      </c>
    </row>
    <row r="53" spans="1:224" ht="22.5" customHeight="1" x14ac:dyDescent="0.2">
      <c r="A53" s="508"/>
      <c r="B53" s="133" t="s">
        <v>136</v>
      </c>
      <c r="C53" s="132">
        <v>79972</v>
      </c>
      <c r="D53" s="418">
        <v>80025</v>
      </c>
      <c r="E53" s="419">
        <v>80070</v>
      </c>
      <c r="F53" s="418">
        <v>80086</v>
      </c>
      <c r="G53" s="418">
        <v>80101</v>
      </c>
      <c r="H53" s="418">
        <v>80127</v>
      </c>
      <c r="I53" s="418">
        <v>80143</v>
      </c>
      <c r="J53" s="418">
        <v>80165</v>
      </c>
      <c r="K53" s="418">
        <v>80181</v>
      </c>
      <c r="L53" s="132">
        <v>80234</v>
      </c>
      <c r="M53" s="132">
        <v>80249</v>
      </c>
      <c r="N53" s="132">
        <v>80290</v>
      </c>
      <c r="O53" s="135">
        <v>80306</v>
      </c>
      <c r="P53" s="135">
        <v>80322</v>
      </c>
      <c r="Q53" s="132">
        <v>80338</v>
      </c>
      <c r="R53" s="132">
        <v>80354</v>
      </c>
      <c r="S53" s="135">
        <v>80370</v>
      </c>
      <c r="T53" s="132">
        <v>80385</v>
      </c>
      <c r="U53" s="132">
        <v>80401</v>
      </c>
      <c r="V53" s="132">
        <v>80416</v>
      </c>
      <c r="W53" s="135">
        <v>80433</v>
      </c>
      <c r="X53" s="132">
        <v>80451</v>
      </c>
      <c r="Y53" s="135">
        <v>80536</v>
      </c>
      <c r="Z53" s="132">
        <v>80632</v>
      </c>
      <c r="AA53" s="132">
        <v>80727</v>
      </c>
      <c r="AB53" s="132">
        <v>80831</v>
      </c>
      <c r="AC53" s="135">
        <v>80946</v>
      </c>
      <c r="AD53" s="132">
        <v>81012</v>
      </c>
      <c r="AE53" s="132">
        <v>81065</v>
      </c>
      <c r="AF53" s="132">
        <v>81183</v>
      </c>
      <c r="AG53" s="132">
        <v>81329</v>
      </c>
      <c r="AH53" s="132">
        <v>81455</v>
      </c>
      <c r="AI53" s="132"/>
      <c r="AJ53" s="283"/>
      <c r="AK53" s="111">
        <v>76576</v>
      </c>
      <c r="AL53" s="354">
        <v>73571</v>
      </c>
    </row>
    <row r="54" spans="1:224" s="203" customFormat="1" ht="36" customHeight="1" x14ac:dyDescent="0.2">
      <c r="A54" s="497" t="s">
        <v>137</v>
      </c>
      <c r="B54" s="236" t="s">
        <v>123</v>
      </c>
      <c r="C54" s="294">
        <v>0</v>
      </c>
      <c r="D54" s="420">
        <f t="shared" ref="D54:H56" si="23">D40-C40</f>
        <v>0</v>
      </c>
      <c r="E54" s="420">
        <f t="shared" si="23"/>
        <v>0</v>
      </c>
      <c r="F54" s="420">
        <f t="shared" si="23"/>
        <v>0</v>
      </c>
      <c r="G54" s="420">
        <f t="shared" si="23"/>
        <v>0</v>
      </c>
      <c r="H54" s="420">
        <f t="shared" si="23"/>
        <v>0</v>
      </c>
      <c r="I54" s="420">
        <f t="shared" ref="I54:AH56" si="24">I40-H40</f>
        <v>0</v>
      </c>
      <c r="J54" s="420">
        <f t="shared" si="24"/>
        <v>0</v>
      </c>
      <c r="K54" s="420">
        <f t="shared" si="24"/>
        <v>0</v>
      </c>
      <c r="L54" s="420">
        <f t="shared" si="24"/>
        <v>0</v>
      </c>
      <c r="M54" s="420">
        <f t="shared" si="24"/>
        <v>0</v>
      </c>
      <c r="N54" s="420">
        <f t="shared" si="24"/>
        <v>0</v>
      </c>
      <c r="O54" s="420">
        <f t="shared" si="24"/>
        <v>0</v>
      </c>
      <c r="P54" s="420">
        <f t="shared" si="24"/>
        <v>0</v>
      </c>
      <c r="Q54" s="420">
        <f t="shared" si="24"/>
        <v>0</v>
      </c>
      <c r="R54" s="420">
        <f t="shared" si="24"/>
        <v>0</v>
      </c>
      <c r="S54" s="420">
        <f t="shared" si="24"/>
        <v>0</v>
      </c>
      <c r="T54" s="420">
        <f t="shared" si="24"/>
        <v>0</v>
      </c>
      <c r="U54" s="420">
        <f t="shared" si="24"/>
        <v>0</v>
      </c>
      <c r="V54" s="420">
        <f t="shared" si="24"/>
        <v>0</v>
      </c>
      <c r="W54" s="420">
        <f t="shared" si="24"/>
        <v>0</v>
      </c>
      <c r="X54" s="420">
        <f t="shared" si="24"/>
        <v>0</v>
      </c>
      <c r="Y54" s="420">
        <f t="shared" si="24"/>
        <v>0</v>
      </c>
      <c r="Z54" s="420">
        <f t="shared" si="24"/>
        <v>0</v>
      </c>
      <c r="AA54" s="420">
        <f t="shared" si="24"/>
        <v>0</v>
      </c>
      <c r="AB54" s="420">
        <f t="shared" si="24"/>
        <v>0</v>
      </c>
      <c r="AC54" s="420">
        <f t="shared" si="24"/>
        <v>0</v>
      </c>
      <c r="AD54" s="420">
        <f t="shared" si="24"/>
        <v>0</v>
      </c>
      <c r="AE54" s="420">
        <f t="shared" si="24"/>
        <v>0</v>
      </c>
      <c r="AF54" s="420">
        <f t="shared" si="24"/>
        <v>0</v>
      </c>
      <c r="AG54" s="420">
        <f t="shared" si="24"/>
        <v>0</v>
      </c>
      <c r="AH54" s="420">
        <f t="shared" si="24"/>
        <v>0</v>
      </c>
      <c r="AI54" s="294"/>
      <c r="AJ54" s="202"/>
      <c r="AK54" s="111">
        <v>0</v>
      </c>
      <c r="AL54" s="111">
        <v>0</v>
      </c>
      <c r="AM54" s="111"/>
      <c r="AN54" s="111"/>
      <c r="AO54" s="111"/>
      <c r="AP54" s="111"/>
      <c r="AQ54" s="111"/>
      <c r="AR54" s="111"/>
      <c r="AS54" s="111"/>
      <c r="AT54" s="111"/>
      <c r="AU54" s="111"/>
      <c r="AV54" s="111"/>
      <c r="AW54" s="111"/>
      <c r="AX54" s="111"/>
      <c r="AY54" s="111"/>
      <c r="AZ54" s="111"/>
      <c r="BA54" s="111"/>
      <c r="BB54" s="111"/>
      <c r="BC54" s="111"/>
      <c r="BD54" s="111"/>
      <c r="BE54" s="111"/>
      <c r="BF54" s="111"/>
      <c r="BG54" s="111"/>
      <c r="BH54" s="111"/>
      <c r="BI54" s="111"/>
      <c r="BJ54" s="111"/>
      <c r="BK54" s="111"/>
      <c r="BL54" s="111"/>
      <c r="BM54" s="111"/>
      <c r="BN54" s="111"/>
      <c r="BO54" s="111"/>
      <c r="BP54" s="111"/>
      <c r="BQ54" s="111"/>
      <c r="BR54" s="111"/>
      <c r="BS54" s="111"/>
      <c r="BT54" s="111"/>
      <c r="BU54" s="111"/>
      <c r="BV54" s="111"/>
      <c r="BW54" s="111"/>
      <c r="BX54" s="111"/>
      <c r="BY54" s="111"/>
      <c r="BZ54" s="111"/>
      <c r="CA54" s="111"/>
      <c r="CB54" s="111"/>
      <c r="CC54" s="111"/>
      <c r="CD54" s="111"/>
      <c r="CE54" s="111"/>
      <c r="CF54" s="111"/>
      <c r="CG54" s="111"/>
      <c r="CH54" s="111"/>
      <c r="CI54" s="111"/>
      <c r="CJ54" s="111"/>
      <c r="CK54" s="111"/>
      <c r="CL54" s="111"/>
      <c r="CM54" s="111"/>
      <c r="CN54" s="111"/>
      <c r="CO54" s="111"/>
      <c r="CP54" s="111"/>
      <c r="CQ54" s="111"/>
      <c r="CR54" s="111"/>
      <c r="CS54" s="111"/>
      <c r="CT54" s="111"/>
      <c r="CU54" s="111"/>
      <c r="CV54" s="111"/>
      <c r="CW54" s="111"/>
      <c r="CX54" s="111"/>
      <c r="CY54" s="111"/>
      <c r="CZ54" s="111"/>
      <c r="DA54" s="111"/>
      <c r="DB54" s="111"/>
      <c r="DC54" s="111"/>
      <c r="DD54" s="111"/>
      <c r="DE54" s="111"/>
      <c r="DF54" s="111"/>
      <c r="DG54" s="111"/>
      <c r="DH54" s="111"/>
      <c r="DI54" s="111"/>
      <c r="DJ54" s="111"/>
      <c r="DK54" s="111"/>
      <c r="DL54" s="111"/>
      <c r="DM54" s="111"/>
      <c r="DN54" s="111"/>
      <c r="DO54" s="111"/>
      <c r="DP54" s="111"/>
      <c r="DQ54" s="111"/>
      <c r="DR54" s="111"/>
      <c r="DS54" s="111"/>
      <c r="DT54" s="111"/>
      <c r="DU54" s="111"/>
      <c r="DV54" s="111"/>
      <c r="DW54" s="111"/>
      <c r="DX54" s="111"/>
      <c r="DY54" s="111"/>
      <c r="DZ54" s="111"/>
      <c r="EA54" s="111"/>
      <c r="EB54" s="111"/>
      <c r="EC54" s="111"/>
      <c r="ED54" s="111"/>
      <c r="EE54" s="111"/>
      <c r="EF54" s="111"/>
      <c r="EG54" s="111"/>
      <c r="EH54" s="111"/>
      <c r="EI54" s="111"/>
      <c r="EJ54" s="111"/>
      <c r="EK54" s="111"/>
      <c r="EL54" s="111"/>
      <c r="EM54" s="111"/>
      <c r="EN54" s="111"/>
      <c r="EO54" s="111"/>
      <c r="EP54" s="111"/>
      <c r="EQ54" s="111"/>
      <c r="ER54" s="111"/>
      <c r="ES54" s="111"/>
      <c r="ET54" s="111"/>
      <c r="EU54" s="111"/>
      <c r="EV54" s="111"/>
      <c r="EW54" s="111"/>
      <c r="EX54" s="111"/>
      <c r="EY54" s="111"/>
      <c r="EZ54" s="111"/>
      <c r="FA54" s="111"/>
      <c r="FB54" s="111"/>
      <c r="FC54" s="111"/>
      <c r="FD54" s="111"/>
      <c r="FE54" s="111"/>
      <c r="FF54" s="111"/>
      <c r="FG54" s="111"/>
      <c r="FH54" s="111"/>
      <c r="FI54" s="111"/>
      <c r="FJ54" s="111"/>
      <c r="FK54" s="111"/>
      <c r="FL54" s="111"/>
      <c r="FM54" s="111"/>
      <c r="FN54" s="111"/>
      <c r="FO54" s="111"/>
      <c r="FP54" s="111"/>
      <c r="FQ54" s="111"/>
      <c r="FR54" s="111"/>
      <c r="FS54" s="111"/>
      <c r="FT54" s="111"/>
      <c r="FU54" s="111"/>
      <c r="FV54" s="111"/>
      <c r="FW54" s="111"/>
      <c r="FX54" s="111"/>
      <c r="FY54" s="111"/>
      <c r="FZ54" s="111"/>
      <c r="GA54" s="111"/>
      <c r="GB54" s="111"/>
      <c r="GC54" s="111"/>
      <c r="GD54" s="111"/>
      <c r="GE54" s="111"/>
      <c r="GF54" s="111"/>
      <c r="GG54" s="111"/>
      <c r="GH54" s="111"/>
      <c r="GI54" s="111"/>
      <c r="GJ54" s="111"/>
      <c r="GK54" s="111"/>
      <c r="GL54" s="111"/>
      <c r="GM54" s="111"/>
      <c r="GN54" s="111"/>
      <c r="GO54" s="111"/>
      <c r="GP54" s="111"/>
      <c r="GQ54" s="111"/>
      <c r="GR54" s="111"/>
      <c r="GS54" s="111"/>
      <c r="GT54" s="111"/>
      <c r="GU54" s="111"/>
      <c r="GV54" s="111"/>
      <c r="GW54" s="111"/>
      <c r="GX54" s="111"/>
      <c r="GY54" s="111"/>
      <c r="GZ54" s="111"/>
      <c r="HA54" s="111"/>
      <c r="HB54" s="111"/>
      <c r="HC54" s="111"/>
      <c r="HD54" s="111"/>
      <c r="HE54" s="111"/>
      <c r="HF54" s="111"/>
      <c r="HG54" s="111"/>
      <c r="HH54" s="111"/>
      <c r="HI54" s="111"/>
      <c r="HJ54" s="111"/>
      <c r="HK54" s="111"/>
      <c r="HL54" s="111"/>
      <c r="HM54" s="111"/>
      <c r="HN54" s="111"/>
      <c r="HO54" s="111"/>
      <c r="HP54" s="111"/>
    </row>
    <row r="55" spans="1:224" s="136" customFormat="1" ht="30" x14ac:dyDescent="0.2">
      <c r="A55" s="497"/>
      <c r="B55" s="137" t="s">
        <v>124</v>
      </c>
      <c r="C55" s="295">
        <v>3328</v>
      </c>
      <c r="D55" s="421">
        <f t="shared" si="23"/>
        <v>5312</v>
      </c>
      <c r="E55" s="421">
        <f t="shared" si="23"/>
        <v>3072</v>
      </c>
      <c r="F55" s="421">
        <f t="shared" si="23"/>
        <v>4664</v>
      </c>
      <c r="G55" s="421">
        <f t="shared" si="23"/>
        <v>6126</v>
      </c>
      <c r="H55" s="421">
        <f t="shared" si="23"/>
        <v>3770</v>
      </c>
      <c r="I55" s="421">
        <f t="shared" si="24"/>
        <v>5516</v>
      </c>
      <c r="J55" s="421">
        <f t="shared" ref="J55:AH55" si="25">J41-I41</f>
        <v>6908</v>
      </c>
      <c r="K55" s="421">
        <f t="shared" si="25"/>
        <v>5674</v>
      </c>
      <c r="L55" s="421">
        <f t="shared" si="25"/>
        <v>7458</v>
      </c>
      <c r="M55" s="421">
        <f t="shared" si="25"/>
        <v>7466</v>
      </c>
      <c r="N55" s="421">
        <f t="shared" si="25"/>
        <v>3876</v>
      </c>
      <c r="O55" s="421">
        <f t="shared" si="25"/>
        <v>7620</v>
      </c>
      <c r="P55" s="421">
        <f t="shared" si="25"/>
        <v>7788</v>
      </c>
      <c r="Q55" s="421">
        <f t="shared" si="25"/>
        <v>6158</v>
      </c>
      <c r="R55" s="421">
        <f t="shared" si="25"/>
        <v>8452</v>
      </c>
      <c r="S55" s="421">
        <f t="shared" si="25"/>
        <v>7412</v>
      </c>
      <c r="T55" s="421">
        <f t="shared" si="25"/>
        <v>7214</v>
      </c>
      <c r="U55" s="421">
        <f t="shared" si="25"/>
        <v>7068</v>
      </c>
      <c r="V55" s="421">
        <f t="shared" si="25"/>
        <v>8020</v>
      </c>
      <c r="W55" s="421">
        <f t="shared" si="25"/>
        <v>8370</v>
      </c>
      <c r="X55" s="421">
        <f t="shared" si="25"/>
        <v>8484</v>
      </c>
      <c r="Y55" s="421">
        <f t="shared" si="25"/>
        <v>5030</v>
      </c>
      <c r="Z55" s="421">
        <f t="shared" si="25"/>
        <v>5322</v>
      </c>
      <c r="AA55" s="421">
        <f t="shared" si="25"/>
        <v>8444</v>
      </c>
      <c r="AB55" s="421">
        <f t="shared" si="25"/>
        <v>7876</v>
      </c>
      <c r="AC55" s="421">
        <f t="shared" si="25"/>
        <v>7978</v>
      </c>
      <c r="AD55" s="421">
        <f t="shared" si="25"/>
        <v>8710</v>
      </c>
      <c r="AE55" s="421">
        <f t="shared" si="25"/>
        <v>8388</v>
      </c>
      <c r="AF55" s="421">
        <f t="shared" si="25"/>
        <v>7848</v>
      </c>
      <c r="AG55" s="421">
        <f t="shared" si="25"/>
        <v>3788</v>
      </c>
      <c r="AH55" s="421">
        <f t="shared" si="25"/>
        <v>6630</v>
      </c>
      <c r="AI55" s="295"/>
      <c r="AJ55" s="193"/>
      <c r="AK55" s="121">
        <v>5307</v>
      </c>
      <c r="AL55" s="121">
        <v>2298</v>
      </c>
      <c r="AM55" s="121"/>
      <c r="AN55" s="121"/>
      <c r="AO55" s="121"/>
      <c r="AP55" s="121"/>
      <c r="AQ55" s="121"/>
      <c r="AR55" s="121"/>
      <c r="AS55" s="121"/>
      <c r="AT55" s="121"/>
      <c r="AU55" s="121"/>
      <c r="AV55" s="121"/>
      <c r="AW55" s="121"/>
      <c r="AX55" s="121"/>
      <c r="AY55" s="121"/>
      <c r="AZ55" s="121"/>
      <c r="BA55" s="121"/>
      <c r="BB55" s="121"/>
      <c r="BC55" s="121"/>
      <c r="BD55" s="121"/>
      <c r="BE55" s="121"/>
      <c r="BF55" s="121"/>
      <c r="BG55" s="121"/>
      <c r="BH55" s="121"/>
      <c r="BI55" s="121"/>
      <c r="BJ55" s="121"/>
      <c r="BK55" s="121"/>
      <c r="BL55" s="121"/>
      <c r="BM55" s="121"/>
      <c r="BN55" s="121"/>
      <c r="BO55" s="121"/>
      <c r="BP55" s="121"/>
      <c r="BQ55" s="121"/>
      <c r="BR55" s="121"/>
      <c r="BS55" s="121"/>
      <c r="BT55" s="121"/>
      <c r="BU55" s="121"/>
      <c r="BV55" s="121"/>
      <c r="BW55" s="121"/>
      <c r="BX55" s="121"/>
      <c r="BY55" s="121"/>
      <c r="BZ55" s="121"/>
      <c r="CA55" s="121"/>
      <c r="CB55" s="121"/>
      <c r="CC55" s="121"/>
      <c r="CD55" s="121"/>
      <c r="CE55" s="121"/>
      <c r="CF55" s="121"/>
      <c r="CG55" s="121"/>
      <c r="CH55" s="121"/>
      <c r="CI55" s="121"/>
      <c r="CJ55" s="121"/>
      <c r="CK55" s="121"/>
      <c r="CL55" s="121"/>
      <c r="CM55" s="121"/>
      <c r="CN55" s="121"/>
      <c r="CO55" s="121"/>
      <c r="CP55" s="121"/>
      <c r="CQ55" s="121"/>
      <c r="CR55" s="121"/>
      <c r="CS55" s="121"/>
      <c r="CT55" s="121"/>
      <c r="CU55" s="121"/>
      <c r="CV55" s="121"/>
      <c r="CW55" s="121"/>
      <c r="CX55" s="121"/>
      <c r="CY55" s="121"/>
      <c r="CZ55" s="121"/>
      <c r="DA55" s="121"/>
      <c r="DB55" s="121"/>
      <c r="DC55" s="121"/>
      <c r="DD55" s="121"/>
      <c r="DE55" s="121"/>
      <c r="DF55" s="121"/>
      <c r="DG55" s="121"/>
      <c r="DH55" s="121"/>
      <c r="DI55" s="121"/>
      <c r="DJ55" s="121"/>
      <c r="DK55" s="121"/>
      <c r="DL55" s="121"/>
      <c r="DM55" s="121"/>
      <c r="DN55" s="121"/>
      <c r="DO55" s="121"/>
      <c r="DP55" s="121"/>
      <c r="DQ55" s="121"/>
      <c r="DR55" s="121"/>
      <c r="DS55" s="121"/>
      <c r="DT55" s="121"/>
      <c r="DU55" s="121"/>
      <c r="DV55" s="121"/>
      <c r="DW55" s="121"/>
      <c r="DX55" s="121"/>
      <c r="DY55" s="121"/>
      <c r="DZ55" s="121"/>
      <c r="EA55" s="121"/>
      <c r="EB55" s="121"/>
      <c r="EC55" s="121"/>
      <c r="ED55" s="121"/>
      <c r="EE55" s="121"/>
      <c r="EF55" s="121"/>
      <c r="EG55" s="121"/>
      <c r="EH55" s="121"/>
      <c r="EI55" s="121"/>
      <c r="EJ55" s="121"/>
      <c r="EK55" s="121"/>
      <c r="EL55" s="121"/>
      <c r="EM55" s="121"/>
      <c r="EN55" s="121"/>
      <c r="EO55" s="121"/>
      <c r="EP55" s="121"/>
      <c r="EQ55" s="121"/>
      <c r="ER55" s="121"/>
      <c r="ES55" s="121"/>
      <c r="ET55" s="121"/>
      <c r="EU55" s="121"/>
      <c r="EV55" s="121"/>
      <c r="EW55" s="121"/>
      <c r="EX55" s="121"/>
      <c r="EY55" s="121"/>
      <c r="EZ55" s="121"/>
      <c r="FA55" s="121"/>
      <c r="FB55" s="121"/>
      <c r="FC55" s="121"/>
      <c r="FD55" s="121"/>
      <c r="FE55" s="121"/>
      <c r="FF55" s="121"/>
      <c r="FG55" s="121"/>
      <c r="FH55" s="121"/>
      <c r="FI55" s="121"/>
      <c r="FJ55" s="121"/>
      <c r="FK55" s="121"/>
      <c r="FL55" s="121"/>
      <c r="FM55" s="121"/>
      <c r="FN55" s="121"/>
      <c r="FO55" s="121"/>
      <c r="FP55" s="121"/>
      <c r="FQ55" s="121"/>
      <c r="FR55" s="121"/>
      <c r="FS55" s="121"/>
      <c r="FT55" s="121"/>
      <c r="FU55" s="121"/>
      <c r="FV55" s="121"/>
      <c r="FW55" s="121"/>
      <c r="FX55" s="121"/>
      <c r="FY55" s="121"/>
      <c r="FZ55" s="121"/>
      <c r="GA55" s="121"/>
      <c r="GB55" s="121"/>
      <c r="GC55" s="121"/>
      <c r="GD55" s="121"/>
      <c r="GE55" s="121"/>
      <c r="GF55" s="121"/>
      <c r="GG55" s="121"/>
      <c r="GH55" s="121"/>
      <c r="GI55" s="121"/>
      <c r="GJ55" s="121"/>
      <c r="GK55" s="121"/>
      <c r="GL55" s="121"/>
      <c r="GM55" s="121"/>
      <c r="GN55" s="121"/>
      <c r="GO55" s="121"/>
      <c r="GP55" s="121"/>
      <c r="GQ55" s="121"/>
      <c r="GR55" s="121"/>
      <c r="GS55" s="121"/>
      <c r="GT55" s="121"/>
      <c r="GU55" s="121"/>
      <c r="GV55" s="121"/>
      <c r="GW55" s="121"/>
      <c r="GX55" s="121"/>
      <c r="GY55" s="121"/>
      <c r="GZ55" s="121"/>
      <c r="HA55" s="121"/>
      <c r="HB55" s="121"/>
      <c r="HC55" s="121"/>
      <c r="HD55" s="121"/>
      <c r="HE55" s="121"/>
      <c r="HF55" s="121"/>
      <c r="HG55" s="121"/>
      <c r="HH55" s="121"/>
      <c r="HI55" s="121"/>
      <c r="HJ55" s="121"/>
      <c r="HK55" s="121"/>
      <c r="HL55" s="121"/>
      <c r="HM55" s="121"/>
      <c r="HN55" s="121"/>
      <c r="HO55" s="121"/>
      <c r="HP55" s="121"/>
    </row>
    <row r="56" spans="1:224" s="136" customFormat="1" ht="34.5" customHeight="1" x14ac:dyDescent="0.2">
      <c r="A56" s="497"/>
      <c r="B56" s="138" t="s">
        <v>125</v>
      </c>
      <c r="C56" s="296">
        <v>4271</v>
      </c>
      <c r="D56" s="410">
        <f t="shared" si="23"/>
        <v>8887</v>
      </c>
      <c r="E56" s="410">
        <f t="shared" si="23"/>
        <v>7605</v>
      </c>
      <c r="F56" s="410">
        <f t="shared" si="23"/>
        <v>9325</v>
      </c>
      <c r="G56" s="410">
        <f t="shared" si="23"/>
        <v>10123</v>
      </c>
      <c r="H56" s="410">
        <f t="shared" si="23"/>
        <v>8481</v>
      </c>
      <c r="I56" s="410">
        <f t="shared" si="24"/>
        <v>9716</v>
      </c>
      <c r="J56" s="410">
        <f t="shared" si="24"/>
        <v>9938</v>
      </c>
      <c r="K56" s="410">
        <f t="shared" si="24"/>
        <v>7897</v>
      </c>
      <c r="L56" s="410">
        <f t="shared" si="24"/>
        <v>10119</v>
      </c>
      <c r="M56" s="410">
        <f t="shared" si="24"/>
        <v>10455</v>
      </c>
      <c r="N56" s="410">
        <f t="shared" si="24"/>
        <v>5215</v>
      </c>
      <c r="O56" s="410">
        <f t="shared" si="24"/>
        <v>9607</v>
      </c>
      <c r="P56" s="410">
        <f t="shared" si="24"/>
        <v>9909</v>
      </c>
      <c r="Q56" s="410">
        <f t="shared" si="24"/>
        <v>7640</v>
      </c>
      <c r="R56" s="410">
        <f t="shared" si="24"/>
        <v>9787</v>
      </c>
      <c r="S56" s="410">
        <f t="shared" si="24"/>
        <v>9017</v>
      </c>
      <c r="T56" s="410">
        <f t="shared" si="24"/>
        <v>8519</v>
      </c>
      <c r="U56" s="410">
        <f t="shared" si="24"/>
        <v>8970</v>
      </c>
      <c r="V56" s="410">
        <f t="shared" si="24"/>
        <v>9187</v>
      </c>
      <c r="W56" s="410">
        <f t="shared" si="24"/>
        <v>9761</v>
      </c>
      <c r="X56" s="410">
        <f t="shared" si="24"/>
        <v>10662</v>
      </c>
      <c r="Y56" s="410">
        <f t="shared" si="24"/>
        <v>6699</v>
      </c>
      <c r="Z56" s="410">
        <f t="shared" si="24"/>
        <v>7158</v>
      </c>
      <c r="AA56" s="410">
        <f t="shared" si="24"/>
        <v>10288</v>
      </c>
      <c r="AB56" s="410">
        <f t="shared" si="24"/>
        <v>10027</v>
      </c>
      <c r="AC56" s="410">
        <f t="shared" si="24"/>
        <v>9149</v>
      </c>
      <c r="AD56" s="410">
        <f t="shared" si="24"/>
        <v>8943</v>
      </c>
      <c r="AE56" s="410">
        <f t="shared" si="24"/>
        <v>12304</v>
      </c>
      <c r="AF56" s="410">
        <f t="shared" si="24"/>
        <v>10666</v>
      </c>
      <c r="AG56" s="410">
        <f t="shared" si="24"/>
        <v>5600</v>
      </c>
      <c r="AH56" s="410">
        <f t="shared" si="24"/>
        <v>8191</v>
      </c>
      <c r="AI56" s="296"/>
      <c r="AJ56" s="193"/>
      <c r="AK56" s="121">
        <v>8337</v>
      </c>
      <c r="AL56" s="121">
        <v>3923</v>
      </c>
      <c r="AM56" s="121"/>
      <c r="AN56" s="121"/>
      <c r="AO56" s="121"/>
      <c r="AP56" s="121"/>
      <c r="AQ56" s="121"/>
      <c r="AR56" s="121"/>
      <c r="AS56" s="121"/>
      <c r="AT56" s="121"/>
      <c r="AU56" s="121"/>
      <c r="AV56" s="121"/>
      <c r="AW56" s="121"/>
      <c r="AX56" s="121"/>
      <c r="AY56" s="121"/>
      <c r="AZ56" s="121"/>
      <c r="BA56" s="121"/>
      <c r="BB56" s="121"/>
      <c r="BC56" s="121"/>
      <c r="BD56" s="121"/>
      <c r="BE56" s="121"/>
      <c r="BF56" s="121"/>
      <c r="BG56" s="121"/>
      <c r="BH56" s="121"/>
      <c r="BI56" s="121"/>
      <c r="BJ56" s="121"/>
      <c r="BK56" s="121"/>
      <c r="BL56" s="121"/>
      <c r="BM56" s="121"/>
      <c r="BN56" s="121"/>
      <c r="BO56" s="121"/>
      <c r="BP56" s="121"/>
      <c r="BQ56" s="121"/>
      <c r="BR56" s="121"/>
      <c r="BS56" s="121"/>
      <c r="BT56" s="121"/>
      <c r="BU56" s="121"/>
      <c r="BV56" s="121"/>
      <c r="BW56" s="121"/>
      <c r="BX56" s="121"/>
      <c r="BY56" s="121"/>
      <c r="BZ56" s="121"/>
      <c r="CA56" s="121"/>
      <c r="CB56" s="121"/>
      <c r="CC56" s="121"/>
      <c r="CD56" s="121"/>
      <c r="CE56" s="121"/>
      <c r="CF56" s="121"/>
      <c r="CG56" s="121"/>
      <c r="CH56" s="121"/>
      <c r="CI56" s="121"/>
      <c r="CJ56" s="121"/>
      <c r="CK56" s="121"/>
      <c r="CL56" s="121"/>
      <c r="CM56" s="121"/>
      <c r="CN56" s="121"/>
      <c r="CO56" s="121"/>
      <c r="CP56" s="121"/>
      <c r="CQ56" s="121"/>
      <c r="CR56" s="121"/>
      <c r="CS56" s="121"/>
      <c r="CT56" s="121"/>
      <c r="CU56" s="121"/>
      <c r="CV56" s="121"/>
      <c r="CW56" s="121"/>
      <c r="CX56" s="121"/>
      <c r="CY56" s="121"/>
      <c r="CZ56" s="121"/>
      <c r="DA56" s="121"/>
      <c r="DB56" s="121"/>
      <c r="DC56" s="121"/>
      <c r="DD56" s="121"/>
      <c r="DE56" s="121"/>
      <c r="DF56" s="121"/>
      <c r="DG56" s="121"/>
      <c r="DH56" s="121"/>
      <c r="DI56" s="121"/>
      <c r="DJ56" s="121"/>
      <c r="DK56" s="121"/>
      <c r="DL56" s="121"/>
      <c r="DM56" s="121"/>
      <c r="DN56" s="121"/>
      <c r="DO56" s="121"/>
      <c r="DP56" s="121"/>
      <c r="DQ56" s="121"/>
      <c r="DR56" s="121"/>
      <c r="DS56" s="121"/>
      <c r="DT56" s="121"/>
      <c r="DU56" s="121"/>
      <c r="DV56" s="121"/>
      <c r="DW56" s="121"/>
      <c r="DX56" s="121"/>
      <c r="DY56" s="121"/>
      <c r="DZ56" s="121"/>
      <c r="EA56" s="121"/>
      <c r="EB56" s="121"/>
      <c r="EC56" s="121"/>
      <c r="ED56" s="121"/>
      <c r="EE56" s="121"/>
      <c r="EF56" s="121"/>
      <c r="EG56" s="121"/>
      <c r="EH56" s="121"/>
      <c r="EI56" s="121"/>
      <c r="EJ56" s="121"/>
      <c r="EK56" s="121"/>
      <c r="EL56" s="121"/>
      <c r="EM56" s="121"/>
      <c r="EN56" s="121"/>
      <c r="EO56" s="121"/>
      <c r="EP56" s="121"/>
      <c r="EQ56" s="121"/>
      <c r="ER56" s="121"/>
      <c r="ES56" s="121"/>
      <c r="ET56" s="121"/>
      <c r="EU56" s="121"/>
      <c r="EV56" s="121"/>
      <c r="EW56" s="121"/>
      <c r="EX56" s="121"/>
      <c r="EY56" s="121"/>
      <c r="EZ56" s="121"/>
      <c r="FA56" s="121"/>
      <c r="FB56" s="121"/>
      <c r="FC56" s="121"/>
      <c r="FD56" s="121"/>
      <c r="FE56" s="121"/>
      <c r="FF56" s="121"/>
      <c r="FG56" s="121"/>
      <c r="FH56" s="121"/>
      <c r="FI56" s="121"/>
      <c r="FJ56" s="121"/>
      <c r="FK56" s="121"/>
      <c r="FL56" s="121"/>
      <c r="FM56" s="121"/>
      <c r="FN56" s="121"/>
      <c r="FO56" s="121"/>
      <c r="FP56" s="121"/>
      <c r="FQ56" s="121"/>
      <c r="FR56" s="121"/>
      <c r="FS56" s="121"/>
      <c r="FT56" s="121"/>
      <c r="FU56" s="121"/>
      <c r="FV56" s="121"/>
      <c r="FW56" s="121"/>
      <c r="FX56" s="121"/>
      <c r="FY56" s="121"/>
      <c r="FZ56" s="121"/>
      <c r="GA56" s="121"/>
      <c r="GB56" s="121"/>
      <c r="GC56" s="121"/>
      <c r="GD56" s="121"/>
      <c r="GE56" s="121"/>
      <c r="GF56" s="121"/>
      <c r="GG56" s="121"/>
      <c r="GH56" s="121"/>
      <c r="GI56" s="121"/>
      <c r="GJ56" s="121"/>
      <c r="GK56" s="121"/>
      <c r="GL56" s="121"/>
      <c r="GM56" s="121"/>
      <c r="GN56" s="121"/>
      <c r="GO56" s="121"/>
      <c r="GP56" s="121"/>
      <c r="GQ56" s="121"/>
      <c r="GR56" s="121"/>
      <c r="GS56" s="121"/>
      <c r="GT56" s="121"/>
      <c r="GU56" s="121"/>
      <c r="GV56" s="121"/>
      <c r="GW56" s="121"/>
      <c r="GX56" s="121"/>
      <c r="GY56" s="121"/>
      <c r="GZ56" s="121"/>
      <c r="HA56" s="121"/>
      <c r="HB56" s="121"/>
      <c r="HC56" s="121"/>
      <c r="HD56" s="121"/>
      <c r="HE56" s="121"/>
      <c r="HF56" s="121"/>
      <c r="HG56" s="121"/>
      <c r="HH56" s="121"/>
      <c r="HI56" s="121"/>
      <c r="HJ56" s="121"/>
      <c r="HK56" s="121"/>
      <c r="HL56" s="121"/>
      <c r="HM56" s="121"/>
      <c r="HN56" s="121"/>
      <c r="HO56" s="121"/>
      <c r="HP56" s="121"/>
    </row>
    <row r="57" spans="1:224" s="136" customFormat="1" ht="34.5" customHeight="1" x14ac:dyDescent="0.2">
      <c r="A57" s="497"/>
      <c r="B57" s="243" t="s">
        <v>540</v>
      </c>
      <c r="C57" s="296"/>
      <c r="D57" s="410"/>
      <c r="E57" s="410">
        <f>IF((E59-E63-E67-E64)&lt;0,0,(E59-E63-E67-E64))</f>
        <v>0</v>
      </c>
      <c r="F57" s="410">
        <f t="shared" ref="F57:I57" si="26">IF((F59-F63-F67-F64)&lt;0,0,(F59-F63-F67-F64))</f>
        <v>0</v>
      </c>
      <c r="G57" s="410">
        <f t="shared" si="26"/>
        <v>0</v>
      </c>
      <c r="H57" s="410">
        <f t="shared" si="26"/>
        <v>0</v>
      </c>
      <c r="I57" s="410">
        <f t="shared" si="26"/>
        <v>0</v>
      </c>
      <c r="J57" s="410">
        <f t="shared" ref="J57:O57" si="27">IF((J59-J66-J67-J64)&lt;0,0,(J59-J66-J67-J64))</f>
        <v>2749</v>
      </c>
      <c r="K57" s="410">
        <f t="shared" si="27"/>
        <v>3076</v>
      </c>
      <c r="L57" s="410">
        <f t="shared" si="27"/>
        <v>3140</v>
      </c>
      <c r="M57" s="410">
        <f t="shared" si="27"/>
        <v>2952</v>
      </c>
      <c r="N57" s="410">
        <f t="shared" si="27"/>
        <v>3103</v>
      </c>
      <c r="O57" s="410">
        <f t="shared" si="27"/>
        <v>3331</v>
      </c>
      <c r="P57" s="410">
        <f t="shared" ref="P57:Q57" si="28">IF((P59-P66-P67-P64)&lt;0,0,(P59-P66-P67-P64))</f>
        <v>3566</v>
      </c>
      <c r="Q57" s="410">
        <f t="shared" si="28"/>
        <v>3245</v>
      </c>
      <c r="R57" s="410">
        <f t="shared" ref="R57:S57" si="29">IF((R59-R66-R67-R64)&lt;0,0,(R59-R66-R67-R64))</f>
        <v>3167</v>
      </c>
      <c r="S57" s="410">
        <f t="shared" si="29"/>
        <v>3486</v>
      </c>
      <c r="T57" s="410">
        <f t="shared" ref="T57:U57" si="30">IF((T59-T66-T67-T64)&lt;0,0,(T59-T66-T67-T64))</f>
        <v>3211</v>
      </c>
      <c r="U57" s="410">
        <f t="shared" si="30"/>
        <v>2983</v>
      </c>
      <c r="V57" s="410">
        <f t="shared" ref="V57" si="31">IF((V59-V66-V67-V64)&lt;0,0,(V59-V66-V67-V64))</f>
        <v>2885</v>
      </c>
      <c r="W57" s="410">
        <f t="shared" ref="W57:AB57" si="32">IF((W59-W66-W67-W64)&lt;0,0,(W59-W66-W67-W64))</f>
        <v>2927</v>
      </c>
      <c r="X57" s="410">
        <f t="shared" si="32"/>
        <v>1513</v>
      </c>
      <c r="Y57" s="410">
        <f t="shared" si="32"/>
        <v>2010</v>
      </c>
      <c r="Z57" s="410">
        <f t="shared" si="32"/>
        <v>2454</v>
      </c>
      <c r="AA57" s="410">
        <f t="shared" si="32"/>
        <v>2530</v>
      </c>
      <c r="AB57" s="410">
        <f t="shared" si="32"/>
        <v>1669</v>
      </c>
      <c r="AC57" s="410">
        <f t="shared" ref="AC57:AD57" si="33">IF((AC59-AC66-AC67-AC64)&lt;0,0,(AC59-AC66-AC67-AC64))</f>
        <v>2462</v>
      </c>
      <c r="AD57" s="410">
        <f t="shared" si="33"/>
        <v>2242</v>
      </c>
      <c r="AE57" s="410">
        <f t="shared" ref="AE57:AF57" si="34">IF((AE59-AE66-AE67-AE64)&lt;0,0,(AE59-AE66-AE67-AE64))</f>
        <v>917</v>
      </c>
      <c r="AF57" s="410">
        <f t="shared" si="34"/>
        <v>1327</v>
      </c>
      <c r="AG57" s="410">
        <f t="shared" ref="AG57:AH57" si="35">IF((AG59-AG66-AG67-AG64)&lt;0,0,(AG59-AG66-AG67-AG64))</f>
        <v>2081</v>
      </c>
      <c r="AH57" s="410">
        <f t="shared" si="35"/>
        <v>2332</v>
      </c>
      <c r="AI57" s="296"/>
      <c r="AJ57" s="193"/>
      <c r="AK57" s="121"/>
      <c r="AL57" s="121"/>
      <c r="AM57" s="121"/>
      <c r="AN57" s="121"/>
      <c r="AO57" s="121"/>
      <c r="AP57" s="121"/>
      <c r="AQ57" s="121"/>
      <c r="AR57" s="121"/>
      <c r="AS57" s="121"/>
      <c r="AT57" s="121"/>
      <c r="AU57" s="121"/>
      <c r="AV57" s="121"/>
      <c r="AW57" s="121"/>
      <c r="AX57" s="121"/>
      <c r="AY57" s="121"/>
      <c r="AZ57" s="121"/>
      <c r="BA57" s="121"/>
      <c r="BB57" s="121"/>
      <c r="BC57" s="121"/>
      <c r="BD57" s="121"/>
      <c r="BE57" s="121"/>
      <c r="BF57" s="121"/>
      <c r="BG57" s="121"/>
      <c r="BH57" s="121"/>
      <c r="BI57" s="121"/>
      <c r="BJ57" s="121"/>
      <c r="BK57" s="121"/>
      <c r="BL57" s="121"/>
      <c r="BM57" s="121"/>
      <c r="BN57" s="121"/>
      <c r="BO57" s="121"/>
      <c r="BP57" s="121"/>
      <c r="BQ57" s="121"/>
      <c r="BR57" s="121"/>
      <c r="BS57" s="121"/>
      <c r="BT57" s="121"/>
      <c r="BU57" s="121"/>
      <c r="BV57" s="121"/>
      <c r="BW57" s="121"/>
      <c r="BX57" s="121"/>
      <c r="BY57" s="121"/>
      <c r="BZ57" s="121"/>
      <c r="CA57" s="121"/>
      <c r="CB57" s="121"/>
      <c r="CC57" s="121"/>
      <c r="CD57" s="121"/>
      <c r="CE57" s="121"/>
      <c r="CF57" s="121"/>
      <c r="CG57" s="121"/>
      <c r="CH57" s="121"/>
      <c r="CI57" s="121"/>
      <c r="CJ57" s="121"/>
      <c r="CK57" s="121"/>
      <c r="CL57" s="121"/>
      <c r="CM57" s="121"/>
      <c r="CN57" s="121"/>
      <c r="CO57" s="121"/>
      <c r="CP57" s="121"/>
      <c r="CQ57" s="121"/>
      <c r="CR57" s="121"/>
      <c r="CS57" s="121"/>
      <c r="CT57" s="121"/>
      <c r="CU57" s="121"/>
      <c r="CV57" s="121"/>
      <c r="CW57" s="121"/>
      <c r="CX57" s="121"/>
      <c r="CY57" s="121"/>
      <c r="CZ57" s="121"/>
      <c r="DA57" s="121"/>
      <c r="DB57" s="121"/>
      <c r="DC57" s="121"/>
      <c r="DD57" s="121"/>
      <c r="DE57" s="121"/>
      <c r="DF57" s="121"/>
      <c r="DG57" s="121"/>
      <c r="DH57" s="121"/>
      <c r="DI57" s="121"/>
      <c r="DJ57" s="121"/>
      <c r="DK57" s="121"/>
      <c r="DL57" s="121"/>
      <c r="DM57" s="121"/>
      <c r="DN57" s="121"/>
      <c r="DO57" s="121"/>
      <c r="DP57" s="121"/>
      <c r="DQ57" s="121"/>
      <c r="DR57" s="121"/>
      <c r="DS57" s="121"/>
      <c r="DT57" s="121"/>
      <c r="DU57" s="121"/>
      <c r="DV57" s="121"/>
      <c r="DW57" s="121"/>
      <c r="DX57" s="121"/>
      <c r="DY57" s="121"/>
      <c r="DZ57" s="121"/>
      <c r="EA57" s="121"/>
      <c r="EB57" s="121"/>
      <c r="EC57" s="121"/>
      <c r="ED57" s="121"/>
      <c r="EE57" s="121"/>
      <c r="EF57" s="121"/>
      <c r="EG57" s="121"/>
      <c r="EH57" s="121"/>
      <c r="EI57" s="121"/>
      <c r="EJ57" s="121"/>
      <c r="EK57" s="121"/>
      <c r="EL57" s="121"/>
      <c r="EM57" s="121"/>
      <c r="EN57" s="121"/>
      <c r="EO57" s="121"/>
      <c r="EP57" s="121"/>
      <c r="EQ57" s="121"/>
      <c r="ER57" s="121"/>
      <c r="ES57" s="121"/>
      <c r="ET57" s="121"/>
      <c r="EU57" s="121"/>
      <c r="EV57" s="121"/>
      <c r="EW57" s="121"/>
      <c r="EX57" s="121"/>
      <c r="EY57" s="121"/>
      <c r="EZ57" s="121"/>
      <c r="FA57" s="121"/>
      <c r="FB57" s="121"/>
      <c r="FC57" s="121"/>
      <c r="FD57" s="121"/>
      <c r="FE57" s="121"/>
      <c r="FF57" s="121"/>
      <c r="FG57" s="121"/>
      <c r="FH57" s="121"/>
      <c r="FI57" s="121"/>
      <c r="FJ57" s="121"/>
      <c r="FK57" s="121"/>
      <c r="FL57" s="121"/>
      <c r="FM57" s="121"/>
      <c r="FN57" s="121"/>
      <c r="FO57" s="121"/>
      <c r="FP57" s="121"/>
      <c r="FQ57" s="121"/>
      <c r="FR57" s="121"/>
      <c r="FS57" s="121"/>
      <c r="FT57" s="121"/>
      <c r="FU57" s="121"/>
      <c r="FV57" s="121"/>
      <c r="FW57" s="121"/>
      <c r="FX57" s="121"/>
      <c r="FY57" s="121"/>
      <c r="FZ57" s="121"/>
      <c r="GA57" s="121"/>
      <c r="GB57" s="121"/>
      <c r="GC57" s="121"/>
      <c r="GD57" s="121"/>
      <c r="GE57" s="121"/>
      <c r="GF57" s="121"/>
      <c r="GG57" s="121"/>
      <c r="GH57" s="121"/>
      <c r="GI57" s="121"/>
      <c r="GJ57" s="121"/>
      <c r="GK57" s="121"/>
      <c r="GL57" s="121"/>
      <c r="GM57" s="121"/>
      <c r="GN57" s="121"/>
      <c r="GO57" s="121"/>
      <c r="GP57" s="121"/>
      <c r="GQ57" s="121"/>
      <c r="GR57" s="121"/>
      <c r="GS57" s="121"/>
      <c r="GT57" s="121"/>
      <c r="GU57" s="121"/>
      <c r="GV57" s="121"/>
      <c r="GW57" s="121"/>
      <c r="GX57" s="121"/>
      <c r="GY57" s="121"/>
      <c r="GZ57" s="121"/>
      <c r="HA57" s="121"/>
      <c r="HB57" s="121"/>
      <c r="HC57" s="121"/>
      <c r="HD57" s="121"/>
      <c r="HE57" s="121"/>
      <c r="HF57" s="121"/>
      <c r="HG57" s="121"/>
      <c r="HH57" s="121"/>
      <c r="HI57" s="121"/>
      <c r="HJ57" s="121"/>
      <c r="HK57" s="121"/>
      <c r="HL57" s="121"/>
      <c r="HM57" s="121"/>
      <c r="HN57" s="121"/>
      <c r="HO57" s="121"/>
      <c r="HP57" s="121"/>
    </row>
    <row r="58" spans="1:224" s="203" customFormat="1" ht="34.5" customHeight="1" x14ac:dyDescent="0.2">
      <c r="A58" s="497"/>
      <c r="B58" s="204" t="s">
        <v>126</v>
      </c>
      <c r="C58" s="294">
        <v>0</v>
      </c>
      <c r="D58" s="420">
        <f t="shared" ref="D58:AH60" si="36">D43-C43</f>
        <v>0</v>
      </c>
      <c r="E58" s="420">
        <f t="shared" si="36"/>
        <v>0</v>
      </c>
      <c r="F58" s="420">
        <f t="shared" si="36"/>
        <v>0</v>
      </c>
      <c r="G58" s="420">
        <f t="shared" si="36"/>
        <v>0</v>
      </c>
      <c r="H58" s="420">
        <f t="shared" si="36"/>
        <v>0</v>
      </c>
      <c r="I58" s="420">
        <f t="shared" si="36"/>
        <v>0</v>
      </c>
      <c r="J58" s="420">
        <f t="shared" si="36"/>
        <v>0</v>
      </c>
      <c r="K58" s="420">
        <f t="shared" si="36"/>
        <v>0</v>
      </c>
      <c r="L58" s="420">
        <f t="shared" si="36"/>
        <v>0</v>
      </c>
      <c r="M58" s="420">
        <f t="shared" si="36"/>
        <v>0</v>
      </c>
      <c r="N58" s="420">
        <f t="shared" si="36"/>
        <v>0</v>
      </c>
      <c r="O58" s="420">
        <f t="shared" si="36"/>
        <v>0</v>
      </c>
      <c r="P58" s="420">
        <f t="shared" si="36"/>
        <v>0</v>
      </c>
      <c r="Q58" s="420">
        <f t="shared" si="36"/>
        <v>0</v>
      </c>
      <c r="R58" s="420">
        <f t="shared" si="36"/>
        <v>0</v>
      </c>
      <c r="S58" s="420">
        <f t="shared" si="36"/>
        <v>0</v>
      </c>
      <c r="T58" s="420">
        <f t="shared" si="36"/>
        <v>0</v>
      </c>
      <c r="U58" s="420">
        <f t="shared" si="36"/>
        <v>0</v>
      </c>
      <c r="V58" s="420">
        <f t="shared" si="36"/>
        <v>0</v>
      </c>
      <c r="W58" s="420">
        <f t="shared" si="36"/>
        <v>0</v>
      </c>
      <c r="X58" s="420">
        <f t="shared" si="36"/>
        <v>0</v>
      </c>
      <c r="Y58" s="420">
        <f t="shared" si="36"/>
        <v>0</v>
      </c>
      <c r="Z58" s="420">
        <f t="shared" si="36"/>
        <v>0</v>
      </c>
      <c r="AA58" s="420">
        <f t="shared" si="36"/>
        <v>0</v>
      </c>
      <c r="AB58" s="420">
        <f t="shared" si="36"/>
        <v>0</v>
      </c>
      <c r="AC58" s="420">
        <f t="shared" si="36"/>
        <v>0</v>
      </c>
      <c r="AD58" s="420">
        <f t="shared" si="36"/>
        <v>0</v>
      </c>
      <c r="AE58" s="420">
        <f t="shared" si="36"/>
        <v>0</v>
      </c>
      <c r="AF58" s="420">
        <f t="shared" si="36"/>
        <v>0</v>
      </c>
      <c r="AG58" s="420">
        <f t="shared" si="36"/>
        <v>0</v>
      </c>
      <c r="AH58" s="420">
        <f t="shared" si="36"/>
        <v>0</v>
      </c>
      <c r="AI58" s="294"/>
      <c r="AJ58" s="205"/>
      <c r="AK58" s="111">
        <v>0</v>
      </c>
      <c r="AL58" s="111">
        <v>0</v>
      </c>
      <c r="AM58" s="111"/>
      <c r="AN58" s="111"/>
      <c r="AO58" s="111"/>
      <c r="AP58" s="111"/>
      <c r="AQ58" s="111"/>
      <c r="AR58" s="111"/>
      <c r="AS58" s="111"/>
      <c r="AT58" s="111"/>
      <c r="AU58" s="111"/>
      <c r="AV58" s="111"/>
      <c r="AW58" s="111"/>
      <c r="AX58" s="111"/>
      <c r="AY58" s="111"/>
      <c r="AZ58" s="111"/>
      <c r="BA58" s="111"/>
      <c r="BB58" s="111"/>
      <c r="BC58" s="111"/>
      <c r="BD58" s="111"/>
      <c r="BE58" s="111"/>
      <c r="BF58" s="111"/>
      <c r="BG58" s="111"/>
      <c r="BH58" s="111"/>
      <c r="BI58" s="111"/>
      <c r="BJ58" s="111"/>
      <c r="BK58" s="111"/>
      <c r="BL58" s="111"/>
      <c r="BM58" s="111"/>
      <c r="BN58" s="111"/>
      <c r="BO58" s="111"/>
      <c r="BP58" s="111"/>
      <c r="BQ58" s="111"/>
      <c r="BR58" s="111"/>
      <c r="BS58" s="111"/>
      <c r="BT58" s="111"/>
      <c r="BU58" s="111"/>
      <c r="BV58" s="111"/>
      <c r="BW58" s="111"/>
      <c r="BX58" s="111"/>
      <c r="BY58" s="111"/>
      <c r="BZ58" s="111"/>
      <c r="CA58" s="111"/>
      <c r="CB58" s="111"/>
      <c r="CC58" s="111"/>
      <c r="CD58" s="111"/>
      <c r="CE58" s="111"/>
      <c r="CF58" s="111"/>
      <c r="CG58" s="111"/>
      <c r="CH58" s="111"/>
      <c r="CI58" s="111"/>
      <c r="CJ58" s="111"/>
      <c r="CK58" s="111"/>
      <c r="CL58" s="111"/>
      <c r="CM58" s="111"/>
      <c r="CN58" s="111"/>
      <c r="CO58" s="111"/>
      <c r="CP58" s="111"/>
      <c r="CQ58" s="111"/>
      <c r="CR58" s="111"/>
      <c r="CS58" s="111"/>
      <c r="CT58" s="111"/>
      <c r="CU58" s="111"/>
      <c r="CV58" s="111"/>
      <c r="CW58" s="111"/>
      <c r="CX58" s="111"/>
      <c r="CY58" s="111"/>
      <c r="CZ58" s="111"/>
      <c r="DA58" s="111"/>
      <c r="DB58" s="111"/>
      <c r="DC58" s="111"/>
      <c r="DD58" s="111"/>
      <c r="DE58" s="111"/>
      <c r="DF58" s="111"/>
      <c r="DG58" s="111"/>
      <c r="DH58" s="111"/>
      <c r="DI58" s="111"/>
      <c r="DJ58" s="111"/>
      <c r="DK58" s="111"/>
      <c r="DL58" s="111"/>
      <c r="DM58" s="111"/>
      <c r="DN58" s="111"/>
      <c r="DO58" s="111"/>
      <c r="DP58" s="111"/>
      <c r="DQ58" s="111"/>
      <c r="DR58" s="111"/>
      <c r="DS58" s="111"/>
      <c r="DT58" s="111"/>
      <c r="DU58" s="111"/>
      <c r="DV58" s="111"/>
      <c r="DW58" s="111"/>
      <c r="DX58" s="111"/>
      <c r="DY58" s="111"/>
      <c r="DZ58" s="111"/>
      <c r="EA58" s="111"/>
      <c r="EB58" s="111"/>
      <c r="EC58" s="111"/>
      <c r="ED58" s="111"/>
      <c r="EE58" s="111"/>
      <c r="EF58" s="111"/>
      <c r="EG58" s="111"/>
      <c r="EH58" s="111"/>
      <c r="EI58" s="111"/>
      <c r="EJ58" s="111"/>
      <c r="EK58" s="111"/>
      <c r="EL58" s="111"/>
      <c r="EM58" s="111"/>
      <c r="EN58" s="111"/>
      <c r="EO58" s="111"/>
      <c r="EP58" s="111"/>
      <c r="EQ58" s="111"/>
      <c r="ER58" s="111"/>
      <c r="ES58" s="111"/>
      <c r="ET58" s="111"/>
      <c r="EU58" s="111"/>
      <c r="EV58" s="111"/>
      <c r="EW58" s="111"/>
      <c r="EX58" s="111"/>
      <c r="EY58" s="111"/>
      <c r="EZ58" s="111"/>
      <c r="FA58" s="111"/>
      <c r="FB58" s="111"/>
      <c r="FC58" s="111"/>
      <c r="FD58" s="111"/>
      <c r="FE58" s="111"/>
      <c r="FF58" s="111"/>
      <c r="FG58" s="111"/>
      <c r="FH58" s="111"/>
      <c r="FI58" s="111"/>
      <c r="FJ58" s="111"/>
      <c r="FK58" s="111"/>
      <c r="FL58" s="111"/>
      <c r="FM58" s="111"/>
      <c r="FN58" s="111"/>
      <c r="FO58" s="111"/>
      <c r="FP58" s="111"/>
      <c r="FQ58" s="111"/>
      <c r="FR58" s="111"/>
      <c r="FS58" s="111"/>
      <c r="FT58" s="111"/>
      <c r="FU58" s="111"/>
      <c r="FV58" s="111"/>
      <c r="FW58" s="111"/>
      <c r="FX58" s="111"/>
      <c r="FY58" s="111"/>
      <c r="FZ58" s="111"/>
      <c r="GA58" s="111"/>
      <c r="GB58" s="111"/>
      <c r="GC58" s="111"/>
      <c r="GD58" s="111"/>
      <c r="GE58" s="111"/>
      <c r="GF58" s="111"/>
      <c r="GG58" s="111"/>
      <c r="GH58" s="111"/>
      <c r="GI58" s="111"/>
      <c r="GJ58" s="111"/>
      <c r="GK58" s="111"/>
      <c r="GL58" s="111"/>
      <c r="GM58" s="111"/>
      <c r="GN58" s="111"/>
      <c r="GO58" s="111"/>
      <c r="GP58" s="111"/>
      <c r="GQ58" s="111"/>
      <c r="GR58" s="111"/>
      <c r="GS58" s="111"/>
      <c r="GT58" s="111"/>
      <c r="GU58" s="111"/>
      <c r="GV58" s="111"/>
      <c r="GW58" s="111"/>
      <c r="GX58" s="111"/>
      <c r="GY58" s="111"/>
      <c r="GZ58" s="111"/>
      <c r="HA58" s="111"/>
      <c r="HB58" s="111"/>
      <c r="HC58" s="111"/>
      <c r="HD58" s="111"/>
      <c r="HE58" s="111"/>
      <c r="HF58" s="111"/>
      <c r="HG58" s="111"/>
      <c r="HH58" s="111"/>
      <c r="HI58" s="111"/>
      <c r="HJ58" s="111"/>
      <c r="HK58" s="111"/>
      <c r="HL58" s="111"/>
      <c r="HM58" s="111"/>
      <c r="HN58" s="111"/>
      <c r="HO58" s="111"/>
      <c r="HP58" s="111"/>
    </row>
    <row r="59" spans="1:224" s="136" customFormat="1" ht="34.5" customHeight="1" x14ac:dyDescent="0.2">
      <c r="A59" s="497"/>
      <c r="B59" s="137" t="s">
        <v>127</v>
      </c>
      <c r="C59" s="295">
        <v>4362</v>
      </c>
      <c r="D59" s="421">
        <f t="shared" si="36"/>
        <v>2472</v>
      </c>
      <c r="E59" s="421">
        <f t="shared" si="36"/>
        <v>2442</v>
      </c>
      <c r="F59" s="421">
        <f t="shared" si="36"/>
        <v>2475</v>
      </c>
      <c r="G59" s="421">
        <f t="shared" si="36"/>
        <v>2749</v>
      </c>
      <c r="H59" s="421">
        <f t="shared" si="36"/>
        <v>2529</v>
      </c>
      <c r="I59" s="421">
        <f t="shared" si="36"/>
        <v>2641</v>
      </c>
      <c r="J59" s="421">
        <f t="shared" si="36"/>
        <v>4548</v>
      </c>
      <c r="K59" s="421">
        <f t="shared" si="36"/>
        <v>4791</v>
      </c>
      <c r="L59" s="421">
        <f t="shared" si="36"/>
        <v>4642</v>
      </c>
      <c r="M59" s="421">
        <f t="shared" si="36"/>
        <v>4455</v>
      </c>
      <c r="N59" s="421">
        <f t="shared" si="36"/>
        <v>5331</v>
      </c>
      <c r="O59" s="421">
        <f t="shared" si="36"/>
        <v>5106</v>
      </c>
      <c r="P59" s="421">
        <f t="shared" si="36"/>
        <v>5002</v>
      </c>
      <c r="Q59" s="421">
        <f t="shared" si="36"/>
        <v>5213</v>
      </c>
      <c r="R59" s="421">
        <f t="shared" si="36"/>
        <v>4842</v>
      </c>
      <c r="S59" s="421">
        <f t="shared" si="36"/>
        <v>5003</v>
      </c>
      <c r="T59" s="421">
        <f t="shared" si="36"/>
        <v>4746</v>
      </c>
      <c r="U59" s="421">
        <f t="shared" si="36"/>
        <v>4388</v>
      </c>
      <c r="V59" s="421">
        <f t="shared" si="36"/>
        <v>4295</v>
      </c>
      <c r="W59" s="421">
        <f t="shared" si="36"/>
        <v>4510</v>
      </c>
      <c r="X59" s="421">
        <f t="shared" si="36"/>
        <v>3488</v>
      </c>
      <c r="Y59" s="421">
        <f t="shared" si="36"/>
        <v>3951</v>
      </c>
      <c r="Z59" s="421">
        <f t="shared" si="36"/>
        <v>4315</v>
      </c>
      <c r="AA59" s="421">
        <f t="shared" si="36"/>
        <v>4268</v>
      </c>
      <c r="AB59" s="421">
        <f t="shared" si="36"/>
        <v>4487</v>
      </c>
      <c r="AC59" s="421">
        <f t="shared" si="36"/>
        <v>4570</v>
      </c>
      <c r="AD59" s="421">
        <f t="shared" si="36"/>
        <v>4192</v>
      </c>
      <c r="AE59" s="421">
        <f t="shared" si="36"/>
        <v>3148</v>
      </c>
      <c r="AF59" s="421">
        <f t="shared" si="36"/>
        <v>3193</v>
      </c>
      <c r="AG59" s="421">
        <f t="shared" si="36"/>
        <v>4286</v>
      </c>
      <c r="AH59" s="421">
        <f t="shared" si="36"/>
        <v>4424</v>
      </c>
      <c r="AI59" s="295"/>
      <c r="AJ59" s="193"/>
      <c r="AK59" s="121">
        <v>3723</v>
      </c>
      <c r="AL59" s="121">
        <v>4776</v>
      </c>
      <c r="AM59" s="121"/>
      <c r="AN59" s="121"/>
      <c r="AO59" s="121"/>
      <c r="AP59" s="121"/>
      <c r="AQ59" s="121"/>
      <c r="AR59" s="121"/>
      <c r="AS59" s="121"/>
      <c r="AT59" s="121"/>
      <c r="AU59" s="121"/>
      <c r="AV59" s="121"/>
      <c r="AW59" s="121"/>
      <c r="AX59" s="121"/>
      <c r="AY59" s="121"/>
      <c r="AZ59" s="121"/>
      <c r="BA59" s="121"/>
      <c r="BB59" s="121"/>
      <c r="BC59" s="121"/>
      <c r="BD59" s="121"/>
      <c r="BE59" s="121"/>
      <c r="BF59" s="121"/>
      <c r="BG59" s="121"/>
      <c r="BH59" s="121"/>
      <c r="BI59" s="121"/>
      <c r="BJ59" s="121"/>
      <c r="BK59" s="121"/>
      <c r="BL59" s="121"/>
      <c r="BM59" s="121"/>
      <c r="BN59" s="121"/>
      <c r="BO59" s="121"/>
      <c r="BP59" s="121"/>
      <c r="BQ59" s="121"/>
      <c r="BR59" s="121"/>
      <c r="BS59" s="121"/>
      <c r="BT59" s="121"/>
      <c r="BU59" s="121"/>
      <c r="BV59" s="121"/>
      <c r="BW59" s="121"/>
      <c r="BX59" s="121"/>
      <c r="BY59" s="121"/>
      <c r="BZ59" s="121"/>
      <c r="CA59" s="121"/>
      <c r="CB59" s="121"/>
      <c r="CC59" s="121"/>
      <c r="CD59" s="121"/>
      <c r="CE59" s="121"/>
      <c r="CF59" s="121"/>
      <c r="CG59" s="121"/>
      <c r="CH59" s="121"/>
      <c r="CI59" s="121"/>
      <c r="CJ59" s="121"/>
      <c r="CK59" s="121"/>
      <c r="CL59" s="121"/>
      <c r="CM59" s="121"/>
      <c r="CN59" s="121"/>
      <c r="CO59" s="121"/>
      <c r="CP59" s="121"/>
      <c r="CQ59" s="121"/>
      <c r="CR59" s="121"/>
      <c r="CS59" s="121"/>
      <c r="CT59" s="121"/>
      <c r="CU59" s="121"/>
      <c r="CV59" s="121"/>
      <c r="CW59" s="121"/>
      <c r="CX59" s="121"/>
      <c r="CY59" s="121"/>
      <c r="CZ59" s="121"/>
      <c r="DA59" s="121"/>
      <c r="DB59" s="121"/>
      <c r="DC59" s="121"/>
      <c r="DD59" s="121"/>
      <c r="DE59" s="121"/>
      <c r="DF59" s="121"/>
      <c r="DG59" s="121"/>
      <c r="DH59" s="121"/>
      <c r="DI59" s="121"/>
      <c r="DJ59" s="121"/>
      <c r="DK59" s="121"/>
      <c r="DL59" s="121"/>
      <c r="DM59" s="121"/>
      <c r="DN59" s="121"/>
      <c r="DO59" s="121"/>
      <c r="DP59" s="121"/>
      <c r="DQ59" s="121"/>
      <c r="DR59" s="121"/>
      <c r="DS59" s="121"/>
      <c r="DT59" s="121"/>
      <c r="DU59" s="121"/>
      <c r="DV59" s="121"/>
      <c r="DW59" s="121"/>
      <c r="DX59" s="121"/>
      <c r="DY59" s="121"/>
      <c r="DZ59" s="121"/>
      <c r="EA59" s="121"/>
      <c r="EB59" s="121"/>
      <c r="EC59" s="121"/>
      <c r="ED59" s="121"/>
      <c r="EE59" s="121"/>
      <c r="EF59" s="121"/>
      <c r="EG59" s="121"/>
      <c r="EH59" s="121"/>
      <c r="EI59" s="121"/>
      <c r="EJ59" s="121"/>
      <c r="EK59" s="121"/>
      <c r="EL59" s="121"/>
      <c r="EM59" s="121"/>
      <c r="EN59" s="121"/>
      <c r="EO59" s="121"/>
      <c r="EP59" s="121"/>
      <c r="EQ59" s="121"/>
      <c r="ER59" s="121"/>
      <c r="ES59" s="121"/>
      <c r="ET59" s="121"/>
      <c r="EU59" s="121"/>
      <c r="EV59" s="121"/>
      <c r="EW59" s="121"/>
      <c r="EX59" s="121"/>
      <c r="EY59" s="121"/>
      <c r="EZ59" s="121"/>
      <c r="FA59" s="121"/>
      <c r="FB59" s="121"/>
      <c r="FC59" s="121"/>
      <c r="FD59" s="121"/>
      <c r="FE59" s="121"/>
      <c r="FF59" s="121"/>
      <c r="FG59" s="121"/>
      <c r="FH59" s="121"/>
      <c r="FI59" s="121"/>
      <c r="FJ59" s="121"/>
      <c r="FK59" s="121"/>
      <c r="FL59" s="121"/>
      <c r="FM59" s="121"/>
      <c r="FN59" s="121"/>
      <c r="FO59" s="121"/>
      <c r="FP59" s="121"/>
      <c r="FQ59" s="121"/>
      <c r="FR59" s="121"/>
      <c r="FS59" s="121"/>
      <c r="FT59" s="121"/>
      <c r="FU59" s="121"/>
      <c r="FV59" s="121"/>
      <c r="FW59" s="121"/>
      <c r="FX59" s="121"/>
      <c r="FY59" s="121"/>
      <c r="FZ59" s="121"/>
      <c r="GA59" s="121"/>
      <c r="GB59" s="121"/>
      <c r="GC59" s="121"/>
      <c r="GD59" s="121"/>
      <c r="GE59" s="121"/>
      <c r="GF59" s="121"/>
      <c r="GG59" s="121"/>
      <c r="GH59" s="121"/>
      <c r="GI59" s="121"/>
      <c r="GJ59" s="121"/>
      <c r="GK59" s="121"/>
      <c r="GL59" s="121"/>
      <c r="GM59" s="121"/>
      <c r="GN59" s="121"/>
      <c r="GO59" s="121"/>
      <c r="GP59" s="121"/>
      <c r="GQ59" s="121"/>
      <c r="GR59" s="121"/>
      <c r="GS59" s="121"/>
      <c r="GT59" s="121"/>
      <c r="GU59" s="121"/>
      <c r="GV59" s="121"/>
      <c r="GW59" s="121"/>
      <c r="GX59" s="121"/>
      <c r="GY59" s="121"/>
      <c r="GZ59" s="121"/>
      <c r="HA59" s="121"/>
      <c r="HB59" s="121"/>
      <c r="HC59" s="121"/>
      <c r="HD59" s="121"/>
      <c r="HE59" s="121"/>
      <c r="HF59" s="121"/>
      <c r="HG59" s="121"/>
      <c r="HH59" s="121"/>
      <c r="HI59" s="121"/>
      <c r="HJ59" s="121"/>
      <c r="HK59" s="121"/>
      <c r="HL59" s="121"/>
      <c r="HM59" s="121"/>
      <c r="HN59" s="121"/>
      <c r="HO59" s="121"/>
      <c r="HP59" s="121"/>
    </row>
    <row r="60" spans="1:224" s="136" customFormat="1" ht="36" customHeight="1" x14ac:dyDescent="0.2">
      <c r="A60" s="497"/>
      <c r="B60" s="138" t="s">
        <v>128</v>
      </c>
      <c r="C60" s="297">
        <v>5017</v>
      </c>
      <c r="D60" s="422">
        <f t="shared" si="36"/>
        <v>4174</v>
      </c>
      <c r="E60" s="422">
        <f t="shared" si="36"/>
        <v>4690</v>
      </c>
      <c r="F60" s="422">
        <f t="shared" si="36"/>
        <v>5548</v>
      </c>
      <c r="G60" s="422">
        <f t="shared" si="36"/>
        <v>4946</v>
      </c>
      <c r="H60" s="422">
        <f t="shared" si="36"/>
        <v>5394</v>
      </c>
      <c r="I60" s="422">
        <f t="shared" si="36"/>
        <v>5408</v>
      </c>
      <c r="J60" s="422">
        <f t="shared" si="36"/>
        <v>3084</v>
      </c>
      <c r="K60" s="422">
        <f t="shared" si="36"/>
        <v>2300</v>
      </c>
      <c r="L60" s="422">
        <f t="shared" si="36"/>
        <v>2592</v>
      </c>
      <c r="M60" s="422">
        <f t="shared" si="36"/>
        <v>3298</v>
      </c>
      <c r="N60" s="422">
        <f t="shared" si="36"/>
        <v>1408</v>
      </c>
      <c r="O60" s="422">
        <f t="shared" si="36"/>
        <v>2268</v>
      </c>
      <c r="P60" s="422">
        <f t="shared" si="36"/>
        <v>2222</v>
      </c>
      <c r="Q60" s="422">
        <f t="shared" si="36"/>
        <v>1650</v>
      </c>
      <c r="R60" s="422">
        <f t="shared" si="36"/>
        <v>1372</v>
      </c>
      <c r="S60" s="422">
        <f t="shared" si="36"/>
        <v>2040</v>
      </c>
      <c r="T60" s="422">
        <f t="shared" si="36"/>
        <v>2324</v>
      </c>
      <c r="U60" s="422">
        <f t="shared" si="36"/>
        <v>2168</v>
      </c>
      <c r="V60" s="422">
        <f t="shared" si="36"/>
        <v>2620</v>
      </c>
      <c r="W60" s="422">
        <f t="shared" si="36"/>
        <v>1758</v>
      </c>
      <c r="X60" s="422">
        <f t="shared" ref="X60:AH60" si="37">X45-W45</f>
        <v>3182</v>
      </c>
      <c r="Y60" s="422">
        <f t="shared" si="37"/>
        <v>2190</v>
      </c>
      <c r="Z60" s="422">
        <f t="shared" si="37"/>
        <v>2158</v>
      </c>
      <c r="AA60" s="422">
        <f t="shared" si="37"/>
        <v>2418</v>
      </c>
      <c r="AB60" s="422">
        <f t="shared" si="37"/>
        <v>3158</v>
      </c>
      <c r="AC60" s="422">
        <f t="shared" si="37"/>
        <v>2514</v>
      </c>
      <c r="AD60" s="422">
        <f t="shared" si="37"/>
        <v>1588</v>
      </c>
      <c r="AE60" s="422">
        <f t="shared" si="37"/>
        <v>4190</v>
      </c>
      <c r="AF60" s="422">
        <f t="shared" si="37"/>
        <v>3544</v>
      </c>
      <c r="AG60" s="422">
        <f t="shared" si="37"/>
        <v>2004</v>
      </c>
      <c r="AH60" s="422">
        <f t="shared" si="37"/>
        <v>2130</v>
      </c>
      <c r="AI60" s="297"/>
      <c r="AJ60" s="193"/>
      <c r="AK60" s="121">
        <v>700</v>
      </c>
      <c r="AL60" s="121">
        <v>2556</v>
      </c>
      <c r="AM60" s="121"/>
      <c r="AN60" s="121"/>
      <c r="AO60" s="121"/>
      <c r="AP60" s="121"/>
      <c r="AQ60" s="121"/>
      <c r="AR60" s="121"/>
      <c r="AS60" s="121"/>
      <c r="AT60" s="121"/>
      <c r="AU60" s="121"/>
      <c r="AV60" s="121"/>
      <c r="AW60" s="121"/>
      <c r="AX60" s="121"/>
      <c r="AY60" s="121"/>
      <c r="AZ60" s="121"/>
      <c r="BA60" s="121"/>
      <c r="BB60" s="121"/>
      <c r="BC60" s="121"/>
      <c r="BD60" s="121"/>
      <c r="BE60" s="121"/>
      <c r="BF60" s="121"/>
      <c r="BG60" s="121"/>
      <c r="BH60" s="121"/>
      <c r="BI60" s="121"/>
      <c r="BJ60" s="121"/>
      <c r="BK60" s="121"/>
      <c r="BL60" s="121"/>
      <c r="BM60" s="121"/>
      <c r="BN60" s="121"/>
      <c r="BO60" s="121"/>
      <c r="BP60" s="121"/>
      <c r="BQ60" s="121"/>
      <c r="BR60" s="121"/>
      <c r="BS60" s="121"/>
      <c r="BT60" s="121"/>
      <c r="BU60" s="121"/>
      <c r="BV60" s="121"/>
      <c r="BW60" s="121"/>
      <c r="BX60" s="121"/>
      <c r="BY60" s="121"/>
      <c r="BZ60" s="121"/>
      <c r="CA60" s="121"/>
      <c r="CB60" s="121"/>
      <c r="CC60" s="121"/>
      <c r="CD60" s="121"/>
      <c r="CE60" s="121"/>
      <c r="CF60" s="121"/>
      <c r="CG60" s="121"/>
      <c r="CH60" s="121"/>
      <c r="CI60" s="121"/>
      <c r="CJ60" s="121"/>
      <c r="CK60" s="121"/>
      <c r="CL60" s="121"/>
      <c r="CM60" s="121"/>
      <c r="CN60" s="121"/>
      <c r="CO60" s="121"/>
      <c r="CP60" s="121"/>
      <c r="CQ60" s="121"/>
      <c r="CR60" s="121"/>
      <c r="CS60" s="121"/>
      <c r="CT60" s="121"/>
      <c r="CU60" s="121"/>
      <c r="CV60" s="121"/>
      <c r="CW60" s="121"/>
      <c r="CX60" s="121"/>
      <c r="CY60" s="121"/>
      <c r="CZ60" s="121"/>
      <c r="DA60" s="121"/>
      <c r="DB60" s="121"/>
      <c r="DC60" s="121"/>
      <c r="DD60" s="121"/>
      <c r="DE60" s="121"/>
      <c r="DF60" s="121"/>
      <c r="DG60" s="121"/>
      <c r="DH60" s="121"/>
      <c r="DI60" s="121"/>
      <c r="DJ60" s="121"/>
      <c r="DK60" s="121"/>
      <c r="DL60" s="121"/>
      <c r="DM60" s="121"/>
      <c r="DN60" s="121"/>
      <c r="DO60" s="121"/>
      <c r="DP60" s="121"/>
      <c r="DQ60" s="121"/>
      <c r="DR60" s="121"/>
      <c r="DS60" s="121"/>
      <c r="DT60" s="121"/>
      <c r="DU60" s="121"/>
      <c r="DV60" s="121"/>
      <c r="DW60" s="121"/>
      <c r="DX60" s="121"/>
      <c r="DY60" s="121"/>
      <c r="DZ60" s="121"/>
      <c r="EA60" s="121"/>
      <c r="EB60" s="121"/>
      <c r="EC60" s="121"/>
      <c r="ED60" s="121"/>
      <c r="EE60" s="121"/>
      <c r="EF60" s="121"/>
      <c r="EG60" s="121"/>
      <c r="EH60" s="121"/>
      <c r="EI60" s="121"/>
      <c r="EJ60" s="121"/>
      <c r="EK60" s="121"/>
      <c r="EL60" s="121"/>
      <c r="EM60" s="121"/>
      <c r="EN60" s="121"/>
      <c r="EO60" s="121"/>
      <c r="EP60" s="121"/>
      <c r="EQ60" s="121"/>
      <c r="ER60" s="121"/>
      <c r="ES60" s="121"/>
      <c r="ET60" s="121"/>
      <c r="EU60" s="121"/>
      <c r="EV60" s="121"/>
      <c r="EW60" s="121"/>
      <c r="EX60" s="121"/>
      <c r="EY60" s="121"/>
      <c r="EZ60" s="121"/>
      <c r="FA60" s="121"/>
      <c r="FB60" s="121"/>
      <c r="FC60" s="121"/>
      <c r="FD60" s="121"/>
      <c r="FE60" s="121"/>
      <c r="FF60" s="121"/>
      <c r="FG60" s="121"/>
      <c r="FH60" s="121"/>
      <c r="FI60" s="121"/>
      <c r="FJ60" s="121"/>
      <c r="FK60" s="121"/>
      <c r="FL60" s="121"/>
      <c r="FM60" s="121"/>
      <c r="FN60" s="121"/>
      <c r="FO60" s="121"/>
      <c r="FP60" s="121"/>
      <c r="FQ60" s="121"/>
      <c r="FR60" s="121"/>
      <c r="FS60" s="121"/>
      <c r="FT60" s="121"/>
      <c r="FU60" s="121"/>
      <c r="FV60" s="121"/>
      <c r="FW60" s="121"/>
      <c r="FX60" s="121"/>
      <c r="FY60" s="121"/>
      <c r="FZ60" s="121"/>
      <c r="GA60" s="121"/>
      <c r="GB60" s="121"/>
      <c r="GC60" s="121"/>
      <c r="GD60" s="121"/>
      <c r="GE60" s="121"/>
      <c r="GF60" s="121"/>
      <c r="GG60" s="121"/>
      <c r="GH60" s="121"/>
      <c r="GI60" s="121"/>
      <c r="GJ60" s="121"/>
      <c r="GK60" s="121"/>
      <c r="GL60" s="121"/>
      <c r="GM60" s="121"/>
      <c r="GN60" s="121"/>
      <c r="GO60" s="121"/>
      <c r="GP60" s="121"/>
      <c r="GQ60" s="121"/>
      <c r="GR60" s="121"/>
      <c r="GS60" s="121"/>
      <c r="GT60" s="121"/>
      <c r="GU60" s="121"/>
      <c r="GV60" s="121"/>
      <c r="GW60" s="121"/>
      <c r="GX60" s="121"/>
      <c r="GY60" s="121"/>
      <c r="GZ60" s="121"/>
      <c r="HA60" s="121"/>
      <c r="HB60" s="121"/>
      <c r="HC60" s="121"/>
      <c r="HD60" s="121"/>
      <c r="HE60" s="121"/>
      <c r="HF60" s="121"/>
      <c r="HG60" s="121"/>
      <c r="HH60" s="121"/>
      <c r="HI60" s="121"/>
      <c r="HJ60" s="121"/>
      <c r="HK60" s="121"/>
      <c r="HL60" s="121"/>
      <c r="HM60" s="121"/>
      <c r="HN60" s="121"/>
      <c r="HO60" s="121"/>
      <c r="HP60" s="121"/>
    </row>
    <row r="61" spans="1:224" s="136" customFormat="1" ht="36" customHeight="1" x14ac:dyDescent="0.2">
      <c r="A61" s="497"/>
      <c r="B61" s="402" t="s">
        <v>154</v>
      </c>
      <c r="C61" s="403"/>
      <c r="D61" s="423">
        <f t="shared" ref="D61:K61" si="38">SUM(D60,D55)-D56</f>
        <v>599</v>
      </c>
      <c r="E61" s="423">
        <f t="shared" si="38"/>
        <v>157</v>
      </c>
      <c r="F61" s="423">
        <f t="shared" si="38"/>
        <v>887</v>
      </c>
      <c r="G61" s="423">
        <f t="shared" si="38"/>
        <v>949</v>
      </c>
      <c r="H61" s="423">
        <f t="shared" si="38"/>
        <v>683</v>
      </c>
      <c r="I61" s="423">
        <f t="shared" si="38"/>
        <v>1208</v>
      </c>
      <c r="J61" s="423">
        <f t="shared" si="38"/>
        <v>54</v>
      </c>
      <c r="K61" s="423">
        <f t="shared" si="38"/>
        <v>77</v>
      </c>
      <c r="L61" s="423">
        <f t="shared" ref="L61:M61" si="39">SUM(L60,L55)-L56</f>
        <v>-69</v>
      </c>
      <c r="M61" s="423">
        <f t="shared" si="39"/>
        <v>309</v>
      </c>
      <c r="N61" s="423">
        <f t="shared" ref="N61:O61" si="40">SUM(N60,N55)-N56</f>
        <v>69</v>
      </c>
      <c r="O61" s="423">
        <f t="shared" si="40"/>
        <v>281</v>
      </c>
      <c r="P61" s="423">
        <f t="shared" ref="P61:Q61" si="41">SUM(P60,P55)-P56</f>
        <v>101</v>
      </c>
      <c r="Q61" s="423">
        <f t="shared" si="41"/>
        <v>168</v>
      </c>
      <c r="R61" s="423">
        <f t="shared" ref="R61:S61" si="42">SUM(R60,R55)-R56</f>
        <v>37</v>
      </c>
      <c r="S61" s="423">
        <f t="shared" si="42"/>
        <v>435</v>
      </c>
      <c r="T61" s="423">
        <f t="shared" ref="T61:U61" si="43">SUM(T60,T55)-T56</f>
        <v>1019</v>
      </c>
      <c r="U61" s="423">
        <f t="shared" si="43"/>
        <v>266</v>
      </c>
      <c r="V61" s="423">
        <f t="shared" ref="V61:W61" si="44">SUM(V60,V55)-V56</f>
        <v>1453</v>
      </c>
      <c r="W61" s="423">
        <f t="shared" si="44"/>
        <v>367</v>
      </c>
      <c r="X61" s="423">
        <f t="shared" ref="X61:Y61" si="45">SUM(X60,X55)-X56</f>
        <v>1004</v>
      </c>
      <c r="Y61" s="423">
        <f t="shared" si="45"/>
        <v>521</v>
      </c>
      <c r="Z61" s="423">
        <f t="shared" ref="Z61:AA61" si="46">SUM(Z60,Z55)-Z56</f>
        <v>322</v>
      </c>
      <c r="AA61" s="423">
        <f t="shared" si="46"/>
        <v>574</v>
      </c>
      <c r="AB61" s="423">
        <f t="shared" ref="AB61:AC61" si="47">SUM(AB60,AB55)-AB56</f>
        <v>1007</v>
      </c>
      <c r="AC61" s="423">
        <f t="shared" si="47"/>
        <v>1343</v>
      </c>
      <c r="AD61" s="423">
        <f t="shared" ref="AD61:AE61" si="48">SUM(AD60,AD55)-AD56</f>
        <v>1355</v>
      </c>
      <c r="AE61" s="423">
        <f t="shared" si="48"/>
        <v>274</v>
      </c>
      <c r="AF61" s="423">
        <f t="shared" ref="AF61:AG61" si="49">SUM(AF60,AF55)-AF56</f>
        <v>726</v>
      </c>
      <c r="AG61" s="423">
        <f t="shared" si="49"/>
        <v>192</v>
      </c>
      <c r="AH61" s="423">
        <f t="shared" ref="AH61" si="50">SUM(AH60,AH55)-AH56</f>
        <v>569</v>
      </c>
      <c r="AI61" s="403"/>
      <c r="AJ61" s="193"/>
      <c r="AK61" s="121"/>
      <c r="AL61" s="121"/>
      <c r="AM61" s="121"/>
      <c r="AN61" s="121"/>
      <c r="AO61" s="121"/>
      <c r="AP61" s="121"/>
      <c r="AQ61" s="121"/>
      <c r="AR61" s="121"/>
      <c r="AS61" s="121"/>
      <c r="AT61" s="121"/>
      <c r="AU61" s="121"/>
      <c r="AV61" s="121"/>
      <c r="AW61" s="121"/>
      <c r="AX61" s="121"/>
      <c r="AY61" s="121"/>
      <c r="AZ61" s="121"/>
      <c r="BA61" s="121"/>
      <c r="BB61" s="121"/>
      <c r="BC61" s="121"/>
      <c r="BD61" s="121"/>
      <c r="BE61" s="121"/>
      <c r="BF61" s="121"/>
      <c r="BG61" s="121"/>
      <c r="BH61" s="121"/>
      <c r="BI61" s="121"/>
      <c r="BJ61" s="121"/>
      <c r="BK61" s="121"/>
      <c r="BL61" s="121"/>
      <c r="BM61" s="121"/>
      <c r="BN61" s="121"/>
      <c r="BO61" s="121"/>
      <c r="BP61" s="121"/>
      <c r="BQ61" s="121"/>
      <c r="BR61" s="121"/>
      <c r="BS61" s="121"/>
      <c r="BT61" s="121"/>
      <c r="BU61" s="121"/>
      <c r="BV61" s="121"/>
      <c r="BW61" s="121"/>
      <c r="BX61" s="121"/>
      <c r="BY61" s="121"/>
      <c r="BZ61" s="121"/>
      <c r="CA61" s="121"/>
      <c r="CB61" s="121"/>
      <c r="CC61" s="121"/>
      <c r="CD61" s="121"/>
      <c r="CE61" s="121"/>
      <c r="CF61" s="121"/>
      <c r="CG61" s="121"/>
      <c r="CH61" s="121"/>
      <c r="CI61" s="121"/>
      <c r="CJ61" s="121"/>
      <c r="CK61" s="121"/>
      <c r="CL61" s="121"/>
      <c r="CM61" s="121"/>
      <c r="CN61" s="121"/>
      <c r="CO61" s="121"/>
      <c r="CP61" s="121"/>
      <c r="CQ61" s="121"/>
      <c r="CR61" s="121"/>
      <c r="CS61" s="121"/>
      <c r="CT61" s="121"/>
      <c r="CU61" s="121"/>
      <c r="CV61" s="121"/>
      <c r="CW61" s="121"/>
      <c r="CX61" s="121"/>
      <c r="CY61" s="121"/>
      <c r="CZ61" s="121"/>
      <c r="DA61" s="121"/>
      <c r="DB61" s="121"/>
      <c r="DC61" s="121"/>
      <c r="DD61" s="121"/>
      <c r="DE61" s="121"/>
      <c r="DF61" s="121"/>
      <c r="DG61" s="121"/>
      <c r="DH61" s="121"/>
      <c r="DI61" s="121"/>
      <c r="DJ61" s="121"/>
      <c r="DK61" s="121"/>
      <c r="DL61" s="121"/>
      <c r="DM61" s="121"/>
      <c r="DN61" s="121"/>
      <c r="DO61" s="121"/>
      <c r="DP61" s="121"/>
      <c r="DQ61" s="121"/>
      <c r="DR61" s="121"/>
      <c r="DS61" s="121"/>
      <c r="DT61" s="121"/>
      <c r="DU61" s="121"/>
      <c r="DV61" s="121"/>
      <c r="DW61" s="121"/>
      <c r="DX61" s="121"/>
      <c r="DY61" s="121"/>
      <c r="DZ61" s="121"/>
      <c r="EA61" s="121"/>
      <c r="EB61" s="121"/>
      <c r="EC61" s="121"/>
      <c r="ED61" s="121"/>
      <c r="EE61" s="121"/>
      <c r="EF61" s="121"/>
      <c r="EG61" s="121"/>
      <c r="EH61" s="121"/>
      <c r="EI61" s="121"/>
      <c r="EJ61" s="121"/>
      <c r="EK61" s="121"/>
      <c r="EL61" s="121"/>
      <c r="EM61" s="121"/>
      <c r="EN61" s="121"/>
      <c r="EO61" s="121"/>
      <c r="EP61" s="121"/>
      <c r="EQ61" s="121"/>
      <c r="ER61" s="121"/>
      <c r="ES61" s="121"/>
      <c r="ET61" s="121"/>
      <c r="EU61" s="121"/>
      <c r="EV61" s="121"/>
      <c r="EW61" s="121"/>
      <c r="EX61" s="121"/>
      <c r="EY61" s="121"/>
      <c r="EZ61" s="121"/>
      <c r="FA61" s="121"/>
      <c r="FB61" s="121"/>
      <c r="FC61" s="121"/>
      <c r="FD61" s="121"/>
      <c r="FE61" s="121"/>
      <c r="FF61" s="121"/>
      <c r="FG61" s="121"/>
      <c r="FH61" s="121"/>
      <c r="FI61" s="121"/>
      <c r="FJ61" s="121"/>
      <c r="FK61" s="121"/>
      <c r="FL61" s="121"/>
      <c r="FM61" s="121"/>
      <c r="FN61" s="121"/>
      <c r="FO61" s="121"/>
      <c r="FP61" s="121"/>
      <c r="FQ61" s="121"/>
      <c r="FR61" s="121"/>
      <c r="FS61" s="121"/>
      <c r="FT61" s="121"/>
      <c r="FU61" s="121"/>
      <c r="FV61" s="121"/>
      <c r="FW61" s="121"/>
      <c r="FX61" s="121"/>
      <c r="FY61" s="121"/>
      <c r="FZ61" s="121"/>
      <c r="GA61" s="121"/>
      <c r="GB61" s="121"/>
      <c r="GC61" s="121"/>
      <c r="GD61" s="121"/>
      <c r="GE61" s="121"/>
      <c r="GF61" s="121"/>
      <c r="GG61" s="121"/>
      <c r="GH61" s="121"/>
      <c r="GI61" s="121"/>
      <c r="GJ61" s="121"/>
      <c r="GK61" s="121"/>
      <c r="GL61" s="121"/>
      <c r="GM61" s="121"/>
      <c r="GN61" s="121"/>
      <c r="GO61" s="121"/>
      <c r="GP61" s="121"/>
      <c r="GQ61" s="121"/>
      <c r="GR61" s="121"/>
      <c r="GS61" s="121"/>
      <c r="GT61" s="121"/>
      <c r="GU61" s="121"/>
      <c r="GV61" s="121"/>
      <c r="GW61" s="121"/>
      <c r="GX61" s="121"/>
      <c r="GY61" s="121"/>
      <c r="GZ61" s="121"/>
      <c r="HA61" s="121"/>
      <c r="HB61" s="121"/>
      <c r="HC61" s="121"/>
      <c r="HD61" s="121"/>
      <c r="HE61" s="121"/>
      <c r="HF61" s="121"/>
      <c r="HG61" s="121"/>
      <c r="HH61" s="121"/>
      <c r="HI61" s="121"/>
      <c r="HJ61" s="121"/>
      <c r="HK61" s="121"/>
      <c r="HL61" s="121"/>
      <c r="HM61" s="121"/>
      <c r="HN61" s="121"/>
      <c r="HO61" s="121"/>
      <c r="HP61" s="121"/>
    </row>
    <row r="62" spans="1:224" s="136" customFormat="1" ht="13.5" customHeight="1" x14ac:dyDescent="0.2">
      <c r="A62" s="497"/>
      <c r="B62" s="243" t="s">
        <v>138</v>
      </c>
      <c r="C62" s="295">
        <v>0</v>
      </c>
      <c r="D62" s="421">
        <f t="shared" ref="D62:AH69" si="51">D46-C46</f>
        <v>0</v>
      </c>
      <c r="E62" s="421">
        <f t="shared" si="51"/>
        <v>0</v>
      </c>
      <c r="F62" s="421">
        <f t="shared" si="51"/>
        <v>0</v>
      </c>
      <c r="G62" s="421">
        <f t="shared" si="51"/>
        <v>0</v>
      </c>
      <c r="H62" s="421">
        <f t="shared" si="51"/>
        <v>0</v>
      </c>
      <c r="I62" s="421">
        <f t="shared" si="51"/>
        <v>0</v>
      </c>
      <c r="J62" s="421">
        <f t="shared" si="51"/>
        <v>0</v>
      </c>
      <c r="K62" s="421">
        <f t="shared" si="51"/>
        <v>0</v>
      </c>
      <c r="L62" s="421">
        <f t="shared" si="51"/>
        <v>0</v>
      </c>
      <c r="M62" s="421">
        <f t="shared" si="51"/>
        <v>0</v>
      </c>
      <c r="N62" s="421">
        <f t="shared" si="51"/>
        <v>0</v>
      </c>
      <c r="O62" s="421">
        <f t="shared" si="51"/>
        <v>0</v>
      </c>
      <c r="P62" s="421">
        <f t="shared" si="51"/>
        <v>0</v>
      </c>
      <c r="Q62" s="421">
        <f t="shared" si="51"/>
        <v>0</v>
      </c>
      <c r="R62" s="421">
        <f t="shared" si="51"/>
        <v>0</v>
      </c>
      <c r="S62" s="421">
        <f t="shared" si="51"/>
        <v>0</v>
      </c>
      <c r="T62" s="421">
        <f t="shared" si="51"/>
        <v>0</v>
      </c>
      <c r="U62" s="421">
        <f t="shared" si="51"/>
        <v>0</v>
      </c>
      <c r="V62" s="421">
        <f t="shared" si="51"/>
        <v>0</v>
      </c>
      <c r="W62" s="421">
        <f t="shared" si="51"/>
        <v>0</v>
      </c>
      <c r="X62" s="421">
        <f t="shared" si="51"/>
        <v>0</v>
      </c>
      <c r="Y62" s="421">
        <f t="shared" si="51"/>
        <v>0</v>
      </c>
      <c r="Z62" s="421">
        <f t="shared" si="51"/>
        <v>0</v>
      </c>
      <c r="AA62" s="421">
        <f t="shared" si="51"/>
        <v>0</v>
      </c>
      <c r="AB62" s="421">
        <f t="shared" si="51"/>
        <v>0</v>
      </c>
      <c r="AC62" s="421">
        <f t="shared" si="51"/>
        <v>0</v>
      </c>
      <c r="AD62" s="421">
        <f t="shared" si="51"/>
        <v>0</v>
      </c>
      <c r="AE62" s="421">
        <f t="shared" si="51"/>
        <v>0</v>
      </c>
      <c r="AF62" s="421">
        <f t="shared" si="51"/>
        <v>0</v>
      </c>
      <c r="AG62" s="421">
        <f t="shared" si="51"/>
        <v>0</v>
      </c>
      <c r="AH62" s="421">
        <f t="shared" si="51"/>
        <v>0</v>
      </c>
      <c r="AI62" s="295"/>
      <c r="AJ62" s="193"/>
      <c r="AK62" s="121">
        <v>0</v>
      </c>
      <c r="AL62" s="121">
        <v>0</v>
      </c>
      <c r="AM62" s="121"/>
      <c r="AN62" s="121"/>
      <c r="AO62" s="121"/>
      <c r="AP62" s="121"/>
      <c r="AQ62" s="121"/>
      <c r="AR62" s="121"/>
      <c r="AS62" s="121"/>
      <c r="AT62" s="121"/>
      <c r="AU62" s="121"/>
      <c r="AV62" s="121"/>
      <c r="AW62" s="121"/>
      <c r="AX62" s="121"/>
      <c r="AY62" s="121"/>
      <c r="AZ62" s="121"/>
      <c r="BA62" s="121"/>
      <c r="BB62" s="121"/>
      <c r="BC62" s="121"/>
      <c r="BD62" s="121"/>
      <c r="BE62" s="121"/>
      <c r="BF62" s="121"/>
      <c r="BG62" s="121"/>
      <c r="BH62" s="121"/>
      <c r="BI62" s="121"/>
      <c r="BJ62" s="121"/>
      <c r="BK62" s="121"/>
      <c r="BL62" s="121"/>
      <c r="BM62" s="121"/>
      <c r="BN62" s="121"/>
      <c r="BO62" s="121"/>
      <c r="BP62" s="121"/>
      <c r="BQ62" s="121"/>
      <c r="BR62" s="121"/>
      <c r="BS62" s="121"/>
      <c r="BT62" s="121"/>
      <c r="BU62" s="121"/>
      <c r="BV62" s="121"/>
      <c r="BW62" s="121"/>
      <c r="BX62" s="121"/>
      <c r="BY62" s="121"/>
      <c r="BZ62" s="121"/>
      <c r="CA62" s="121"/>
      <c r="CB62" s="121"/>
      <c r="CC62" s="121"/>
      <c r="CD62" s="121"/>
      <c r="CE62" s="121"/>
      <c r="CF62" s="121"/>
      <c r="CG62" s="121"/>
      <c r="CH62" s="121"/>
      <c r="CI62" s="121"/>
      <c r="CJ62" s="121"/>
      <c r="CK62" s="121"/>
      <c r="CL62" s="121"/>
      <c r="CM62" s="121"/>
      <c r="CN62" s="121"/>
      <c r="CO62" s="121"/>
      <c r="CP62" s="121"/>
      <c r="CQ62" s="121"/>
      <c r="CR62" s="121"/>
      <c r="CS62" s="121"/>
      <c r="CT62" s="121"/>
      <c r="CU62" s="121"/>
      <c r="CV62" s="121"/>
      <c r="CW62" s="121"/>
      <c r="CX62" s="121"/>
      <c r="CY62" s="121"/>
      <c r="CZ62" s="121"/>
      <c r="DA62" s="121"/>
      <c r="DB62" s="121"/>
      <c r="DC62" s="121"/>
      <c r="DD62" s="121"/>
      <c r="DE62" s="121"/>
      <c r="DF62" s="121"/>
      <c r="DG62" s="121"/>
      <c r="DH62" s="121"/>
      <c r="DI62" s="121"/>
      <c r="DJ62" s="121"/>
      <c r="DK62" s="121"/>
      <c r="DL62" s="121"/>
      <c r="DM62" s="121"/>
      <c r="DN62" s="121"/>
      <c r="DO62" s="121"/>
      <c r="DP62" s="121"/>
      <c r="DQ62" s="121"/>
      <c r="DR62" s="121"/>
      <c r="DS62" s="121"/>
      <c r="DT62" s="121"/>
      <c r="DU62" s="121"/>
      <c r="DV62" s="121"/>
      <c r="DW62" s="121"/>
      <c r="DX62" s="121"/>
      <c r="DY62" s="121"/>
      <c r="DZ62" s="121"/>
      <c r="EA62" s="121"/>
      <c r="EB62" s="121"/>
      <c r="EC62" s="121"/>
      <c r="ED62" s="121"/>
      <c r="EE62" s="121"/>
      <c r="EF62" s="121"/>
      <c r="EG62" s="121"/>
      <c r="EH62" s="121"/>
      <c r="EI62" s="121"/>
      <c r="EJ62" s="121"/>
      <c r="EK62" s="121"/>
      <c r="EL62" s="121"/>
      <c r="EM62" s="121"/>
      <c r="EN62" s="121"/>
      <c r="EO62" s="121"/>
      <c r="EP62" s="121"/>
      <c r="EQ62" s="121"/>
      <c r="ER62" s="121"/>
      <c r="ES62" s="121"/>
      <c r="ET62" s="121"/>
      <c r="EU62" s="121"/>
      <c r="EV62" s="121"/>
      <c r="EW62" s="121"/>
      <c r="EX62" s="121"/>
      <c r="EY62" s="121"/>
      <c r="EZ62" s="121"/>
      <c r="FA62" s="121"/>
      <c r="FB62" s="121"/>
      <c r="FC62" s="121"/>
      <c r="FD62" s="121"/>
      <c r="FE62" s="121"/>
      <c r="FF62" s="121"/>
      <c r="FG62" s="121"/>
      <c r="FH62" s="121"/>
      <c r="FI62" s="121"/>
      <c r="FJ62" s="121"/>
      <c r="FK62" s="121"/>
      <c r="FL62" s="121"/>
      <c r="FM62" s="121"/>
      <c r="FN62" s="121"/>
      <c r="FO62" s="121"/>
      <c r="FP62" s="121"/>
      <c r="FQ62" s="121"/>
      <c r="FR62" s="121"/>
      <c r="FS62" s="121"/>
      <c r="FT62" s="121"/>
      <c r="FU62" s="121"/>
      <c r="FV62" s="121"/>
      <c r="FW62" s="121"/>
      <c r="FX62" s="121"/>
      <c r="FY62" s="121"/>
      <c r="FZ62" s="121"/>
      <c r="GA62" s="121"/>
      <c r="GB62" s="121"/>
      <c r="GC62" s="121"/>
      <c r="GD62" s="121"/>
      <c r="GE62" s="121"/>
      <c r="GF62" s="121"/>
      <c r="GG62" s="121"/>
      <c r="GH62" s="121"/>
      <c r="GI62" s="121"/>
      <c r="GJ62" s="121"/>
      <c r="GK62" s="121"/>
      <c r="GL62" s="121"/>
      <c r="GM62" s="121"/>
      <c r="GN62" s="121"/>
      <c r="GO62" s="121"/>
      <c r="GP62" s="121"/>
      <c r="GQ62" s="121"/>
      <c r="GR62" s="121"/>
      <c r="GS62" s="121"/>
      <c r="GT62" s="121"/>
      <c r="GU62" s="121"/>
      <c r="GV62" s="121"/>
      <c r="GW62" s="121"/>
      <c r="GX62" s="121"/>
      <c r="GY62" s="121"/>
      <c r="GZ62" s="121"/>
      <c r="HA62" s="121"/>
      <c r="HB62" s="121"/>
      <c r="HC62" s="121"/>
      <c r="HD62" s="121"/>
      <c r="HE62" s="121"/>
      <c r="HF62" s="121"/>
      <c r="HG62" s="121"/>
      <c r="HH62" s="121"/>
      <c r="HI62" s="121"/>
      <c r="HJ62" s="121"/>
      <c r="HK62" s="121"/>
      <c r="HL62" s="121"/>
      <c r="HM62" s="121"/>
      <c r="HN62" s="121"/>
      <c r="HO62" s="121"/>
      <c r="HP62" s="121"/>
    </row>
    <row r="63" spans="1:224" s="203" customFormat="1" ht="18.75" customHeight="1" x14ac:dyDescent="0.2">
      <c r="A63" s="497"/>
      <c r="B63" s="244" t="s">
        <v>139</v>
      </c>
      <c r="C63" s="294">
        <v>1027</v>
      </c>
      <c r="D63" s="420">
        <f t="shared" si="51"/>
        <v>898</v>
      </c>
      <c r="E63" s="420">
        <f t="shared" si="51"/>
        <v>896</v>
      </c>
      <c r="F63" s="420">
        <f t="shared" si="51"/>
        <v>1127</v>
      </c>
      <c r="G63" s="420">
        <f t="shared" si="51"/>
        <v>938</v>
      </c>
      <c r="H63" s="420">
        <f t="shared" si="51"/>
        <v>925</v>
      </c>
      <c r="I63" s="420">
        <f t="shared" si="51"/>
        <v>823</v>
      </c>
      <c r="J63" s="420">
        <f t="shared" si="51"/>
        <v>927</v>
      </c>
      <c r="K63" s="420">
        <f t="shared" si="51"/>
        <v>956</v>
      </c>
      <c r="L63" s="420">
        <f t="shared" si="51"/>
        <v>1022</v>
      </c>
      <c r="M63" s="420">
        <f t="shared" si="51"/>
        <v>931</v>
      </c>
      <c r="N63" s="420">
        <f t="shared" si="51"/>
        <v>974</v>
      </c>
      <c r="O63" s="420">
        <f t="shared" si="51"/>
        <v>933</v>
      </c>
      <c r="P63" s="420">
        <f t="shared" si="51"/>
        <v>906</v>
      </c>
      <c r="Q63" s="420">
        <f t="shared" si="51"/>
        <v>824</v>
      </c>
      <c r="R63" s="420">
        <f t="shared" si="51"/>
        <v>734</v>
      </c>
      <c r="S63" s="420">
        <f t="shared" si="51"/>
        <v>913</v>
      </c>
      <c r="T63" s="420">
        <f t="shared" si="51"/>
        <v>828</v>
      </c>
      <c r="U63" s="420">
        <f t="shared" si="51"/>
        <v>888</v>
      </c>
      <c r="V63" s="420">
        <f t="shared" si="51"/>
        <v>946</v>
      </c>
      <c r="W63" s="420">
        <f t="shared" si="51"/>
        <v>1181</v>
      </c>
      <c r="X63" s="420">
        <f t="shared" si="51"/>
        <v>708</v>
      </c>
      <c r="Y63" s="420">
        <f t="shared" si="51"/>
        <v>710</v>
      </c>
      <c r="Z63" s="420">
        <f t="shared" si="51"/>
        <v>945</v>
      </c>
      <c r="AA63" s="420">
        <f t="shared" si="51"/>
        <v>1410</v>
      </c>
      <c r="AB63" s="420">
        <f t="shared" si="51"/>
        <v>2427</v>
      </c>
      <c r="AC63" s="420">
        <f t="shared" si="51"/>
        <v>1566</v>
      </c>
      <c r="AD63" s="420">
        <f t="shared" si="51"/>
        <v>1333</v>
      </c>
      <c r="AE63" s="420">
        <f t="shared" si="51"/>
        <v>1106</v>
      </c>
      <c r="AF63" s="420">
        <f t="shared" si="51"/>
        <v>1399</v>
      </c>
      <c r="AG63" s="420">
        <f t="shared" si="51"/>
        <v>1061</v>
      </c>
      <c r="AH63" s="420">
        <f t="shared" si="51"/>
        <v>1473</v>
      </c>
      <c r="AI63" s="294"/>
      <c r="AJ63" s="205"/>
      <c r="AK63" s="111">
        <v>278</v>
      </c>
      <c r="AL63" s="111">
        <v>440</v>
      </c>
      <c r="AM63" s="111"/>
      <c r="AN63" s="111"/>
      <c r="AO63" s="111"/>
      <c r="AP63" s="111"/>
      <c r="AQ63" s="111"/>
      <c r="AR63" s="111"/>
      <c r="AS63" s="111"/>
      <c r="AT63" s="111"/>
      <c r="AU63" s="111"/>
      <c r="AV63" s="111"/>
      <c r="AW63" s="111"/>
      <c r="AX63" s="111"/>
      <c r="AY63" s="111"/>
      <c r="AZ63" s="111"/>
      <c r="BA63" s="111"/>
      <c r="BB63" s="111"/>
      <c r="BC63" s="111"/>
      <c r="BD63" s="111"/>
      <c r="BE63" s="111"/>
      <c r="BF63" s="111"/>
      <c r="BG63" s="111"/>
      <c r="BH63" s="111"/>
      <c r="BI63" s="111"/>
      <c r="BJ63" s="111"/>
      <c r="BK63" s="111"/>
      <c r="BL63" s="111"/>
      <c r="BM63" s="111"/>
      <c r="BN63" s="111"/>
      <c r="BO63" s="111"/>
      <c r="BP63" s="111"/>
      <c r="BQ63" s="111"/>
      <c r="BR63" s="111"/>
      <c r="BS63" s="111"/>
      <c r="BT63" s="111"/>
      <c r="BU63" s="111"/>
      <c r="BV63" s="111"/>
      <c r="BW63" s="111"/>
      <c r="BX63" s="111"/>
      <c r="BY63" s="111"/>
      <c r="BZ63" s="111"/>
      <c r="CA63" s="111"/>
      <c r="CB63" s="111"/>
      <c r="CC63" s="111"/>
      <c r="CD63" s="111"/>
      <c r="CE63" s="111"/>
      <c r="CF63" s="111"/>
      <c r="CG63" s="111"/>
      <c r="CH63" s="111"/>
      <c r="CI63" s="111"/>
      <c r="CJ63" s="111"/>
      <c r="CK63" s="111"/>
      <c r="CL63" s="111"/>
      <c r="CM63" s="111"/>
      <c r="CN63" s="111"/>
      <c r="CO63" s="111"/>
      <c r="CP63" s="111"/>
      <c r="CQ63" s="111"/>
      <c r="CR63" s="111"/>
      <c r="CS63" s="111"/>
      <c r="CT63" s="111"/>
      <c r="CU63" s="111"/>
      <c r="CV63" s="111"/>
      <c r="CW63" s="111"/>
      <c r="CX63" s="111"/>
      <c r="CY63" s="111"/>
      <c r="CZ63" s="111"/>
      <c r="DA63" s="111"/>
      <c r="DB63" s="111"/>
      <c r="DC63" s="111"/>
      <c r="DD63" s="111"/>
      <c r="DE63" s="111"/>
      <c r="DF63" s="111"/>
      <c r="DG63" s="111"/>
      <c r="DH63" s="111"/>
      <c r="DI63" s="111"/>
      <c r="DJ63" s="111"/>
      <c r="DK63" s="111"/>
      <c r="DL63" s="111"/>
      <c r="DM63" s="111"/>
      <c r="DN63" s="111"/>
      <c r="DO63" s="111"/>
      <c r="DP63" s="111"/>
      <c r="DQ63" s="111"/>
      <c r="DR63" s="111"/>
      <c r="DS63" s="111"/>
      <c r="DT63" s="111"/>
      <c r="DU63" s="111"/>
      <c r="DV63" s="111"/>
      <c r="DW63" s="111"/>
      <c r="DX63" s="111"/>
      <c r="DY63" s="111"/>
      <c r="DZ63" s="111"/>
      <c r="EA63" s="111"/>
      <c r="EB63" s="111"/>
      <c r="EC63" s="111"/>
      <c r="ED63" s="111"/>
      <c r="EE63" s="111"/>
      <c r="EF63" s="111"/>
      <c r="EG63" s="111"/>
      <c r="EH63" s="111"/>
      <c r="EI63" s="111"/>
      <c r="EJ63" s="111"/>
      <c r="EK63" s="111"/>
      <c r="EL63" s="111"/>
      <c r="EM63" s="111"/>
      <c r="EN63" s="111"/>
      <c r="EO63" s="111"/>
      <c r="EP63" s="111"/>
      <c r="EQ63" s="111"/>
      <c r="ER63" s="111"/>
      <c r="ES63" s="111"/>
      <c r="ET63" s="111"/>
      <c r="EU63" s="111"/>
      <c r="EV63" s="111"/>
      <c r="EW63" s="111"/>
      <c r="EX63" s="111"/>
      <c r="EY63" s="111"/>
      <c r="EZ63" s="111"/>
      <c r="FA63" s="111"/>
      <c r="FB63" s="111"/>
      <c r="FC63" s="111"/>
      <c r="FD63" s="111"/>
      <c r="FE63" s="111"/>
      <c r="FF63" s="111"/>
      <c r="FG63" s="111"/>
      <c r="FH63" s="111"/>
      <c r="FI63" s="111"/>
      <c r="FJ63" s="111"/>
      <c r="FK63" s="111"/>
      <c r="FL63" s="111"/>
      <c r="FM63" s="111"/>
      <c r="FN63" s="111"/>
      <c r="FO63" s="111"/>
      <c r="FP63" s="111"/>
      <c r="FQ63" s="111"/>
      <c r="FR63" s="111"/>
      <c r="FS63" s="111"/>
      <c r="FT63" s="111"/>
      <c r="FU63" s="111"/>
      <c r="FV63" s="111"/>
      <c r="FW63" s="111"/>
      <c r="FX63" s="111"/>
      <c r="FY63" s="111"/>
      <c r="FZ63" s="111"/>
      <c r="GA63" s="111"/>
      <c r="GB63" s="111"/>
      <c r="GC63" s="111"/>
      <c r="GD63" s="111"/>
      <c r="GE63" s="111"/>
      <c r="GF63" s="111"/>
      <c r="GG63" s="111"/>
      <c r="GH63" s="111"/>
      <c r="GI63" s="111"/>
      <c r="GJ63" s="111"/>
      <c r="GK63" s="111"/>
      <c r="GL63" s="111"/>
      <c r="GM63" s="111"/>
      <c r="GN63" s="111"/>
      <c r="GO63" s="111"/>
      <c r="GP63" s="111"/>
      <c r="GQ63" s="111"/>
      <c r="GR63" s="111"/>
      <c r="GS63" s="111"/>
      <c r="GT63" s="111"/>
      <c r="GU63" s="111"/>
      <c r="GV63" s="111"/>
      <c r="GW63" s="111"/>
      <c r="GX63" s="111"/>
      <c r="GY63" s="111"/>
      <c r="GZ63" s="111"/>
      <c r="HA63" s="111"/>
      <c r="HB63" s="111"/>
      <c r="HC63" s="111"/>
      <c r="HD63" s="111"/>
      <c r="HE63" s="111"/>
      <c r="HF63" s="111"/>
      <c r="HG63" s="111"/>
      <c r="HH63" s="111"/>
      <c r="HI63" s="111"/>
      <c r="HJ63" s="111"/>
      <c r="HK63" s="111"/>
      <c r="HL63" s="111"/>
      <c r="HM63" s="111"/>
      <c r="HN63" s="111"/>
      <c r="HO63" s="111"/>
      <c r="HP63" s="111"/>
    </row>
    <row r="64" spans="1:224" s="136" customFormat="1" ht="26.25" customHeight="1" x14ac:dyDescent="0.2">
      <c r="A64" s="497"/>
      <c r="B64" s="138" t="s">
        <v>131</v>
      </c>
      <c r="C64" s="297">
        <v>1156</v>
      </c>
      <c r="D64" s="422">
        <f t="shared" si="51"/>
        <v>2120</v>
      </c>
      <c r="E64" s="422">
        <f t="shared" si="51"/>
        <v>2183</v>
      </c>
      <c r="F64" s="422">
        <f t="shared" si="51"/>
        <v>2068</v>
      </c>
      <c r="G64" s="422">
        <f t="shared" si="51"/>
        <v>2336</v>
      </c>
      <c r="H64" s="422">
        <f t="shared" si="51"/>
        <v>2254</v>
      </c>
      <c r="I64" s="422">
        <f t="shared" si="51"/>
        <v>2174</v>
      </c>
      <c r="J64" s="422">
        <f t="shared" si="51"/>
        <v>1136</v>
      </c>
      <c r="K64" s="422">
        <f t="shared" si="51"/>
        <v>1066</v>
      </c>
      <c r="L64" s="422">
        <f t="shared" si="51"/>
        <v>811</v>
      </c>
      <c r="M64" s="422">
        <f t="shared" si="51"/>
        <v>853</v>
      </c>
      <c r="N64" s="422">
        <f t="shared" si="51"/>
        <v>1603</v>
      </c>
      <c r="O64" s="422">
        <f t="shared" si="51"/>
        <v>1175</v>
      </c>
      <c r="P64" s="422">
        <f t="shared" si="51"/>
        <v>1040</v>
      </c>
      <c r="Q64" s="422">
        <f t="shared" si="51"/>
        <v>1322</v>
      </c>
      <c r="R64" s="422">
        <f t="shared" si="51"/>
        <v>1057</v>
      </c>
      <c r="S64" s="422">
        <f t="shared" si="51"/>
        <v>1006</v>
      </c>
      <c r="T64" s="422">
        <f t="shared" si="51"/>
        <v>1009</v>
      </c>
      <c r="U64" s="422">
        <f t="shared" si="51"/>
        <v>845</v>
      </c>
      <c r="V64" s="422">
        <f t="shared" si="51"/>
        <v>863</v>
      </c>
      <c r="W64" s="422">
        <f t="shared" si="51"/>
        <v>954</v>
      </c>
      <c r="X64" s="422">
        <f t="shared" si="51"/>
        <v>1322</v>
      </c>
      <c r="Y64" s="422">
        <f t="shared" si="51"/>
        <v>1298</v>
      </c>
      <c r="Z64" s="422">
        <f t="shared" si="51"/>
        <v>1218</v>
      </c>
      <c r="AA64" s="422">
        <f t="shared" si="51"/>
        <v>1224</v>
      </c>
      <c r="AB64" s="422">
        <f t="shared" si="51"/>
        <v>863</v>
      </c>
      <c r="AC64" s="422">
        <f t="shared" si="51"/>
        <v>999</v>
      </c>
      <c r="AD64" s="422">
        <f t="shared" si="51"/>
        <v>1116</v>
      </c>
      <c r="AE64" s="422">
        <f t="shared" si="51"/>
        <v>1048</v>
      </c>
      <c r="AF64" s="422">
        <f t="shared" si="51"/>
        <v>856</v>
      </c>
      <c r="AG64" s="422">
        <f t="shared" si="51"/>
        <v>1358</v>
      </c>
      <c r="AH64" s="422">
        <f t="shared" si="51"/>
        <v>1200</v>
      </c>
      <c r="AI64" s="297"/>
      <c r="AJ64" s="193"/>
      <c r="AK64" s="121">
        <v>1618</v>
      </c>
      <c r="AL64" s="121">
        <v>2318</v>
      </c>
      <c r="AM64" s="121"/>
      <c r="AN64" s="121"/>
      <c r="AO64" s="121"/>
      <c r="AP64" s="121"/>
      <c r="AQ64" s="121"/>
      <c r="AR64" s="121"/>
      <c r="AS64" s="121"/>
      <c r="AT64" s="121"/>
      <c r="AU64" s="121"/>
      <c r="AV64" s="121"/>
      <c r="AW64" s="121"/>
      <c r="AX64" s="121"/>
      <c r="AY64" s="121"/>
      <c r="AZ64" s="121"/>
      <c r="BA64" s="121"/>
      <c r="BB64" s="121"/>
      <c r="BC64" s="121"/>
      <c r="BD64" s="121"/>
      <c r="BE64" s="121"/>
      <c r="BF64" s="121"/>
      <c r="BG64" s="121"/>
      <c r="BH64" s="121"/>
      <c r="BI64" s="121"/>
      <c r="BJ64" s="121"/>
      <c r="BK64" s="121"/>
      <c r="BL64" s="121"/>
      <c r="BM64" s="121"/>
      <c r="BN64" s="121"/>
      <c r="BO64" s="121"/>
      <c r="BP64" s="121"/>
      <c r="BQ64" s="121"/>
      <c r="BR64" s="121"/>
      <c r="BS64" s="121"/>
      <c r="BT64" s="121"/>
      <c r="BU64" s="121"/>
      <c r="BV64" s="121"/>
      <c r="BW64" s="121"/>
      <c r="BX64" s="121"/>
      <c r="BY64" s="121"/>
      <c r="BZ64" s="121"/>
      <c r="CA64" s="121"/>
      <c r="CB64" s="121"/>
      <c r="CC64" s="121"/>
      <c r="CD64" s="121"/>
      <c r="CE64" s="121"/>
      <c r="CF64" s="121"/>
      <c r="CG64" s="121"/>
      <c r="CH64" s="121"/>
      <c r="CI64" s="121"/>
      <c r="CJ64" s="121"/>
      <c r="CK64" s="121"/>
      <c r="CL64" s="121"/>
      <c r="CM64" s="121"/>
      <c r="CN64" s="121"/>
      <c r="CO64" s="121"/>
      <c r="CP64" s="121"/>
      <c r="CQ64" s="121"/>
      <c r="CR64" s="121"/>
      <c r="CS64" s="121"/>
      <c r="CT64" s="121"/>
      <c r="CU64" s="121"/>
      <c r="CV64" s="121"/>
      <c r="CW64" s="121"/>
      <c r="CX64" s="121"/>
      <c r="CY64" s="121"/>
      <c r="CZ64" s="121"/>
      <c r="DA64" s="121"/>
      <c r="DB64" s="121"/>
      <c r="DC64" s="121"/>
      <c r="DD64" s="121"/>
      <c r="DE64" s="121"/>
      <c r="DF64" s="121"/>
      <c r="DG64" s="121"/>
      <c r="DH64" s="121"/>
      <c r="DI64" s="121"/>
      <c r="DJ64" s="121"/>
      <c r="DK64" s="121"/>
      <c r="DL64" s="121"/>
      <c r="DM64" s="121"/>
      <c r="DN64" s="121"/>
      <c r="DO64" s="121"/>
      <c r="DP64" s="121"/>
      <c r="DQ64" s="121"/>
      <c r="DR64" s="121"/>
      <c r="DS64" s="121"/>
      <c r="DT64" s="121"/>
      <c r="DU64" s="121"/>
      <c r="DV64" s="121"/>
      <c r="DW64" s="121"/>
      <c r="DX64" s="121"/>
      <c r="DY64" s="121"/>
      <c r="DZ64" s="121"/>
      <c r="EA64" s="121"/>
      <c r="EB64" s="121"/>
      <c r="EC64" s="121"/>
      <c r="ED64" s="121"/>
      <c r="EE64" s="121"/>
      <c r="EF64" s="121"/>
      <c r="EG64" s="121"/>
      <c r="EH64" s="121"/>
      <c r="EI64" s="121"/>
      <c r="EJ64" s="121"/>
      <c r="EK64" s="121"/>
      <c r="EL64" s="121"/>
      <c r="EM64" s="121"/>
      <c r="EN64" s="121"/>
      <c r="EO64" s="121"/>
      <c r="EP64" s="121"/>
      <c r="EQ64" s="121"/>
      <c r="ER64" s="121"/>
      <c r="ES64" s="121"/>
      <c r="ET64" s="121"/>
      <c r="EU64" s="121"/>
      <c r="EV64" s="121"/>
      <c r="EW64" s="121"/>
      <c r="EX64" s="121"/>
      <c r="EY64" s="121"/>
      <c r="EZ64" s="121"/>
      <c r="FA64" s="121"/>
      <c r="FB64" s="121"/>
      <c r="FC64" s="121"/>
      <c r="FD64" s="121"/>
      <c r="FE64" s="121"/>
      <c r="FF64" s="121"/>
      <c r="FG64" s="121"/>
      <c r="FH64" s="121"/>
      <c r="FI64" s="121"/>
      <c r="FJ64" s="121"/>
      <c r="FK64" s="121"/>
      <c r="FL64" s="121"/>
      <c r="FM64" s="121"/>
      <c r="FN64" s="121"/>
      <c r="FO64" s="121"/>
      <c r="FP64" s="121"/>
      <c r="FQ64" s="121"/>
      <c r="FR64" s="121"/>
      <c r="FS64" s="121"/>
      <c r="FT64" s="121"/>
      <c r="FU64" s="121"/>
      <c r="FV64" s="121"/>
      <c r="FW64" s="121"/>
      <c r="FX64" s="121"/>
      <c r="FY64" s="121"/>
      <c r="FZ64" s="121"/>
      <c r="GA64" s="121"/>
      <c r="GB64" s="121"/>
      <c r="GC64" s="121"/>
      <c r="GD64" s="121"/>
      <c r="GE64" s="121"/>
      <c r="GF64" s="121"/>
      <c r="GG64" s="121"/>
      <c r="GH64" s="121"/>
      <c r="GI64" s="121"/>
      <c r="GJ64" s="121"/>
      <c r="GK64" s="121"/>
      <c r="GL64" s="121"/>
      <c r="GM64" s="121"/>
      <c r="GN64" s="121"/>
      <c r="GO64" s="121"/>
      <c r="GP64" s="121"/>
      <c r="GQ64" s="121"/>
      <c r="GR64" s="121"/>
      <c r="GS64" s="121"/>
      <c r="GT64" s="121"/>
      <c r="GU64" s="121"/>
      <c r="GV64" s="121"/>
      <c r="GW64" s="121"/>
      <c r="GX64" s="121"/>
      <c r="GY64" s="121"/>
      <c r="GZ64" s="121"/>
      <c r="HA64" s="121"/>
      <c r="HB64" s="121"/>
      <c r="HC64" s="121"/>
      <c r="HD64" s="121"/>
      <c r="HE64" s="121"/>
      <c r="HF64" s="121"/>
      <c r="HG64" s="121"/>
      <c r="HH64" s="121"/>
      <c r="HI64" s="121"/>
      <c r="HJ64" s="121"/>
      <c r="HK64" s="121"/>
      <c r="HL64" s="121"/>
      <c r="HM64" s="121"/>
      <c r="HN64" s="121"/>
      <c r="HO64" s="121"/>
      <c r="HP64" s="121"/>
    </row>
    <row r="65" spans="1:224" s="136" customFormat="1" ht="18.75" customHeight="1" x14ac:dyDescent="0.2">
      <c r="A65" s="497"/>
      <c r="B65" s="137" t="s">
        <v>140</v>
      </c>
      <c r="C65" s="295">
        <v>0</v>
      </c>
      <c r="D65" s="421">
        <f t="shared" si="51"/>
        <v>2</v>
      </c>
      <c r="E65" s="421">
        <f t="shared" si="51"/>
        <v>1</v>
      </c>
      <c r="F65" s="421">
        <f t="shared" si="51"/>
        <v>1</v>
      </c>
      <c r="G65" s="421">
        <f t="shared" si="51"/>
        <v>2</v>
      </c>
      <c r="H65" s="421">
        <f t="shared" si="51"/>
        <v>1</v>
      </c>
      <c r="I65" s="421">
        <f t="shared" si="51"/>
        <v>1</v>
      </c>
      <c r="J65" s="421">
        <f t="shared" si="51"/>
        <v>2</v>
      </c>
      <c r="K65" s="421">
        <f t="shared" si="51"/>
        <v>1</v>
      </c>
      <c r="L65" s="421">
        <f t="shared" si="51"/>
        <v>1</v>
      </c>
      <c r="M65" s="421">
        <f t="shared" si="51"/>
        <v>1</v>
      </c>
      <c r="N65" s="421">
        <f t="shared" si="51"/>
        <v>2</v>
      </c>
      <c r="O65" s="421">
        <f t="shared" si="51"/>
        <v>1</v>
      </c>
      <c r="P65" s="421">
        <f t="shared" si="51"/>
        <v>1</v>
      </c>
      <c r="Q65" s="421">
        <f t="shared" si="51"/>
        <v>2</v>
      </c>
      <c r="R65" s="421">
        <f t="shared" si="51"/>
        <v>1</v>
      </c>
      <c r="S65" s="421">
        <f t="shared" si="51"/>
        <v>2</v>
      </c>
      <c r="T65" s="421">
        <f t="shared" si="51"/>
        <v>2</v>
      </c>
      <c r="U65" s="421">
        <f t="shared" si="51"/>
        <v>2</v>
      </c>
      <c r="V65" s="421">
        <f t="shared" si="51"/>
        <v>1</v>
      </c>
      <c r="W65" s="421">
        <f t="shared" si="51"/>
        <v>21</v>
      </c>
      <c r="X65" s="421">
        <f t="shared" si="51"/>
        <v>2</v>
      </c>
      <c r="Y65" s="421">
        <f t="shared" si="51"/>
        <v>1</v>
      </c>
      <c r="Z65" s="421">
        <f t="shared" si="51"/>
        <v>2</v>
      </c>
      <c r="AA65" s="421">
        <f t="shared" si="51"/>
        <v>1</v>
      </c>
      <c r="AB65" s="421">
        <f t="shared" si="51"/>
        <v>2</v>
      </c>
      <c r="AC65" s="421">
        <f t="shared" si="51"/>
        <v>1</v>
      </c>
      <c r="AD65" s="421">
        <f t="shared" si="51"/>
        <v>43</v>
      </c>
      <c r="AE65" s="421">
        <f t="shared" si="51"/>
        <v>10</v>
      </c>
      <c r="AF65" s="421">
        <f t="shared" si="51"/>
        <v>1</v>
      </c>
      <c r="AG65" s="421">
        <f t="shared" si="51"/>
        <v>2</v>
      </c>
      <c r="AH65" s="421">
        <f t="shared" si="51"/>
        <v>1</v>
      </c>
      <c r="AI65" s="295"/>
      <c r="AJ65" s="193"/>
      <c r="AK65" s="121">
        <v>0</v>
      </c>
      <c r="AL65" s="121">
        <v>0</v>
      </c>
      <c r="AM65" s="121"/>
      <c r="AN65" s="121"/>
      <c r="AO65" s="121"/>
      <c r="AP65" s="121"/>
      <c r="AQ65" s="121"/>
      <c r="AR65" s="121"/>
      <c r="AS65" s="121"/>
      <c r="AT65" s="121"/>
      <c r="AU65" s="121"/>
      <c r="AV65" s="121"/>
      <c r="AW65" s="121"/>
      <c r="AX65" s="121"/>
      <c r="AY65" s="121"/>
      <c r="AZ65" s="121"/>
      <c r="BA65" s="121"/>
      <c r="BB65" s="121"/>
      <c r="BC65" s="121"/>
      <c r="BD65" s="121"/>
      <c r="BE65" s="121"/>
      <c r="BF65" s="121"/>
      <c r="BG65" s="121"/>
      <c r="BH65" s="121"/>
      <c r="BI65" s="121"/>
      <c r="BJ65" s="121"/>
      <c r="BK65" s="121"/>
      <c r="BL65" s="121"/>
      <c r="BM65" s="121"/>
      <c r="BN65" s="121"/>
      <c r="BO65" s="121"/>
      <c r="BP65" s="121"/>
      <c r="BQ65" s="121"/>
      <c r="BR65" s="121"/>
      <c r="BS65" s="121"/>
      <c r="BT65" s="121"/>
      <c r="BU65" s="121"/>
      <c r="BV65" s="121"/>
      <c r="BW65" s="121"/>
      <c r="BX65" s="121"/>
      <c r="BY65" s="121"/>
      <c r="BZ65" s="121"/>
      <c r="CA65" s="121"/>
      <c r="CB65" s="121"/>
      <c r="CC65" s="121"/>
      <c r="CD65" s="121"/>
      <c r="CE65" s="121"/>
      <c r="CF65" s="121"/>
      <c r="CG65" s="121"/>
      <c r="CH65" s="121"/>
      <c r="CI65" s="121"/>
      <c r="CJ65" s="121"/>
      <c r="CK65" s="121"/>
      <c r="CL65" s="121"/>
      <c r="CM65" s="121"/>
      <c r="CN65" s="121"/>
      <c r="CO65" s="121"/>
      <c r="CP65" s="121"/>
      <c r="CQ65" s="121"/>
      <c r="CR65" s="121"/>
      <c r="CS65" s="121"/>
      <c r="CT65" s="121"/>
      <c r="CU65" s="121"/>
      <c r="CV65" s="121"/>
      <c r="CW65" s="121"/>
      <c r="CX65" s="121"/>
      <c r="CY65" s="121"/>
      <c r="CZ65" s="121"/>
      <c r="DA65" s="121"/>
      <c r="DB65" s="121"/>
      <c r="DC65" s="121"/>
      <c r="DD65" s="121"/>
      <c r="DE65" s="121"/>
      <c r="DF65" s="121"/>
      <c r="DG65" s="121"/>
      <c r="DH65" s="121"/>
      <c r="DI65" s="121"/>
      <c r="DJ65" s="121"/>
      <c r="DK65" s="121"/>
      <c r="DL65" s="121"/>
      <c r="DM65" s="121"/>
      <c r="DN65" s="121"/>
      <c r="DO65" s="121"/>
      <c r="DP65" s="121"/>
      <c r="DQ65" s="121"/>
      <c r="DR65" s="121"/>
      <c r="DS65" s="121"/>
      <c r="DT65" s="121"/>
      <c r="DU65" s="121"/>
      <c r="DV65" s="121"/>
      <c r="DW65" s="121"/>
      <c r="DX65" s="121"/>
      <c r="DY65" s="121"/>
      <c r="DZ65" s="121"/>
      <c r="EA65" s="121"/>
      <c r="EB65" s="121"/>
      <c r="EC65" s="121"/>
      <c r="ED65" s="121"/>
      <c r="EE65" s="121"/>
      <c r="EF65" s="121"/>
      <c r="EG65" s="121"/>
      <c r="EH65" s="121"/>
      <c r="EI65" s="121"/>
      <c r="EJ65" s="121"/>
      <c r="EK65" s="121"/>
      <c r="EL65" s="121"/>
      <c r="EM65" s="121"/>
      <c r="EN65" s="121"/>
      <c r="EO65" s="121"/>
      <c r="EP65" s="121"/>
      <c r="EQ65" s="121"/>
      <c r="ER65" s="121"/>
      <c r="ES65" s="121"/>
      <c r="ET65" s="121"/>
      <c r="EU65" s="121"/>
      <c r="EV65" s="121"/>
      <c r="EW65" s="121"/>
      <c r="EX65" s="121"/>
      <c r="EY65" s="121"/>
      <c r="EZ65" s="121"/>
      <c r="FA65" s="121"/>
      <c r="FB65" s="121"/>
      <c r="FC65" s="121"/>
      <c r="FD65" s="121"/>
      <c r="FE65" s="121"/>
      <c r="FF65" s="121"/>
      <c r="FG65" s="121"/>
      <c r="FH65" s="121"/>
      <c r="FI65" s="121"/>
      <c r="FJ65" s="121"/>
      <c r="FK65" s="121"/>
      <c r="FL65" s="121"/>
      <c r="FM65" s="121"/>
      <c r="FN65" s="121"/>
      <c r="FO65" s="121"/>
      <c r="FP65" s="121"/>
      <c r="FQ65" s="121"/>
      <c r="FR65" s="121"/>
      <c r="FS65" s="121"/>
      <c r="FT65" s="121"/>
      <c r="FU65" s="121"/>
      <c r="FV65" s="121"/>
      <c r="FW65" s="121"/>
      <c r="FX65" s="121"/>
      <c r="FY65" s="121"/>
      <c r="FZ65" s="121"/>
      <c r="GA65" s="121"/>
      <c r="GB65" s="121"/>
      <c r="GC65" s="121"/>
      <c r="GD65" s="121"/>
      <c r="GE65" s="121"/>
      <c r="GF65" s="121"/>
      <c r="GG65" s="121"/>
      <c r="GH65" s="121"/>
      <c r="GI65" s="121"/>
      <c r="GJ65" s="121"/>
      <c r="GK65" s="121"/>
      <c r="GL65" s="121"/>
      <c r="GM65" s="121"/>
      <c r="GN65" s="121"/>
      <c r="GO65" s="121"/>
      <c r="GP65" s="121"/>
      <c r="GQ65" s="121"/>
      <c r="GR65" s="121"/>
      <c r="GS65" s="121"/>
      <c r="GT65" s="121"/>
      <c r="GU65" s="121"/>
      <c r="GV65" s="121"/>
      <c r="GW65" s="121"/>
      <c r="GX65" s="121"/>
      <c r="GY65" s="121"/>
      <c r="GZ65" s="121"/>
      <c r="HA65" s="121"/>
      <c r="HB65" s="121"/>
      <c r="HC65" s="121"/>
      <c r="HD65" s="121"/>
      <c r="HE65" s="121"/>
      <c r="HF65" s="121"/>
      <c r="HG65" s="121"/>
      <c r="HH65" s="121"/>
      <c r="HI65" s="121"/>
      <c r="HJ65" s="121"/>
      <c r="HK65" s="121"/>
      <c r="HL65" s="121"/>
      <c r="HM65" s="121"/>
      <c r="HN65" s="121"/>
      <c r="HO65" s="121"/>
      <c r="HP65" s="121"/>
    </row>
    <row r="66" spans="1:224" s="136" customFormat="1" ht="18.75" customHeight="1" x14ac:dyDescent="0.2">
      <c r="A66" s="497"/>
      <c r="B66" s="243" t="s">
        <v>141</v>
      </c>
      <c r="C66" s="295">
        <v>1719</v>
      </c>
      <c r="D66" s="421">
        <f t="shared" si="51"/>
        <v>71</v>
      </c>
      <c r="E66" s="421">
        <f t="shared" si="51"/>
        <v>55</v>
      </c>
      <c r="F66" s="421">
        <f t="shared" si="51"/>
        <v>42</v>
      </c>
      <c r="G66" s="421">
        <f t="shared" si="51"/>
        <v>90</v>
      </c>
      <c r="H66" s="421">
        <f t="shared" si="51"/>
        <v>155</v>
      </c>
      <c r="I66" s="421">
        <f t="shared" si="51"/>
        <v>143</v>
      </c>
      <c r="J66" s="421">
        <f t="shared" si="51"/>
        <v>209</v>
      </c>
      <c r="K66" s="421">
        <f t="shared" si="51"/>
        <v>259</v>
      </c>
      <c r="L66" s="421">
        <f t="shared" si="51"/>
        <v>350</v>
      </c>
      <c r="M66" s="421">
        <f t="shared" si="51"/>
        <v>127</v>
      </c>
      <c r="N66" s="421">
        <f t="shared" si="51"/>
        <v>211</v>
      </c>
      <c r="O66" s="421">
        <f t="shared" si="51"/>
        <v>91</v>
      </c>
      <c r="P66" s="421">
        <f t="shared" si="51"/>
        <v>78</v>
      </c>
      <c r="Q66" s="421">
        <f t="shared" si="51"/>
        <v>60</v>
      </c>
      <c r="R66" s="421">
        <f t="shared" si="51"/>
        <v>224</v>
      </c>
      <c r="S66" s="421">
        <f t="shared" si="51"/>
        <v>76</v>
      </c>
      <c r="T66" s="421">
        <f t="shared" si="51"/>
        <v>74</v>
      </c>
      <c r="U66" s="421">
        <f t="shared" si="51"/>
        <v>94</v>
      </c>
      <c r="V66" s="421">
        <f t="shared" si="51"/>
        <v>124</v>
      </c>
      <c r="W66" s="421">
        <f t="shared" si="51"/>
        <v>137</v>
      </c>
      <c r="X66" s="421">
        <f t="shared" si="51"/>
        <v>87</v>
      </c>
      <c r="Y66" s="421">
        <f t="shared" si="51"/>
        <v>177</v>
      </c>
      <c r="Z66" s="421">
        <f t="shared" si="51"/>
        <v>34</v>
      </c>
      <c r="AA66" s="421">
        <f t="shared" si="51"/>
        <v>33</v>
      </c>
      <c r="AB66" s="421">
        <f t="shared" si="51"/>
        <v>1386</v>
      </c>
      <c r="AC66" s="421">
        <f t="shared" si="51"/>
        <v>589</v>
      </c>
      <c r="AD66" s="421">
        <f t="shared" si="51"/>
        <v>405</v>
      </c>
      <c r="AE66" s="421">
        <f t="shared" si="51"/>
        <v>495</v>
      </c>
      <c r="AF66" s="421">
        <f t="shared" si="51"/>
        <v>329</v>
      </c>
      <c r="AG66" s="421">
        <f t="shared" si="51"/>
        <v>439</v>
      </c>
      <c r="AH66" s="421">
        <f t="shared" si="51"/>
        <v>365</v>
      </c>
      <c r="AI66" s="295"/>
      <c r="AJ66" s="193"/>
      <c r="AK66" s="121">
        <v>286</v>
      </c>
      <c r="AL66" s="121">
        <v>334</v>
      </c>
      <c r="AM66" s="121"/>
      <c r="AN66" s="121"/>
      <c r="AO66" s="121"/>
      <c r="AP66" s="121"/>
      <c r="AQ66" s="121"/>
      <c r="AR66" s="121"/>
      <c r="AS66" s="121"/>
      <c r="AT66" s="121"/>
      <c r="AU66" s="121"/>
      <c r="AV66" s="121"/>
      <c r="AW66" s="121"/>
      <c r="AX66" s="121"/>
      <c r="AY66" s="121"/>
      <c r="AZ66" s="121"/>
      <c r="BA66" s="121"/>
      <c r="BB66" s="121"/>
      <c r="BC66" s="121"/>
      <c r="BD66" s="121"/>
      <c r="BE66" s="121"/>
      <c r="BF66" s="121"/>
      <c r="BG66" s="121"/>
      <c r="BH66" s="121"/>
      <c r="BI66" s="121"/>
      <c r="BJ66" s="121"/>
      <c r="BK66" s="121"/>
      <c r="BL66" s="121"/>
      <c r="BM66" s="121"/>
      <c r="BN66" s="121"/>
      <c r="BO66" s="121"/>
      <c r="BP66" s="121"/>
      <c r="BQ66" s="121"/>
      <c r="BR66" s="121"/>
      <c r="BS66" s="121"/>
      <c r="BT66" s="121"/>
      <c r="BU66" s="121"/>
      <c r="BV66" s="121"/>
      <c r="BW66" s="121"/>
      <c r="BX66" s="121"/>
      <c r="BY66" s="121"/>
      <c r="BZ66" s="121"/>
      <c r="CA66" s="121"/>
      <c r="CB66" s="121"/>
      <c r="CC66" s="121"/>
      <c r="CD66" s="121"/>
      <c r="CE66" s="121"/>
      <c r="CF66" s="121"/>
      <c r="CG66" s="121"/>
      <c r="CH66" s="121"/>
      <c r="CI66" s="121"/>
      <c r="CJ66" s="121"/>
      <c r="CK66" s="121"/>
      <c r="CL66" s="121"/>
      <c r="CM66" s="121"/>
      <c r="CN66" s="121"/>
      <c r="CO66" s="121"/>
      <c r="CP66" s="121"/>
      <c r="CQ66" s="121"/>
      <c r="CR66" s="121"/>
      <c r="CS66" s="121"/>
      <c r="CT66" s="121"/>
      <c r="CU66" s="121"/>
      <c r="CV66" s="121"/>
      <c r="CW66" s="121"/>
      <c r="CX66" s="121"/>
      <c r="CY66" s="121"/>
      <c r="CZ66" s="121"/>
      <c r="DA66" s="121"/>
      <c r="DB66" s="121"/>
      <c r="DC66" s="121"/>
      <c r="DD66" s="121"/>
      <c r="DE66" s="121"/>
      <c r="DF66" s="121"/>
      <c r="DG66" s="121"/>
      <c r="DH66" s="121"/>
      <c r="DI66" s="121"/>
      <c r="DJ66" s="121"/>
      <c r="DK66" s="121"/>
      <c r="DL66" s="121"/>
      <c r="DM66" s="121"/>
      <c r="DN66" s="121"/>
      <c r="DO66" s="121"/>
      <c r="DP66" s="121"/>
      <c r="DQ66" s="121"/>
      <c r="DR66" s="121"/>
      <c r="DS66" s="121"/>
      <c r="DT66" s="121"/>
      <c r="DU66" s="121"/>
      <c r="DV66" s="121"/>
      <c r="DW66" s="121"/>
      <c r="DX66" s="121"/>
      <c r="DY66" s="121"/>
      <c r="DZ66" s="121"/>
      <c r="EA66" s="121"/>
      <c r="EB66" s="121"/>
      <c r="EC66" s="121"/>
      <c r="ED66" s="121"/>
      <c r="EE66" s="121"/>
      <c r="EF66" s="121"/>
      <c r="EG66" s="121"/>
      <c r="EH66" s="121"/>
      <c r="EI66" s="121"/>
      <c r="EJ66" s="121"/>
      <c r="EK66" s="121"/>
      <c r="EL66" s="121"/>
      <c r="EM66" s="121"/>
      <c r="EN66" s="121"/>
      <c r="EO66" s="121"/>
      <c r="EP66" s="121"/>
      <c r="EQ66" s="121"/>
      <c r="ER66" s="121"/>
      <c r="ES66" s="121"/>
      <c r="ET66" s="121"/>
      <c r="EU66" s="121"/>
      <c r="EV66" s="121"/>
      <c r="EW66" s="121"/>
      <c r="EX66" s="121"/>
      <c r="EY66" s="121"/>
      <c r="EZ66" s="121"/>
      <c r="FA66" s="121"/>
      <c r="FB66" s="121"/>
      <c r="FC66" s="121"/>
      <c r="FD66" s="121"/>
      <c r="FE66" s="121"/>
      <c r="FF66" s="121"/>
      <c r="FG66" s="121"/>
      <c r="FH66" s="121"/>
      <c r="FI66" s="121"/>
      <c r="FJ66" s="121"/>
      <c r="FK66" s="121"/>
      <c r="FL66" s="121"/>
      <c r="FM66" s="121"/>
      <c r="FN66" s="121"/>
      <c r="FO66" s="121"/>
      <c r="FP66" s="121"/>
      <c r="FQ66" s="121"/>
      <c r="FR66" s="121"/>
      <c r="FS66" s="121"/>
      <c r="FT66" s="121"/>
      <c r="FU66" s="121"/>
      <c r="FV66" s="121"/>
      <c r="FW66" s="121"/>
      <c r="FX66" s="121"/>
      <c r="FY66" s="121"/>
      <c r="FZ66" s="121"/>
      <c r="GA66" s="121"/>
      <c r="GB66" s="121"/>
      <c r="GC66" s="121"/>
      <c r="GD66" s="121"/>
      <c r="GE66" s="121"/>
      <c r="GF66" s="121"/>
      <c r="GG66" s="121"/>
      <c r="GH66" s="121"/>
      <c r="GI66" s="121"/>
      <c r="GJ66" s="121"/>
      <c r="GK66" s="121"/>
      <c r="GL66" s="121"/>
      <c r="GM66" s="121"/>
      <c r="GN66" s="121"/>
      <c r="GO66" s="121"/>
      <c r="GP66" s="121"/>
      <c r="GQ66" s="121"/>
      <c r="GR66" s="121"/>
      <c r="GS66" s="121"/>
      <c r="GT66" s="121"/>
      <c r="GU66" s="121"/>
      <c r="GV66" s="121"/>
      <c r="GW66" s="121"/>
      <c r="GX66" s="121"/>
      <c r="GY66" s="121"/>
      <c r="GZ66" s="121"/>
      <c r="HA66" s="121"/>
      <c r="HB66" s="121"/>
      <c r="HC66" s="121"/>
      <c r="HD66" s="121"/>
      <c r="HE66" s="121"/>
      <c r="HF66" s="121"/>
      <c r="HG66" s="121"/>
      <c r="HH66" s="121"/>
      <c r="HI66" s="121"/>
      <c r="HJ66" s="121"/>
      <c r="HK66" s="121"/>
      <c r="HL66" s="121"/>
      <c r="HM66" s="121"/>
      <c r="HN66" s="121"/>
      <c r="HO66" s="121"/>
      <c r="HP66" s="121"/>
    </row>
    <row r="67" spans="1:224" s="136" customFormat="1" ht="18.75" customHeight="1" x14ac:dyDescent="0.2">
      <c r="A67" s="497"/>
      <c r="B67" s="138" t="s">
        <v>134</v>
      </c>
      <c r="C67" s="297">
        <v>24</v>
      </c>
      <c r="D67" s="422">
        <f t="shared" si="51"/>
        <v>473</v>
      </c>
      <c r="E67" s="422">
        <f t="shared" si="51"/>
        <v>389</v>
      </c>
      <c r="F67" s="422">
        <f t="shared" si="51"/>
        <v>422</v>
      </c>
      <c r="G67" s="422">
        <f t="shared" si="51"/>
        <v>467</v>
      </c>
      <c r="H67" s="422">
        <f t="shared" si="51"/>
        <v>453</v>
      </c>
      <c r="I67" s="422">
        <f t="shared" si="51"/>
        <v>457</v>
      </c>
      <c r="J67" s="422">
        <f t="shared" si="51"/>
        <v>454</v>
      </c>
      <c r="K67" s="422">
        <f t="shared" si="51"/>
        <v>390</v>
      </c>
      <c r="L67" s="422">
        <f t="shared" si="51"/>
        <v>341</v>
      </c>
      <c r="M67" s="422">
        <f t="shared" si="51"/>
        <v>523</v>
      </c>
      <c r="N67" s="422">
        <f t="shared" si="51"/>
        <v>414</v>
      </c>
      <c r="O67" s="422">
        <f t="shared" si="51"/>
        <v>509</v>
      </c>
      <c r="P67" s="422">
        <f t="shared" si="51"/>
        <v>318</v>
      </c>
      <c r="Q67" s="422">
        <f t="shared" si="51"/>
        <v>586</v>
      </c>
      <c r="R67" s="422">
        <f t="shared" si="51"/>
        <v>394</v>
      </c>
      <c r="S67" s="422">
        <f t="shared" si="51"/>
        <v>435</v>
      </c>
      <c r="T67" s="422">
        <f t="shared" si="51"/>
        <v>452</v>
      </c>
      <c r="U67" s="422">
        <f t="shared" si="51"/>
        <v>466</v>
      </c>
      <c r="V67" s="422">
        <f t="shared" si="51"/>
        <v>423</v>
      </c>
      <c r="W67" s="422">
        <f t="shared" si="51"/>
        <v>492</v>
      </c>
      <c r="X67" s="422">
        <f t="shared" si="51"/>
        <v>566</v>
      </c>
      <c r="Y67" s="422">
        <f t="shared" si="51"/>
        <v>466</v>
      </c>
      <c r="Z67" s="422">
        <f t="shared" si="51"/>
        <v>609</v>
      </c>
      <c r="AA67" s="422">
        <f t="shared" si="51"/>
        <v>481</v>
      </c>
      <c r="AB67" s="422">
        <f t="shared" si="51"/>
        <v>569</v>
      </c>
      <c r="AC67" s="422">
        <f t="shared" si="51"/>
        <v>520</v>
      </c>
      <c r="AD67" s="422">
        <f t="shared" si="51"/>
        <v>429</v>
      </c>
      <c r="AE67" s="422">
        <f t="shared" si="51"/>
        <v>688</v>
      </c>
      <c r="AF67" s="422">
        <f t="shared" si="51"/>
        <v>681</v>
      </c>
      <c r="AG67" s="422">
        <f t="shared" si="51"/>
        <v>408</v>
      </c>
      <c r="AH67" s="422">
        <f t="shared" si="51"/>
        <v>527</v>
      </c>
      <c r="AI67" s="297"/>
      <c r="AJ67" s="193"/>
      <c r="AK67" s="121">
        <v>602</v>
      </c>
      <c r="AL67" s="121">
        <v>15</v>
      </c>
      <c r="AM67" s="121"/>
      <c r="AN67" s="121"/>
      <c r="AO67" s="121"/>
      <c r="AP67" s="121"/>
      <c r="AQ67" s="121"/>
      <c r="AR67" s="121"/>
      <c r="AS67" s="121"/>
      <c r="AT67" s="121"/>
      <c r="AU67" s="121"/>
      <c r="AV67" s="121"/>
      <c r="AW67" s="121"/>
      <c r="AX67" s="121"/>
      <c r="AY67" s="121"/>
      <c r="AZ67" s="121"/>
      <c r="BA67" s="121"/>
      <c r="BB67" s="121"/>
      <c r="BC67" s="121"/>
      <c r="BD67" s="121"/>
      <c r="BE67" s="121"/>
      <c r="BF67" s="121"/>
      <c r="BG67" s="121"/>
      <c r="BH67" s="121"/>
      <c r="BI67" s="121"/>
      <c r="BJ67" s="121"/>
      <c r="BK67" s="121"/>
      <c r="BL67" s="121"/>
      <c r="BM67" s="121"/>
      <c r="BN67" s="121"/>
      <c r="BO67" s="121"/>
      <c r="BP67" s="121"/>
      <c r="BQ67" s="121"/>
      <c r="BR67" s="121"/>
      <c r="BS67" s="121"/>
      <c r="BT67" s="121"/>
      <c r="BU67" s="121"/>
      <c r="BV67" s="121"/>
      <c r="BW67" s="121"/>
      <c r="BX67" s="121"/>
      <c r="BY67" s="121"/>
      <c r="BZ67" s="121"/>
      <c r="CA67" s="121"/>
      <c r="CB67" s="121"/>
      <c r="CC67" s="121"/>
      <c r="CD67" s="121"/>
      <c r="CE67" s="121"/>
      <c r="CF67" s="121"/>
      <c r="CG67" s="121"/>
      <c r="CH67" s="121"/>
      <c r="CI67" s="121"/>
      <c r="CJ67" s="121"/>
      <c r="CK67" s="121"/>
      <c r="CL67" s="121"/>
      <c r="CM67" s="121"/>
      <c r="CN67" s="121"/>
      <c r="CO67" s="121"/>
      <c r="CP67" s="121"/>
      <c r="CQ67" s="121"/>
      <c r="CR67" s="121"/>
      <c r="CS67" s="121"/>
      <c r="CT67" s="121"/>
      <c r="CU67" s="121"/>
      <c r="CV67" s="121"/>
      <c r="CW67" s="121"/>
      <c r="CX67" s="121"/>
      <c r="CY67" s="121"/>
      <c r="CZ67" s="121"/>
      <c r="DA67" s="121"/>
      <c r="DB67" s="121"/>
      <c r="DC67" s="121"/>
      <c r="DD67" s="121"/>
      <c r="DE67" s="121"/>
      <c r="DF67" s="121"/>
      <c r="DG67" s="121"/>
      <c r="DH67" s="121"/>
      <c r="DI67" s="121"/>
      <c r="DJ67" s="121"/>
      <c r="DK67" s="121"/>
      <c r="DL67" s="121"/>
      <c r="DM67" s="121"/>
      <c r="DN67" s="121"/>
      <c r="DO67" s="121"/>
      <c r="DP67" s="121"/>
      <c r="DQ67" s="121"/>
      <c r="DR67" s="121"/>
      <c r="DS67" s="121"/>
      <c r="DT67" s="121"/>
      <c r="DU67" s="121"/>
      <c r="DV67" s="121"/>
      <c r="DW67" s="121"/>
      <c r="DX67" s="121"/>
      <c r="DY67" s="121"/>
      <c r="DZ67" s="121"/>
      <c r="EA67" s="121"/>
      <c r="EB67" s="121"/>
      <c r="EC67" s="121"/>
      <c r="ED67" s="121"/>
      <c r="EE67" s="121"/>
      <c r="EF67" s="121"/>
      <c r="EG67" s="121"/>
      <c r="EH67" s="121"/>
      <c r="EI67" s="121"/>
      <c r="EJ67" s="121"/>
      <c r="EK67" s="121"/>
      <c r="EL67" s="121"/>
      <c r="EM67" s="121"/>
      <c r="EN67" s="121"/>
      <c r="EO67" s="121"/>
      <c r="EP67" s="121"/>
      <c r="EQ67" s="121"/>
      <c r="ER67" s="121"/>
      <c r="ES67" s="121"/>
      <c r="ET67" s="121"/>
      <c r="EU67" s="121"/>
      <c r="EV67" s="121"/>
      <c r="EW67" s="121"/>
      <c r="EX67" s="121"/>
      <c r="EY67" s="121"/>
      <c r="EZ67" s="121"/>
      <c r="FA67" s="121"/>
      <c r="FB67" s="121"/>
      <c r="FC67" s="121"/>
      <c r="FD67" s="121"/>
      <c r="FE67" s="121"/>
      <c r="FF67" s="121"/>
      <c r="FG67" s="121"/>
      <c r="FH67" s="121"/>
      <c r="FI67" s="121"/>
      <c r="FJ67" s="121"/>
      <c r="FK67" s="121"/>
      <c r="FL67" s="121"/>
      <c r="FM67" s="121"/>
      <c r="FN67" s="121"/>
      <c r="FO67" s="121"/>
      <c r="FP67" s="121"/>
      <c r="FQ67" s="121"/>
      <c r="FR67" s="121"/>
      <c r="FS67" s="121"/>
      <c r="FT67" s="121"/>
      <c r="FU67" s="121"/>
      <c r="FV67" s="121"/>
      <c r="FW67" s="121"/>
      <c r="FX67" s="121"/>
      <c r="FY67" s="121"/>
      <c r="FZ67" s="121"/>
      <c r="GA67" s="121"/>
      <c r="GB67" s="121"/>
      <c r="GC67" s="121"/>
      <c r="GD67" s="121"/>
      <c r="GE67" s="121"/>
      <c r="GF67" s="121"/>
      <c r="GG67" s="121"/>
      <c r="GH67" s="121"/>
      <c r="GI67" s="121"/>
      <c r="GJ67" s="121"/>
      <c r="GK67" s="121"/>
      <c r="GL67" s="121"/>
      <c r="GM67" s="121"/>
      <c r="GN67" s="121"/>
      <c r="GO67" s="121"/>
      <c r="GP67" s="121"/>
      <c r="GQ67" s="121"/>
      <c r="GR67" s="121"/>
      <c r="GS67" s="121"/>
      <c r="GT67" s="121"/>
      <c r="GU67" s="121"/>
      <c r="GV67" s="121"/>
      <c r="GW67" s="121"/>
      <c r="GX67" s="121"/>
      <c r="GY67" s="121"/>
      <c r="GZ67" s="121"/>
      <c r="HA67" s="121"/>
      <c r="HB67" s="121"/>
      <c r="HC67" s="121"/>
      <c r="HD67" s="121"/>
      <c r="HE67" s="121"/>
      <c r="HF67" s="121"/>
      <c r="HG67" s="121"/>
      <c r="HH67" s="121"/>
      <c r="HI67" s="121"/>
      <c r="HJ67" s="121"/>
      <c r="HK67" s="121"/>
      <c r="HL67" s="121"/>
      <c r="HM67" s="121"/>
      <c r="HN67" s="121"/>
      <c r="HO67" s="121"/>
      <c r="HP67" s="121"/>
    </row>
    <row r="68" spans="1:224" s="136" customFormat="1" ht="18.75" customHeight="1" x14ac:dyDescent="0.2">
      <c r="A68" s="497"/>
      <c r="B68" s="246" t="s">
        <v>135</v>
      </c>
      <c r="C68" s="297">
        <v>916</v>
      </c>
      <c r="D68" s="422">
        <f t="shared" si="51"/>
        <v>1970</v>
      </c>
      <c r="E68" s="422">
        <f t="shared" si="51"/>
        <v>3489</v>
      </c>
      <c r="F68" s="422">
        <f t="shared" si="51"/>
        <v>3604</v>
      </c>
      <c r="G68" s="422">
        <f t="shared" si="51"/>
        <v>3362</v>
      </c>
      <c r="H68" s="422">
        <f t="shared" si="51"/>
        <v>2517</v>
      </c>
      <c r="I68" s="422">
        <f t="shared" si="51"/>
        <v>2356</v>
      </c>
      <c r="J68" s="422">
        <f t="shared" si="51"/>
        <v>3105</v>
      </c>
      <c r="K68" s="422">
        <f t="shared" si="51"/>
        <v>2659</v>
      </c>
      <c r="L68" s="422">
        <f t="shared" si="51"/>
        <v>2350</v>
      </c>
      <c r="M68" s="422">
        <f t="shared" si="51"/>
        <v>2638</v>
      </c>
      <c r="N68" s="422">
        <f t="shared" si="51"/>
        <v>3269</v>
      </c>
      <c r="O68" s="422">
        <f t="shared" si="51"/>
        <v>3280</v>
      </c>
      <c r="P68" s="422">
        <f t="shared" si="51"/>
        <v>2830</v>
      </c>
      <c r="Q68" s="422">
        <f t="shared" si="51"/>
        <v>2711</v>
      </c>
      <c r="R68" s="422">
        <f t="shared" si="51"/>
        <v>2307</v>
      </c>
      <c r="S68" s="422">
        <f t="shared" si="51"/>
        <v>2361</v>
      </c>
      <c r="T68" s="422">
        <f t="shared" si="51"/>
        <v>2365</v>
      </c>
      <c r="U68" s="422">
        <f t="shared" si="51"/>
        <v>1767</v>
      </c>
      <c r="V68" s="422">
        <f t="shared" si="51"/>
        <v>1741</v>
      </c>
      <c r="W68" s="422">
        <f t="shared" si="51"/>
        <v>1231</v>
      </c>
      <c r="X68" s="422">
        <f t="shared" si="51"/>
        <v>901</v>
      </c>
      <c r="Y68" s="422">
        <f t="shared" si="51"/>
        <v>895</v>
      </c>
      <c r="Z68" s="422">
        <f t="shared" si="51"/>
        <v>1030</v>
      </c>
      <c r="AA68" s="422">
        <f t="shared" si="51"/>
        <v>895</v>
      </c>
      <c r="AB68" s="422">
        <f t="shared" si="51"/>
        <v>853</v>
      </c>
      <c r="AC68" s="422">
        <f t="shared" si="51"/>
        <v>790</v>
      </c>
      <c r="AD68" s="422">
        <f t="shared" si="51"/>
        <v>702</v>
      </c>
      <c r="AE68" s="422">
        <f t="shared" si="51"/>
        <v>692</v>
      </c>
      <c r="AF68" s="422">
        <f t="shared" si="51"/>
        <v>724</v>
      </c>
      <c r="AG68" s="422">
        <f t="shared" si="51"/>
        <v>728</v>
      </c>
      <c r="AH68" s="422">
        <f t="shared" si="51"/>
        <v>697</v>
      </c>
      <c r="AI68" s="297"/>
      <c r="AJ68" s="194"/>
      <c r="AK68" s="121">
        <v>845</v>
      </c>
      <c r="AL68" s="121">
        <v>388</v>
      </c>
      <c r="AM68" s="121"/>
      <c r="AN68" s="121"/>
      <c r="AO68" s="121"/>
      <c r="AP68" s="121"/>
      <c r="AQ68" s="121"/>
      <c r="AR68" s="121"/>
      <c r="AS68" s="121"/>
      <c r="AT68" s="121"/>
      <c r="AU68" s="121"/>
      <c r="AV68" s="121"/>
      <c r="AW68" s="121"/>
      <c r="AX68" s="121"/>
      <c r="AY68" s="121"/>
      <c r="AZ68" s="121"/>
      <c r="BA68" s="121"/>
      <c r="BB68" s="121"/>
      <c r="BC68" s="121"/>
      <c r="BD68" s="121"/>
      <c r="BE68" s="121"/>
      <c r="BF68" s="121"/>
      <c r="BG68" s="121"/>
      <c r="BH68" s="121"/>
      <c r="BI68" s="121"/>
      <c r="BJ68" s="121"/>
      <c r="BK68" s="121"/>
      <c r="BL68" s="121"/>
      <c r="BM68" s="121"/>
      <c r="BN68" s="121"/>
      <c r="BO68" s="121"/>
      <c r="BP68" s="121"/>
      <c r="BQ68" s="121"/>
      <c r="BR68" s="121"/>
      <c r="BS68" s="121"/>
      <c r="BT68" s="121"/>
      <c r="BU68" s="121"/>
      <c r="BV68" s="121"/>
      <c r="BW68" s="121"/>
      <c r="BX68" s="121"/>
      <c r="BY68" s="121"/>
      <c r="BZ68" s="121"/>
      <c r="CA68" s="121"/>
      <c r="CB68" s="121"/>
      <c r="CC68" s="121"/>
      <c r="CD68" s="121"/>
      <c r="CE68" s="121"/>
      <c r="CF68" s="121"/>
      <c r="CG68" s="121"/>
      <c r="CH68" s="121"/>
      <c r="CI68" s="121"/>
      <c r="CJ68" s="121"/>
      <c r="CK68" s="121"/>
      <c r="CL68" s="121"/>
      <c r="CM68" s="121"/>
      <c r="CN68" s="121"/>
      <c r="CO68" s="121"/>
      <c r="CP68" s="121"/>
      <c r="CQ68" s="121"/>
      <c r="CR68" s="121"/>
      <c r="CS68" s="121"/>
      <c r="CT68" s="121"/>
      <c r="CU68" s="121"/>
      <c r="CV68" s="121"/>
      <c r="CW68" s="121"/>
      <c r="CX68" s="121"/>
      <c r="CY68" s="121"/>
      <c r="CZ68" s="121"/>
      <c r="DA68" s="121"/>
      <c r="DB68" s="121"/>
      <c r="DC68" s="121"/>
      <c r="DD68" s="121"/>
      <c r="DE68" s="121"/>
      <c r="DF68" s="121"/>
      <c r="DG68" s="121"/>
      <c r="DH68" s="121"/>
      <c r="DI68" s="121"/>
      <c r="DJ68" s="121"/>
      <c r="DK68" s="121"/>
      <c r="DL68" s="121"/>
      <c r="DM68" s="121"/>
      <c r="DN68" s="121"/>
      <c r="DO68" s="121"/>
      <c r="DP68" s="121"/>
      <c r="DQ68" s="121"/>
      <c r="DR68" s="121"/>
      <c r="DS68" s="121"/>
      <c r="DT68" s="121"/>
      <c r="DU68" s="121"/>
      <c r="DV68" s="121"/>
      <c r="DW68" s="121"/>
      <c r="DX68" s="121"/>
      <c r="DY68" s="121"/>
      <c r="DZ68" s="121"/>
      <c r="EA68" s="121"/>
      <c r="EB68" s="121"/>
      <c r="EC68" s="121"/>
      <c r="ED68" s="121"/>
      <c r="EE68" s="121"/>
      <c r="EF68" s="121"/>
      <c r="EG68" s="121"/>
      <c r="EH68" s="121"/>
      <c r="EI68" s="121"/>
      <c r="EJ68" s="121"/>
      <c r="EK68" s="121"/>
      <c r="EL68" s="121"/>
      <c r="EM68" s="121"/>
      <c r="EN68" s="121"/>
      <c r="EO68" s="121"/>
      <c r="EP68" s="121"/>
      <c r="EQ68" s="121"/>
      <c r="ER68" s="121"/>
      <c r="ES68" s="121"/>
      <c r="ET68" s="121"/>
      <c r="EU68" s="121"/>
      <c r="EV68" s="121"/>
      <c r="EW68" s="121"/>
      <c r="EX68" s="121"/>
      <c r="EY68" s="121"/>
      <c r="EZ68" s="121"/>
      <c r="FA68" s="121"/>
      <c r="FB68" s="121"/>
      <c r="FC68" s="121"/>
      <c r="FD68" s="121"/>
      <c r="FE68" s="121"/>
      <c r="FF68" s="121"/>
      <c r="FG68" s="121"/>
      <c r="FH68" s="121"/>
      <c r="FI68" s="121"/>
      <c r="FJ68" s="121"/>
      <c r="FK68" s="121"/>
      <c r="FL68" s="121"/>
      <c r="FM68" s="121"/>
      <c r="FN68" s="121"/>
      <c r="FO68" s="121"/>
      <c r="FP68" s="121"/>
      <c r="FQ68" s="121"/>
      <c r="FR68" s="121"/>
      <c r="FS68" s="121"/>
      <c r="FT68" s="121"/>
      <c r="FU68" s="121"/>
      <c r="FV68" s="121"/>
      <c r="FW68" s="121"/>
      <c r="FX68" s="121"/>
      <c r="FY68" s="121"/>
      <c r="FZ68" s="121"/>
      <c r="GA68" s="121"/>
      <c r="GB68" s="121"/>
      <c r="GC68" s="121"/>
      <c r="GD68" s="121"/>
      <c r="GE68" s="121"/>
      <c r="GF68" s="121"/>
      <c r="GG68" s="121"/>
      <c r="GH68" s="121"/>
      <c r="GI68" s="121"/>
      <c r="GJ68" s="121"/>
      <c r="GK68" s="121"/>
      <c r="GL68" s="121"/>
      <c r="GM68" s="121"/>
      <c r="GN68" s="121"/>
      <c r="GO68" s="121"/>
      <c r="GP68" s="121"/>
      <c r="GQ68" s="121"/>
      <c r="GR68" s="121"/>
      <c r="GS68" s="121"/>
      <c r="GT68" s="121"/>
      <c r="GU68" s="121"/>
      <c r="GV68" s="121"/>
      <c r="GW68" s="121"/>
      <c r="GX68" s="121"/>
      <c r="GY68" s="121"/>
      <c r="GZ68" s="121"/>
      <c r="HA68" s="121"/>
      <c r="HB68" s="121"/>
      <c r="HC68" s="121"/>
      <c r="HD68" s="121"/>
      <c r="HE68" s="121"/>
      <c r="HF68" s="121"/>
      <c r="HG68" s="121"/>
      <c r="HH68" s="121"/>
      <c r="HI68" s="121"/>
      <c r="HJ68" s="121"/>
      <c r="HK68" s="121"/>
      <c r="HL68" s="121"/>
      <c r="HM68" s="121"/>
      <c r="HN68" s="121"/>
      <c r="HO68" s="121"/>
      <c r="HP68" s="121"/>
    </row>
    <row r="69" spans="1:224" s="136" customFormat="1" ht="18.75" customHeight="1" thickBot="1" x14ac:dyDescent="0.25">
      <c r="A69" s="237"/>
      <c r="B69" s="138" t="s">
        <v>136</v>
      </c>
      <c r="C69" s="297">
        <v>16</v>
      </c>
      <c r="D69" s="422">
        <f t="shared" si="51"/>
        <v>53</v>
      </c>
      <c r="E69" s="422">
        <f t="shared" si="51"/>
        <v>45</v>
      </c>
      <c r="F69" s="422">
        <f t="shared" si="51"/>
        <v>16</v>
      </c>
      <c r="G69" s="422">
        <f t="shared" si="51"/>
        <v>15</v>
      </c>
      <c r="H69" s="422">
        <f t="shared" si="51"/>
        <v>26</v>
      </c>
      <c r="I69" s="422">
        <f t="shared" si="51"/>
        <v>16</v>
      </c>
      <c r="J69" s="422">
        <f t="shared" si="51"/>
        <v>22</v>
      </c>
      <c r="K69" s="422">
        <f t="shared" si="51"/>
        <v>16</v>
      </c>
      <c r="L69" s="422">
        <f t="shared" si="51"/>
        <v>53</v>
      </c>
      <c r="M69" s="422">
        <f t="shared" si="51"/>
        <v>15</v>
      </c>
      <c r="N69" s="422">
        <f t="shared" si="51"/>
        <v>41</v>
      </c>
      <c r="O69" s="422">
        <f t="shared" si="51"/>
        <v>16</v>
      </c>
      <c r="P69" s="422">
        <f t="shared" si="51"/>
        <v>16</v>
      </c>
      <c r="Q69" s="422">
        <f t="shared" si="51"/>
        <v>16</v>
      </c>
      <c r="R69" s="422">
        <f t="shared" si="51"/>
        <v>16</v>
      </c>
      <c r="S69" s="422">
        <f t="shared" si="51"/>
        <v>16</v>
      </c>
      <c r="T69" s="422">
        <f t="shared" si="51"/>
        <v>15</v>
      </c>
      <c r="U69" s="422">
        <f t="shared" si="51"/>
        <v>16</v>
      </c>
      <c r="V69" s="422">
        <f t="shared" si="51"/>
        <v>15</v>
      </c>
      <c r="W69" s="422">
        <f t="shared" si="51"/>
        <v>17</v>
      </c>
      <c r="X69" s="422">
        <f t="shared" si="51"/>
        <v>18</v>
      </c>
      <c r="Y69" s="422">
        <f t="shared" si="51"/>
        <v>85</v>
      </c>
      <c r="Z69" s="422">
        <f t="shared" si="51"/>
        <v>96</v>
      </c>
      <c r="AA69" s="422">
        <f t="shared" si="51"/>
        <v>95</v>
      </c>
      <c r="AB69" s="422">
        <f t="shared" si="51"/>
        <v>104</v>
      </c>
      <c r="AC69" s="422">
        <f t="shared" si="51"/>
        <v>115</v>
      </c>
      <c r="AD69" s="422">
        <f t="shared" si="51"/>
        <v>66</v>
      </c>
      <c r="AE69" s="422">
        <f t="shared" si="51"/>
        <v>53</v>
      </c>
      <c r="AF69" s="422">
        <f t="shared" si="51"/>
        <v>118</v>
      </c>
      <c r="AG69" s="422">
        <f t="shared" si="51"/>
        <v>146</v>
      </c>
      <c r="AH69" s="422">
        <f t="shared" si="51"/>
        <v>126</v>
      </c>
      <c r="AI69" s="297"/>
      <c r="AJ69" s="285"/>
      <c r="AK69" s="121">
        <v>37</v>
      </c>
      <c r="AL69" s="121">
        <v>16</v>
      </c>
      <c r="AM69" s="121"/>
      <c r="AN69" s="121"/>
      <c r="AO69" s="121"/>
      <c r="AP69" s="121"/>
      <c r="AQ69" s="121"/>
      <c r="AR69" s="121"/>
      <c r="AS69" s="121"/>
      <c r="AT69" s="121"/>
      <c r="AU69" s="121"/>
      <c r="AV69" s="121"/>
      <c r="AW69" s="121"/>
      <c r="AX69" s="121"/>
      <c r="AY69" s="121"/>
      <c r="AZ69" s="121"/>
      <c r="BA69" s="121"/>
      <c r="BB69" s="121"/>
      <c r="BC69" s="121"/>
      <c r="BD69" s="121"/>
      <c r="BE69" s="121"/>
      <c r="BF69" s="121"/>
      <c r="BG69" s="121"/>
      <c r="BH69" s="121"/>
      <c r="BI69" s="121"/>
      <c r="BJ69" s="121"/>
      <c r="BK69" s="121"/>
      <c r="BL69" s="121"/>
      <c r="BM69" s="121"/>
      <c r="BN69" s="121"/>
      <c r="BO69" s="121"/>
      <c r="BP69" s="121"/>
      <c r="BQ69" s="121"/>
      <c r="BR69" s="121"/>
      <c r="BS69" s="121"/>
      <c r="BT69" s="121"/>
      <c r="BU69" s="121"/>
      <c r="BV69" s="121"/>
      <c r="BW69" s="121"/>
      <c r="BX69" s="121"/>
      <c r="BY69" s="121"/>
      <c r="BZ69" s="121"/>
      <c r="CA69" s="121"/>
      <c r="CB69" s="121"/>
      <c r="CC69" s="121"/>
      <c r="CD69" s="121"/>
      <c r="CE69" s="121"/>
      <c r="CF69" s="121"/>
      <c r="CG69" s="121"/>
      <c r="CH69" s="121"/>
      <c r="CI69" s="121"/>
      <c r="CJ69" s="121"/>
      <c r="CK69" s="121"/>
      <c r="CL69" s="121"/>
      <c r="CM69" s="121"/>
      <c r="CN69" s="121"/>
      <c r="CO69" s="121"/>
      <c r="CP69" s="121"/>
      <c r="CQ69" s="121"/>
      <c r="CR69" s="121"/>
      <c r="CS69" s="121"/>
      <c r="CT69" s="121"/>
      <c r="CU69" s="121"/>
      <c r="CV69" s="121"/>
      <c r="CW69" s="121"/>
      <c r="CX69" s="121"/>
      <c r="CY69" s="121"/>
      <c r="CZ69" s="121"/>
      <c r="DA69" s="121"/>
      <c r="DB69" s="121"/>
      <c r="DC69" s="121"/>
      <c r="DD69" s="121"/>
      <c r="DE69" s="121"/>
      <c r="DF69" s="121"/>
      <c r="DG69" s="121"/>
      <c r="DH69" s="121"/>
      <c r="DI69" s="121"/>
      <c r="DJ69" s="121"/>
      <c r="DK69" s="121"/>
      <c r="DL69" s="121"/>
      <c r="DM69" s="121"/>
      <c r="DN69" s="121"/>
      <c r="DO69" s="121"/>
      <c r="DP69" s="121"/>
      <c r="DQ69" s="121"/>
      <c r="DR69" s="121"/>
      <c r="DS69" s="121"/>
      <c r="DT69" s="121"/>
      <c r="DU69" s="121"/>
      <c r="DV69" s="121"/>
      <c r="DW69" s="121"/>
      <c r="DX69" s="121"/>
      <c r="DY69" s="121"/>
      <c r="DZ69" s="121"/>
      <c r="EA69" s="121"/>
      <c r="EB69" s="121"/>
      <c r="EC69" s="121"/>
      <c r="ED69" s="121"/>
      <c r="EE69" s="121"/>
      <c r="EF69" s="121"/>
      <c r="EG69" s="121"/>
      <c r="EH69" s="121"/>
      <c r="EI69" s="121"/>
      <c r="EJ69" s="121"/>
      <c r="EK69" s="121"/>
      <c r="EL69" s="121"/>
      <c r="EM69" s="121"/>
      <c r="EN69" s="121"/>
      <c r="EO69" s="121"/>
      <c r="EP69" s="121"/>
      <c r="EQ69" s="121"/>
      <c r="ER69" s="121"/>
      <c r="ES69" s="121"/>
      <c r="ET69" s="121"/>
      <c r="EU69" s="121"/>
      <c r="EV69" s="121"/>
      <c r="EW69" s="121"/>
      <c r="EX69" s="121"/>
      <c r="EY69" s="121"/>
      <c r="EZ69" s="121"/>
      <c r="FA69" s="121"/>
      <c r="FB69" s="121"/>
      <c r="FC69" s="121"/>
      <c r="FD69" s="121"/>
      <c r="FE69" s="121"/>
      <c r="FF69" s="121"/>
      <c r="FG69" s="121"/>
      <c r="FH69" s="121"/>
      <c r="FI69" s="121"/>
      <c r="FJ69" s="121"/>
      <c r="FK69" s="121"/>
      <c r="FL69" s="121"/>
      <c r="FM69" s="121"/>
      <c r="FN69" s="121"/>
      <c r="FO69" s="121"/>
      <c r="FP69" s="121"/>
      <c r="FQ69" s="121"/>
      <c r="FR69" s="121"/>
      <c r="FS69" s="121"/>
      <c r="FT69" s="121"/>
      <c r="FU69" s="121"/>
      <c r="FV69" s="121"/>
      <c r="FW69" s="121"/>
      <c r="FX69" s="121"/>
      <c r="FY69" s="121"/>
      <c r="FZ69" s="121"/>
      <c r="GA69" s="121"/>
      <c r="GB69" s="121"/>
      <c r="GC69" s="121"/>
      <c r="GD69" s="121"/>
      <c r="GE69" s="121"/>
      <c r="GF69" s="121"/>
      <c r="GG69" s="121"/>
      <c r="GH69" s="121"/>
      <c r="GI69" s="121"/>
      <c r="GJ69" s="121"/>
      <c r="GK69" s="121"/>
      <c r="GL69" s="121"/>
      <c r="GM69" s="121"/>
      <c r="GN69" s="121"/>
      <c r="GO69" s="121"/>
      <c r="GP69" s="121"/>
      <c r="GQ69" s="121"/>
      <c r="GR69" s="121"/>
      <c r="GS69" s="121"/>
      <c r="GT69" s="121"/>
      <c r="GU69" s="121"/>
      <c r="GV69" s="121"/>
      <c r="GW69" s="121"/>
      <c r="GX69" s="121"/>
      <c r="GY69" s="121"/>
      <c r="GZ69" s="121"/>
      <c r="HA69" s="121"/>
      <c r="HB69" s="121"/>
      <c r="HC69" s="121"/>
      <c r="HD69" s="121"/>
      <c r="HE69" s="121"/>
      <c r="HF69" s="121"/>
      <c r="HG69" s="121"/>
      <c r="HH69" s="121"/>
      <c r="HI69" s="121"/>
      <c r="HJ69" s="121"/>
      <c r="HK69" s="121"/>
      <c r="HL69" s="121"/>
      <c r="HM69" s="121"/>
      <c r="HN69" s="121"/>
      <c r="HO69" s="121"/>
      <c r="HP69" s="121"/>
    </row>
    <row r="70" spans="1:224" s="139" customFormat="1" ht="18.75" customHeight="1" x14ac:dyDescent="0.2">
      <c r="A70" s="494" t="s">
        <v>142</v>
      </c>
      <c r="B70" s="238" t="s">
        <v>143</v>
      </c>
      <c r="C70" s="293">
        <v>7660</v>
      </c>
      <c r="D70" s="417">
        <f t="shared" ref="D70" si="52">D59+D60-D66</f>
        <v>6575</v>
      </c>
      <c r="E70" s="417">
        <f>E59+E60-E66</f>
        <v>7077</v>
      </c>
      <c r="F70" s="417">
        <f t="shared" ref="F70:G70" si="53">F59+F60-F66</f>
        <v>7981</v>
      </c>
      <c r="G70" s="417">
        <f t="shared" si="53"/>
        <v>7605</v>
      </c>
      <c r="H70" s="417">
        <f t="shared" ref="H70" si="54">H59+H60-H66</f>
        <v>7768</v>
      </c>
      <c r="I70" s="417">
        <f t="shared" ref="I70:N70" si="55">I59+I60-I66</f>
        <v>7906</v>
      </c>
      <c r="J70" s="417">
        <f t="shared" si="55"/>
        <v>7423</v>
      </c>
      <c r="K70" s="417">
        <f t="shared" si="55"/>
        <v>6832</v>
      </c>
      <c r="L70" s="417">
        <f t="shared" si="55"/>
        <v>6884</v>
      </c>
      <c r="M70" s="417">
        <f t="shared" si="55"/>
        <v>7626</v>
      </c>
      <c r="N70" s="417">
        <f t="shared" si="55"/>
        <v>6528</v>
      </c>
      <c r="O70" s="417">
        <f t="shared" ref="O70:P70" si="56">O59+O60-O66</f>
        <v>7283</v>
      </c>
      <c r="P70" s="417">
        <f t="shared" si="56"/>
        <v>7146</v>
      </c>
      <c r="Q70" s="417">
        <f t="shared" ref="Q70:R70" si="57">Q59+Q60-Q66</f>
        <v>6803</v>
      </c>
      <c r="R70" s="417">
        <f t="shared" si="57"/>
        <v>5990</v>
      </c>
      <c r="S70" s="417">
        <f t="shared" ref="S70:T70" si="58">S59+S60-S66</f>
        <v>6967</v>
      </c>
      <c r="T70" s="417">
        <f t="shared" si="58"/>
        <v>6996</v>
      </c>
      <c r="U70" s="417">
        <f t="shared" ref="U70:V70" si="59">U59+U60-U66</f>
        <v>6462</v>
      </c>
      <c r="V70" s="417">
        <f t="shared" si="59"/>
        <v>6791</v>
      </c>
      <c r="W70" s="417">
        <f t="shared" ref="W70:X70" si="60">W59+W60-W66</f>
        <v>6131</v>
      </c>
      <c r="X70" s="417">
        <f t="shared" si="60"/>
        <v>6583</v>
      </c>
      <c r="Y70" s="417">
        <f t="shared" ref="Y70:Z70" si="61">Y59+Y60-Y66</f>
        <v>5964</v>
      </c>
      <c r="Z70" s="417">
        <f t="shared" si="61"/>
        <v>6439</v>
      </c>
      <c r="AA70" s="417">
        <f t="shared" ref="AA70:AB70" si="62">AA59+AA60-AA66</f>
        <v>6653</v>
      </c>
      <c r="AB70" s="417">
        <f t="shared" si="62"/>
        <v>6259</v>
      </c>
      <c r="AC70" s="417">
        <f t="shared" ref="AC70:AD70" si="63">AC59+AC60-AC66</f>
        <v>6495</v>
      </c>
      <c r="AD70" s="417">
        <f t="shared" si="63"/>
        <v>5375</v>
      </c>
      <c r="AE70" s="417">
        <f t="shared" ref="AE70:AF70" si="64">AE59+AE60-AE66</f>
        <v>6843</v>
      </c>
      <c r="AF70" s="417">
        <f t="shared" si="64"/>
        <v>6408</v>
      </c>
      <c r="AG70" s="417">
        <f t="shared" ref="AG70:AH70" si="65">AG59+AG60-AG66</f>
        <v>5851</v>
      </c>
      <c r="AH70" s="417">
        <f t="shared" si="65"/>
        <v>6189</v>
      </c>
      <c r="AI70" s="293"/>
      <c r="AJ70" s="220">
        <f>AVERAGE(D70:AH70)</f>
        <v>6768.8064516129034</v>
      </c>
      <c r="AK70" s="121">
        <v>4137</v>
      </c>
      <c r="AL70" s="121">
        <v>6998</v>
      </c>
      <c r="AM70" s="121"/>
      <c r="AN70" s="121"/>
      <c r="AO70" s="121"/>
      <c r="AP70" s="121"/>
      <c r="AQ70" s="121"/>
      <c r="AR70" s="121"/>
      <c r="AS70" s="121"/>
      <c r="AT70" s="121"/>
      <c r="AU70" s="121"/>
      <c r="AV70" s="121"/>
      <c r="AW70" s="121"/>
      <c r="AX70" s="121"/>
      <c r="AY70" s="121"/>
      <c r="AZ70" s="121"/>
      <c r="BA70" s="121"/>
      <c r="BB70" s="121"/>
      <c r="BC70" s="121"/>
      <c r="BD70" s="121"/>
      <c r="BE70" s="121"/>
      <c r="BF70" s="121"/>
      <c r="BG70" s="121"/>
      <c r="BH70" s="121"/>
      <c r="BI70" s="121"/>
      <c r="BJ70" s="121"/>
      <c r="BK70" s="121"/>
      <c r="BL70" s="121"/>
      <c r="BM70" s="121"/>
      <c r="BN70" s="121"/>
      <c r="BO70" s="121"/>
      <c r="BP70" s="121"/>
      <c r="BQ70" s="121"/>
      <c r="BR70" s="121"/>
      <c r="BS70" s="121"/>
      <c r="BT70" s="121"/>
      <c r="BU70" s="121"/>
      <c r="BV70" s="121"/>
      <c r="BW70" s="121"/>
      <c r="BX70" s="121"/>
      <c r="BY70" s="121"/>
      <c r="BZ70" s="121"/>
      <c r="CA70" s="121"/>
      <c r="CB70" s="121"/>
      <c r="CC70" s="121"/>
      <c r="CD70" s="121"/>
      <c r="CE70" s="121"/>
      <c r="CF70" s="121"/>
      <c r="CG70" s="121"/>
      <c r="CH70" s="121"/>
      <c r="CI70" s="121"/>
      <c r="CJ70" s="121"/>
      <c r="CK70" s="121"/>
      <c r="CL70" s="121"/>
      <c r="CM70" s="121"/>
      <c r="CN70" s="121"/>
      <c r="CO70" s="121"/>
      <c r="CP70" s="121"/>
      <c r="CQ70" s="121"/>
      <c r="CR70" s="121"/>
      <c r="CS70" s="121"/>
      <c r="CT70" s="121"/>
      <c r="CU70" s="121"/>
      <c r="CV70" s="121"/>
      <c r="CW70" s="121"/>
      <c r="CX70" s="121"/>
      <c r="CY70" s="121"/>
      <c r="CZ70" s="121"/>
      <c r="DA70" s="121"/>
      <c r="DB70" s="121"/>
      <c r="DC70" s="121"/>
      <c r="DD70" s="121"/>
      <c r="DE70" s="121"/>
      <c r="DF70" s="121"/>
      <c r="DG70" s="121"/>
      <c r="DH70" s="121"/>
      <c r="DI70" s="121"/>
      <c r="DJ70" s="121"/>
      <c r="DK70" s="121"/>
      <c r="DL70" s="121"/>
      <c r="DM70" s="121"/>
      <c r="DN70" s="121"/>
      <c r="DO70" s="121"/>
      <c r="DP70" s="121"/>
      <c r="DQ70" s="121"/>
      <c r="DR70" s="121"/>
      <c r="DS70" s="121"/>
      <c r="DT70" s="121"/>
      <c r="DU70" s="121"/>
      <c r="DV70" s="121"/>
      <c r="DW70" s="121"/>
      <c r="DX70" s="121"/>
      <c r="DY70" s="121"/>
      <c r="DZ70" s="121"/>
      <c r="EA70" s="121"/>
      <c r="EB70" s="121"/>
      <c r="EC70" s="121"/>
      <c r="ED70" s="121"/>
      <c r="EE70" s="121"/>
      <c r="EF70" s="121"/>
      <c r="EG70" s="121"/>
      <c r="EH70" s="121"/>
      <c r="EI70" s="121"/>
      <c r="EJ70" s="121"/>
      <c r="EK70" s="121"/>
      <c r="EL70" s="121"/>
      <c r="EM70" s="121"/>
      <c r="EN70" s="121"/>
      <c r="EO70" s="121"/>
      <c r="EP70" s="121"/>
      <c r="EQ70" s="121"/>
      <c r="ER70" s="121"/>
      <c r="ES70" s="121"/>
      <c r="ET70" s="121"/>
      <c r="EU70" s="121"/>
      <c r="EV70" s="121"/>
      <c r="EW70" s="121"/>
      <c r="EX70" s="121"/>
      <c r="EY70" s="121"/>
      <c r="EZ70" s="121"/>
      <c r="FA70" s="121"/>
      <c r="FB70" s="121"/>
      <c r="FC70" s="121"/>
      <c r="FD70" s="121"/>
      <c r="FE70" s="121"/>
      <c r="FF70" s="121"/>
      <c r="FG70" s="121"/>
      <c r="FH70" s="121"/>
      <c r="FI70" s="121"/>
      <c r="FJ70" s="121"/>
      <c r="FK70" s="121"/>
      <c r="FL70" s="121"/>
      <c r="FM70" s="121"/>
      <c r="FN70" s="121"/>
      <c r="FO70" s="121"/>
      <c r="FP70" s="121"/>
      <c r="FQ70" s="121"/>
      <c r="FR70" s="121"/>
      <c r="FS70" s="121"/>
      <c r="FT70" s="121"/>
      <c r="FU70" s="121"/>
      <c r="FV70" s="121"/>
      <c r="FW70" s="121"/>
      <c r="FX70" s="121"/>
      <c r="FY70" s="121"/>
      <c r="FZ70" s="121"/>
      <c r="GA70" s="121"/>
      <c r="GB70" s="121"/>
      <c r="GC70" s="121"/>
      <c r="GD70" s="121"/>
      <c r="GE70" s="121"/>
      <c r="GF70" s="121"/>
      <c r="GG70" s="121"/>
      <c r="GH70" s="121"/>
      <c r="GI70" s="121"/>
      <c r="GJ70" s="121"/>
      <c r="GK70" s="121"/>
      <c r="GL70" s="121"/>
      <c r="GM70" s="121"/>
      <c r="GN70" s="121"/>
      <c r="GO70" s="121"/>
      <c r="GP70" s="121"/>
      <c r="GQ70" s="121"/>
      <c r="GR70" s="121"/>
      <c r="GS70" s="121"/>
      <c r="GT70" s="121"/>
      <c r="GU70" s="121"/>
      <c r="GV70" s="121"/>
      <c r="GW70" s="121"/>
      <c r="GX70" s="121"/>
      <c r="GY70" s="121"/>
      <c r="GZ70" s="121"/>
      <c r="HA70" s="121"/>
      <c r="HB70" s="121"/>
      <c r="HC70" s="121"/>
      <c r="HD70" s="121"/>
      <c r="HE70" s="121"/>
      <c r="HF70" s="121"/>
      <c r="HG70" s="121"/>
      <c r="HH70" s="121"/>
      <c r="HI70" s="121"/>
      <c r="HJ70" s="121"/>
      <c r="HK70" s="121"/>
      <c r="HL70" s="121"/>
      <c r="HM70" s="121"/>
      <c r="HN70" s="121"/>
      <c r="HO70" s="121"/>
      <c r="HP70" s="121"/>
    </row>
    <row r="71" spans="1:224" s="144" customFormat="1" ht="28.5" x14ac:dyDescent="0.2">
      <c r="A71" s="495"/>
      <c r="B71" s="217" t="s">
        <v>144</v>
      </c>
      <c r="C71" s="361">
        <v>221847</v>
      </c>
      <c r="D71" s="424">
        <f t="shared" ref="D71:AH71" si="66">C71+D70</f>
        <v>228422</v>
      </c>
      <c r="E71" s="424">
        <f t="shared" si="66"/>
        <v>235499</v>
      </c>
      <c r="F71" s="424">
        <f t="shared" si="66"/>
        <v>243480</v>
      </c>
      <c r="G71" s="424">
        <f t="shared" si="66"/>
        <v>251085</v>
      </c>
      <c r="H71" s="424">
        <f t="shared" si="66"/>
        <v>258853</v>
      </c>
      <c r="I71" s="424">
        <f t="shared" si="66"/>
        <v>266759</v>
      </c>
      <c r="J71" s="424">
        <f t="shared" si="66"/>
        <v>274182</v>
      </c>
      <c r="K71" s="424">
        <f t="shared" si="66"/>
        <v>281014</v>
      </c>
      <c r="L71" s="424">
        <f t="shared" si="66"/>
        <v>287898</v>
      </c>
      <c r="M71" s="424">
        <f t="shared" si="66"/>
        <v>295524</v>
      </c>
      <c r="N71" s="424">
        <f t="shared" si="66"/>
        <v>302052</v>
      </c>
      <c r="O71" s="424">
        <f t="shared" si="66"/>
        <v>309335</v>
      </c>
      <c r="P71" s="424">
        <f t="shared" si="66"/>
        <v>316481</v>
      </c>
      <c r="Q71" s="424">
        <f t="shared" si="66"/>
        <v>323284</v>
      </c>
      <c r="R71" s="424">
        <f t="shared" si="66"/>
        <v>329274</v>
      </c>
      <c r="S71" s="424">
        <f t="shared" si="66"/>
        <v>336241</v>
      </c>
      <c r="T71" s="424">
        <f t="shared" si="66"/>
        <v>343237</v>
      </c>
      <c r="U71" s="424">
        <f t="shared" si="66"/>
        <v>349699</v>
      </c>
      <c r="V71" s="424">
        <f t="shared" si="66"/>
        <v>356490</v>
      </c>
      <c r="W71" s="424">
        <f t="shared" si="66"/>
        <v>362621</v>
      </c>
      <c r="X71" s="424">
        <f t="shared" si="66"/>
        <v>369204</v>
      </c>
      <c r="Y71" s="424">
        <f t="shared" si="66"/>
        <v>375168</v>
      </c>
      <c r="Z71" s="424">
        <f t="shared" si="66"/>
        <v>381607</v>
      </c>
      <c r="AA71" s="424">
        <f t="shared" si="66"/>
        <v>388260</v>
      </c>
      <c r="AB71" s="424">
        <f t="shared" si="66"/>
        <v>394519</v>
      </c>
      <c r="AC71" s="424">
        <f t="shared" si="66"/>
        <v>401014</v>
      </c>
      <c r="AD71" s="424">
        <f t="shared" si="66"/>
        <v>406389</v>
      </c>
      <c r="AE71" s="424">
        <f t="shared" si="66"/>
        <v>413232</v>
      </c>
      <c r="AF71" s="424">
        <f t="shared" si="66"/>
        <v>419640</v>
      </c>
      <c r="AG71" s="424">
        <f t="shared" si="66"/>
        <v>425491</v>
      </c>
      <c r="AH71" s="424">
        <f t="shared" si="66"/>
        <v>431680</v>
      </c>
      <c r="AI71" s="361"/>
      <c r="AJ71" s="218"/>
      <c r="AK71" s="111">
        <v>168378</v>
      </c>
      <c r="AL71" s="111">
        <v>241747</v>
      </c>
      <c r="AM71" s="111"/>
      <c r="AN71" s="111"/>
      <c r="AO71" s="111"/>
      <c r="AP71" s="111"/>
      <c r="AQ71" s="111"/>
      <c r="AR71" s="111"/>
      <c r="AS71" s="111"/>
      <c r="AT71" s="111"/>
      <c r="AU71" s="111"/>
      <c r="AV71" s="111"/>
      <c r="AW71" s="111"/>
      <c r="AX71" s="111"/>
      <c r="AY71" s="111"/>
      <c r="AZ71" s="111"/>
      <c r="BA71" s="111"/>
      <c r="BB71" s="111"/>
      <c r="BC71" s="111"/>
      <c r="BD71" s="111"/>
      <c r="BE71" s="111"/>
      <c r="BF71" s="111"/>
      <c r="BG71" s="111"/>
      <c r="BH71" s="111"/>
      <c r="BI71" s="111"/>
      <c r="BJ71" s="111"/>
      <c r="BK71" s="111"/>
      <c r="BL71" s="111"/>
      <c r="BM71" s="111"/>
      <c r="BN71" s="111"/>
      <c r="BO71" s="111"/>
      <c r="BP71" s="111"/>
      <c r="BQ71" s="111"/>
      <c r="BR71" s="111"/>
      <c r="BS71" s="111"/>
      <c r="BT71" s="111"/>
      <c r="BU71" s="111"/>
      <c r="BV71" s="111"/>
      <c r="BW71" s="111"/>
      <c r="BX71" s="111"/>
      <c r="BY71" s="111"/>
      <c r="BZ71" s="111"/>
      <c r="CA71" s="111"/>
      <c r="CB71" s="111"/>
      <c r="CC71" s="111"/>
      <c r="CD71" s="111"/>
      <c r="CE71" s="111"/>
      <c r="CF71" s="111"/>
      <c r="CG71" s="111"/>
      <c r="CH71" s="111"/>
      <c r="CI71" s="111"/>
      <c r="CJ71" s="111"/>
      <c r="CK71" s="111"/>
      <c r="CL71" s="111"/>
      <c r="CM71" s="111"/>
      <c r="CN71" s="111"/>
      <c r="CO71" s="111"/>
      <c r="CP71" s="111"/>
      <c r="CQ71" s="111"/>
      <c r="CR71" s="111"/>
      <c r="CS71" s="111"/>
      <c r="CT71" s="111"/>
      <c r="CU71" s="111"/>
      <c r="CV71" s="111"/>
      <c r="CW71" s="111"/>
      <c r="CX71" s="111"/>
      <c r="CY71" s="111"/>
      <c r="CZ71" s="111"/>
      <c r="DA71" s="111"/>
      <c r="DB71" s="111"/>
      <c r="DC71" s="111"/>
      <c r="DD71" s="111"/>
      <c r="DE71" s="111"/>
      <c r="DF71" s="111"/>
      <c r="DG71" s="111"/>
      <c r="DH71" s="111"/>
      <c r="DI71" s="111"/>
      <c r="DJ71" s="111"/>
      <c r="DK71" s="111"/>
      <c r="DL71" s="111"/>
      <c r="DM71" s="111"/>
      <c r="DN71" s="111"/>
      <c r="DO71" s="111"/>
      <c r="DP71" s="111"/>
      <c r="DQ71" s="111"/>
      <c r="DR71" s="111"/>
      <c r="DS71" s="111"/>
      <c r="DT71" s="111"/>
      <c r="DU71" s="111"/>
      <c r="DV71" s="111"/>
      <c r="DW71" s="111"/>
      <c r="DX71" s="111"/>
      <c r="DY71" s="111"/>
      <c r="DZ71" s="111"/>
      <c r="EA71" s="111"/>
      <c r="EB71" s="111"/>
      <c r="EC71" s="111"/>
      <c r="ED71" s="111"/>
      <c r="EE71" s="111"/>
      <c r="EF71" s="111"/>
      <c r="EG71" s="111"/>
      <c r="EH71" s="111"/>
      <c r="EI71" s="111"/>
      <c r="EJ71" s="111"/>
      <c r="EK71" s="111"/>
      <c r="EL71" s="111"/>
      <c r="EM71" s="111"/>
      <c r="EN71" s="111"/>
      <c r="EO71" s="111"/>
      <c r="EP71" s="111"/>
      <c r="EQ71" s="111"/>
      <c r="ER71" s="111"/>
      <c r="ES71" s="111"/>
      <c r="ET71" s="111"/>
      <c r="EU71" s="111"/>
      <c r="EV71" s="111"/>
      <c r="EW71" s="111"/>
      <c r="EX71" s="111"/>
      <c r="EY71" s="111"/>
      <c r="EZ71" s="111"/>
      <c r="FA71" s="111"/>
      <c r="FB71" s="111"/>
      <c r="FC71" s="111"/>
      <c r="FD71" s="111"/>
      <c r="FE71" s="111"/>
      <c r="FF71" s="111"/>
      <c r="FG71" s="111"/>
      <c r="FH71" s="111"/>
      <c r="FI71" s="111"/>
      <c r="FJ71" s="111"/>
      <c r="FK71" s="111"/>
      <c r="FL71" s="111"/>
      <c r="FM71" s="111"/>
      <c r="FN71" s="111"/>
      <c r="FO71" s="111"/>
      <c r="FP71" s="111"/>
      <c r="FQ71" s="111"/>
      <c r="FR71" s="111"/>
      <c r="FS71" s="111"/>
      <c r="FT71" s="111"/>
      <c r="FU71" s="111"/>
      <c r="FV71" s="111"/>
      <c r="FW71" s="111"/>
      <c r="FX71" s="111"/>
      <c r="FY71" s="111"/>
      <c r="FZ71" s="111"/>
      <c r="GA71" s="111"/>
      <c r="GB71" s="111"/>
      <c r="GC71" s="111"/>
      <c r="GD71" s="111"/>
      <c r="GE71" s="111"/>
      <c r="GF71" s="111"/>
      <c r="GG71" s="111"/>
      <c r="GH71" s="111"/>
      <c r="GI71" s="111"/>
      <c r="GJ71" s="111"/>
      <c r="GK71" s="111"/>
      <c r="GL71" s="111"/>
      <c r="GM71" s="111"/>
      <c r="GN71" s="111"/>
      <c r="GO71" s="111"/>
      <c r="GP71" s="111"/>
      <c r="GQ71" s="111"/>
      <c r="GR71" s="111"/>
      <c r="GS71" s="111"/>
      <c r="GT71" s="111"/>
      <c r="GU71" s="111"/>
      <c r="GV71" s="111"/>
      <c r="GW71" s="111"/>
      <c r="GX71" s="111"/>
      <c r="GY71" s="111"/>
      <c r="GZ71" s="111"/>
      <c r="HA71" s="111"/>
      <c r="HB71" s="111"/>
      <c r="HC71" s="111"/>
      <c r="HD71" s="111"/>
      <c r="HE71" s="111"/>
      <c r="HF71" s="111"/>
      <c r="HG71" s="111"/>
      <c r="HH71" s="111"/>
      <c r="HI71" s="111"/>
      <c r="HJ71" s="111"/>
      <c r="HK71" s="111"/>
      <c r="HL71" s="111"/>
      <c r="HM71" s="111"/>
      <c r="HN71" s="111"/>
      <c r="HO71" s="111"/>
      <c r="HP71" s="111"/>
    </row>
    <row r="72" spans="1:224" s="144" customFormat="1" ht="18.75" customHeight="1" x14ac:dyDescent="0.2">
      <c r="A72" s="495"/>
      <c r="B72" s="217" t="s">
        <v>145</v>
      </c>
      <c r="C72" s="298">
        <v>0.69294420216929442</v>
      </c>
      <c r="D72" s="425">
        <f t="shared" ref="D72:E72" si="67">D82/D78</f>
        <v>0.87474146845915202</v>
      </c>
      <c r="E72" s="425">
        <f t="shared" si="67"/>
        <v>0.88420796298551074</v>
      </c>
      <c r="F72" s="425">
        <f t="shared" ref="F72:G72" si="68">F82/F78</f>
        <v>0.87303138916042144</v>
      </c>
      <c r="G72" s="425">
        <f t="shared" si="68"/>
        <v>0.88287569784664466</v>
      </c>
      <c r="H72" s="425">
        <f t="shared" ref="H72" si="69">H82/H78</f>
        <v>0.88236575536433937</v>
      </c>
      <c r="I72" s="425">
        <f t="shared" ref="I72:K73" si="70">I82/I78</f>
        <v>0.89272626318711823</v>
      </c>
      <c r="J72" s="425">
        <f t="shared" si="70"/>
        <v>0.86727421427736884</v>
      </c>
      <c r="K72" s="425">
        <f t="shared" si="70"/>
        <v>0.84901205418168257</v>
      </c>
      <c r="L72" s="425">
        <f t="shared" ref="L72:M72" si="71">L82/L78</f>
        <v>0.83381782945736438</v>
      </c>
      <c r="M72" s="425">
        <f t="shared" si="71"/>
        <v>0.87816674343620449</v>
      </c>
      <c r="N72" s="425">
        <f t="shared" ref="N72:O72" si="72">N82/N78</f>
        <v>0.84636328276935047</v>
      </c>
      <c r="O72" s="425">
        <f t="shared" si="72"/>
        <v>0.87673046827976409</v>
      </c>
      <c r="P72" s="425">
        <f t="shared" ref="P72:Q72" si="73">P82/P78</f>
        <v>0.87896678966789665</v>
      </c>
      <c r="Q72" s="425">
        <f t="shared" si="73"/>
        <v>0.88500065044880971</v>
      </c>
      <c r="R72" s="425">
        <f t="shared" ref="R72:S72" si="74">R82/R78</f>
        <v>0.86211859527921708</v>
      </c>
      <c r="S72" s="425">
        <f t="shared" si="74"/>
        <v>0.87569130216189039</v>
      </c>
      <c r="T72" s="425">
        <f t="shared" ref="T72:U72" si="75">T82/T78</f>
        <v>0.88579387186629521</v>
      </c>
      <c r="U72" s="425">
        <f t="shared" si="75"/>
        <v>0.86808167651800106</v>
      </c>
      <c r="V72" s="425">
        <f t="shared" ref="V72:W72" si="76">V82/V78</f>
        <v>0.8638850019081542</v>
      </c>
      <c r="W72" s="425">
        <f t="shared" si="76"/>
        <v>0.82306349845616866</v>
      </c>
      <c r="X72" s="425">
        <f t="shared" ref="X72:Y72" si="77">X82/X78</f>
        <v>0.89224722146923285</v>
      </c>
      <c r="Y72" s="425">
        <f t="shared" si="77"/>
        <v>0.87052984965698443</v>
      </c>
      <c r="Z72" s="425">
        <f t="shared" ref="Z72:AA72" si="78">Z82/Z78</f>
        <v>0.86802372607171741</v>
      </c>
      <c r="AA72" s="425">
        <f t="shared" si="78"/>
        <v>0.82176383399209485</v>
      </c>
      <c r="AB72" s="425">
        <f t="shared" ref="AB72:AC72" si="79">AB82/AB78</f>
        <v>0.62142573471008733</v>
      </c>
      <c r="AC72" s="425">
        <f t="shared" si="79"/>
        <v>0.75086705202312143</v>
      </c>
      <c r="AD72" s="425">
        <f t="shared" ref="AD72:AE72" si="80">AD82/AD78</f>
        <v>0.7556586531702516</v>
      </c>
      <c r="AE72" s="425">
        <f t="shared" si="80"/>
        <v>0.8103979156797726</v>
      </c>
      <c r="AF72" s="425">
        <f t="shared" ref="AF72:AG72" si="81">AF82/AF78</f>
        <v>0.78761061946902655</v>
      </c>
      <c r="AG72" s="425">
        <f t="shared" si="81"/>
        <v>0.79594612977826151</v>
      </c>
      <c r="AH72" s="425">
        <f t="shared" ref="AH72" si="82">AH82/AH78</f>
        <v>0.77102279805655916</v>
      </c>
      <c r="AI72" s="298"/>
      <c r="AJ72" s="218"/>
      <c r="AK72" s="111">
        <v>0.89715536105032823</v>
      </c>
      <c r="AL72" s="111">
        <v>0.86332332685855551</v>
      </c>
      <c r="AM72" s="111"/>
      <c r="AN72" s="111"/>
      <c r="AO72" s="111"/>
      <c r="AP72" s="111"/>
      <c r="AQ72" s="111"/>
      <c r="AR72" s="111"/>
      <c r="AS72" s="111"/>
      <c r="AT72" s="111"/>
      <c r="AU72" s="111"/>
      <c r="AV72" s="111"/>
      <c r="AW72" s="111"/>
      <c r="AX72" s="111"/>
      <c r="AY72" s="111"/>
      <c r="AZ72" s="111"/>
      <c r="BA72" s="111"/>
      <c r="BB72" s="111"/>
      <c r="BC72" s="111"/>
      <c r="BD72" s="111"/>
      <c r="BE72" s="111"/>
      <c r="BF72" s="111"/>
      <c r="BG72" s="111"/>
      <c r="BH72" s="111"/>
      <c r="BI72" s="111"/>
      <c r="BJ72" s="111"/>
      <c r="BK72" s="111"/>
      <c r="BL72" s="111"/>
      <c r="BM72" s="111"/>
      <c r="BN72" s="111"/>
      <c r="BO72" s="111"/>
      <c r="BP72" s="111"/>
      <c r="BQ72" s="111"/>
      <c r="BR72" s="111"/>
      <c r="BS72" s="111"/>
      <c r="BT72" s="111"/>
      <c r="BU72" s="111"/>
      <c r="BV72" s="111"/>
      <c r="BW72" s="111"/>
      <c r="BX72" s="111"/>
      <c r="BY72" s="111"/>
      <c r="BZ72" s="111"/>
      <c r="CA72" s="111"/>
      <c r="CB72" s="111"/>
      <c r="CC72" s="111"/>
      <c r="CD72" s="111"/>
      <c r="CE72" s="111"/>
      <c r="CF72" s="111"/>
      <c r="CG72" s="111"/>
      <c r="CH72" s="111"/>
      <c r="CI72" s="111"/>
      <c r="CJ72" s="111"/>
      <c r="CK72" s="111"/>
      <c r="CL72" s="111"/>
      <c r="CM72" s="111"/>
      <c r="CN72" s="111"/>
      <c r="CO72" s="111"/>
      <c r="CP72" s="111"/>
      <c r="CQ72" s="111"/>
      <c r="CR72" s="111"/>
      <c r="CS72" s="111"/>
      <c r="CT72" s="111"/>
      <c r="CU72" s="111"/>
      <c r="CV72" s="111"/>
      <c r="CW72" s="111"/>
      <c r="CX72" s="111"/>
      <c r="CY72" s="111"/>
      <c r="CZ72" s="111"/>
      <c r="DA72" s="111"/>
      <c r="DB72" s="111"/>
      <c r="DC72" s="111"/>
      <c r="DD72" s="111"/>
      <c r="DE72" s="111"/>
      <c r="DF72" s="111"/>
      <c r="DG72" s="111"/>
      <c r="DH72" s="111"/>
      <c r="DI72" s="111"/>
      <c r="DJ72" s="111"/>
      <c r="DK72" s="111"/>
      <c r="DL72" s="111"/>
      <c r="DM72" s="111"/>
      <c r="DN72" s="111"/>
      <c r="DO72" s="111"/>
      <c r="DP72" s="111"/>
      <c r="DQ72" s="111"/>
      <c r="DR72" s="111"/>
      <c r="DS72" s="111"/>
      <c r="DT72" s="111"/>
      <c r="DU72" s="111"/>
      <c r="DV72" s="111"/>
      <c r="DW72" s="111"/>
      <c r="DX72" s="111"/>
      <c r="DY72" s="111"/>
      <c r="DZ72" s="111"/>
      <c r="EA72" s="111"/>
      <c r="EB72" s="111"/>
      <c r="EC72" s="111"/>
      <c r="ED72" s="111"/>
      <c r="EE72" s="111"/>
      <c r="EF72" s="111"/>
      <c r="EG72" s="111"/>
      <c r="EH72" s="111"/>
      <c r="EI72" s="111"/>
      <c r="EJ72" s="111"/>
      <c r="EK72" s="111"/>
      <c r="EL72" s="111"/>
      <c r="EM72" s="111"/>
      <c r="EN72" s="111"/>
      <c r="EO72" s="111"/>
      <c r="EP72" s="111"/>
      <c r="EQ72" s="111"/>
      <c r="ER72" s="111"/>
      <c r="ES72" s="111"/>
      <c r="ET72" s="111"/>
      <c r="EU72" s="111"/>
      <c r="EV72" s="111"/>
      <c r="EW72" s="111"/>
      <c r="EX72" s="111"/>
      <c r="EY72" s="111"/>
      <c r="EZ72" s="111"/>
      <c r="FA72" s="111"/>
      <c r="FB72" s="111"/>
      <c r="FC72" s="111"/>
      <c r="FD72" s="111"/>
      <c r="FE72" s="111"/>
      <c r="FF72" s="111"/>
      <c r="FG72" s="111"/>
      <c r="FH72" s="111"/>
      <c r="FI72" s="111"/>
      <c r="FJ72" s="111"/>
      <c r="FK72" s="111"/>
      <c r="FL72" s="111"/>
      <c r="FM72" s="111"/>
      <c r="FN72" s="111"/>
      <c r="FO72" s="111"/>
      <c r="FP72" s="111"/>
      <c r="FQ72" s="111"/>
      <c r="FR72" s="111"/>
      <c r="FS72" s="111"/>
      <c r="FT72" s="111"/>
      <c r="FU72" s="111"/>
      <c r="FV72" s="111"/>
      <c r="FW72" s="111"/>
      <c r="FX72" s="111"/>
      <c r="FY72" s="111"/>
      <c r="FZ72" s="111"/>
      <c r="GA72" s="111"/>
      <c r="GB72" s="111"/>
      <c r="GC72" s="111"/>
      <c r="GD72" s="111"/>
      <c r="GE72" s="111"/>
      <c r="GF72" s="111"/>
      <c r="GG72" s="111"/>
      <c r="GH72" s="111"/>
      <c r="GI72" s="111"/>
      <c r="GJ72" s="111"/>
      <c r="GK72" s="111"/>
      <c r="GL72" s="111"/>
      <c r="GM72" s="111"/>
      <c r="GN72" s="111"/>
      <c r="GO72" s="111"/>
      <c r="GP72" s="111"/>
      <c r="GQ72" s="111"/>
      <c r="GR72" s="111"/>
      <c r="GS72" s="111"/>
      <c r="GT72" s="111"/>
      <c r="GU72" s="111"/>
      <c r="GV72" s="111"/>
      <c r="GW72" s="111"/>
      <c r="GX72" s="111"/>
      <c r="GY72" s="111"/>
      <c r="GZ72" s="111"/>
      <c r="HA72" s="111"/>
      <c r="HB72" s="111"/>
      <c r="HC72" s="111"/>
      <c r="HD72" s="111"/>
      <c r="HE72" s="111"/>
      <c r="HF72" s="111"/>
      <c r="HG72" s="111"/>
      <c r="HH72" s="111"/>
      <c r="HI72" s="111"/>
      <c r="HJ72" s="111"/>
      <c r="HK72" s="111"/>
      <c r="HL72" s="111"/>
      <c r="HM72" s="111"/>
      <c r="HN72" s="111"/>
      <c r="HO72" s="111"/>
      <c r="HP72" s="111"/>
    </row>
    <row r="73" spans="1:224" s="139" customFormat="1" ht="30" x14ac:dyDescent="0.2">
      <c r="A73" s="495"/>
      <c r="B73" s="219" t="s">
        <v>146</v>
      </c>
      <c r="C73" s="299">
        <v>0.71123515648083824</v>
      </c>
      <c r="D73" s="426">
        <f t="shared" ref="D73:E73" si="83">D83/D79</f>
        <v>1</v>
      </c>
      <c r="E73" s="426">
        <f t="shared" si="83"/>
        <v>0.87961627688256316</v>
      </c>
      <c r="F73" s="426">
        <f t="shared" ref="F73:G73" si="84">F83/F79</f>
        <v>0.87720623310542212</v>
      </c>
      <c r="G73" s="426">
        <f t="shared" si="84"/>
        <v>0.87867267851354136</v>
      </c>
      <c r="H73" s="426">
        <f t="shared" ref="H73" si="85">H83/H79</f>
        <v>0.8794591084102612</v>
      </c>
      <c r="I73" s="426">
        <f t="shared" si="70"/>
        <v>0.88175137665726511</v>
      </c>
      <c r="J73" s="426">
        <f t="shared" si="70"/>
        <v>0.87970928507861168</v>
      </c>
      <c r="K73" s="426">
        <f t="shared" si="70"/>
        <v>0.87611495089123315</v>
      </c>
      <c r="L73" s="426">
        <f t="shared" ref="L73:M73" si="86">L83/L79</f>
        <v>0.87157870123796777</v>
      </c>
      <c r="M73" s="426">
        <f t="shared" si="86"/>
        <v>0.87224654176151284</v>
      </c>
      <c r="N73" s="426">
        <f t="shared" ref="N73:O73" si="87">N83/N79</f>
        <v>0.87010859088864612</v>
      </c>
      <c r="O73" s="426">
        <f t="shared" si="87"/>
        <v>0.87064955499827901</v>
      </c>
      <c r="P73" s="426">
        <f t="shared" ref="P73:Q73" si="88">P83/P79</f>
        <v>0.87126530983927519</v>
      </c>
      <c r="Q73" s="426">
        <f t="shared" si="88"/>
        <v>0.87216387806164997</v>
      </c>
      <c r="R73" s="426">
        <f t="shared" ref="R73:S73" si="89">R83/R79</f>
        <v>0.87160305343511446</v>
      </c>
      <c r="S73" s="426">
        <f t="shared" si="89"/>
        <v>0.87184870776248813</v>
      </c>
      <c r="T73" s="426">
        <f t="shared" ref="T73:U73" si="90">T83/T79</f>
        <v>0.87263370965902609</v>
      </c>
      <c r="U73" s="426">
        <f t="shared" si="90"/>
        <v>0.87240436418767087</v>
      </c>
      <c r="V73" s="426">
        <f t="shared" ref="V73:W73" si="91">V83/V79</f>
        <v>0.87197398608049659</v>
      </c>
      <c r="W73" s="426">
        <f t="shared" si="91"/>
        <v>0.86973960185946109</v>
      </c>
      <c r="X73" s="426">
        <f t="shared" ref="X73:Y73" si="92">X83/X79</f>
        <v>0.87071393367598393</v>
      </c>
      <c r="Y73" s="426">
        <f t="shared" si="92"/>
        <v>0.87070682001500388</v>
      </c>
      <c r="Z73" s="426">
        <f t="shared" ref="Z73:AA73" si="93">Z83/Z79</f>
        <v>0.87059906337132187</v>
      </c>
      <c r="AA73" s="426">
        <f t="shared" si="93"/>
        <v>0.86854839964523001</v>
      </c>
      <c r="AB73" s="426">
        <f t="shared" ref="AB73:AC73" si="94">AB83/AB79</f>
        <v>0.85627954434547726</v>
      </c>
      <c r="AC73" s="426">
        <f t="shared" si="94"/>
        <v>0.85196881662987001</v>
      </c>
      <c r="AD73" s="426">
        <f t="shared" ref="AD73:AE73" si="95">AD83/AD79</f>
        <v>0.84883550741872338</v>
      </c>
      <c r="AE73" s="426">
        <f t="shared" si="95"/>
        <v>0.84740620045798842</v>
      </c>
      <c r="AF73" s="426">
        <f t="shared" ref="AF73:AG73" si="96">AF83/AF79</f>
        <v>0.84533790218352489</v>
      </c>
      <c r="AG73" s="426">
        <f t="shared" si="96"/>
        <v>0.84384108308219996</v>
      </c>
      <c r="AH73" s="426">
        <f t="shared" ref="AH73" si="97">AH83/AH79</f>
        <v>0.84150857562431658</v>
      </c>
      <c r="AI73" s="299"/>
      <c r="AJ73" s="220"/>
      <c r="AK73" s="121">
        <v>0.73812862281485558</v>
      </c>
      <c r="AL73" s="121">
        <v>0.86054328141977543</v>
      </c>
      <c r="AM73" s="121"/>
      <c r="AN73" s="121"/>
      <c r="AO73" s="121"/>
      <c r="AP73" s="121"/>
      <c r="AQ73" s="121"/>
      <c r="AR73" s="121"/>
      <c r="AS73" s="121"/>
      <c r="AT73" s="121"/>
      <c r="AU73" s="121"/>
      <c r="AV73" s="121"/>
      <c r="AW73" s="121"/>
      <c r="AX73" s="121"/>
      <c r="AY73" s="121"/>
      <c r="AZ73" s="121"/>
      <c r="BA73" s="121"/>
      <c r="BB73" s="121"/>
      <c r="BC73" s="121"/>
      <c r="BD73" s="121"/>
      <c r="BE73" s="121"/>
      <c r="BF73" s="121"/>
      <c r="BG73" s="121"/>
      <c r="BH73" s="121"/>
      <c r="BI73" s="121"/>
      <c r="BJ73" s="121"/>
      <c r="BK73" s="121"/>
      <c r="BL73" s="121"/>
      <c r="BM73" s="121"/>
      <c r="BN73" s="121"/>
      <c r="BO73" s="121"/>
      <c r="BP73" s="121"/>
      <c r="BQ73" s="121"/>
      <c r="BR73" s="121"/>
      <c r="BS73" s="121"/>
      <c r="BT73" s="121"/>
      <c r="BU73" s="121"/>
      <c r="BV73" s="121"/>
      <c r="BW73" s="121"/>
      <c r="BX73" s="121"/>
      <c r="BY73" s="121"/>
      <c r="BZ73" s="121"/>
      <c r="CA73" s="121"/>
      <c r="CB73" s="121"/>
      <c r="CC73" s="121"/>
      <c r="CD73" s="121"/>
      <c r="CE73" s="121"/>
      <c r="CF73" s="121"/>
      <c r="CG73" s="121"/>
      <c r="CH73" s="121"/>
      <c r="CI73" s="121"/>
      <c r="CJ73" s="121"/>
      <c r="CK73" s="121"/>
      <c r="CL73" s="121"/>
      <c r="CM73" s="121"/>
      <c r="CN73" s="121"/>
      <c r="CO73" s="121"/>
      <c r="CP73" s="121"/>
      <c r="CQ73" s="121"/>
      <c r="CR73" s="121"/>
      <c r="CS73" s="121"/>
      <c r="CT73" s="121"/>
      <c r="CU73" s="121"/>
      <c r="CV73" s="121"/>
      <c r="CW73" s="121"/>
      <c r="CX73" s="121"/>
      <c r="CY73" s="121"/>
      <c r="CZ73" s="121"/>
      <c r="DA73" s="121"/>
      <c r="DB73" s="121"/>
      <c r="DC73" s="121"/>
      <c r="DD73" s="121"/>
      <c r="DE73" s="121"/>
      <c r="DF73" s="121"/>
      <c r="DG73" s="121"/>
      <c r="DH73" s="121"/>
      <c r="DI73" s="121"/>
      <c r="DJ73" s="121"/>
      <c r="DK73" s="121"/>
      <c r="DL73" s="121"/>
      <c r="DM73" s="121"/>
      <c r="DN73" s="121"/>
      <c r="DO73" s="121"/>
      <c r="DP73" s="121"/>
      <c r="DQ73" s="121"/>
      <c r="DR73" s="121"/>
      <c r="DS73" s="121"/>
      <c r="DT73" s="121"/>
      <c r="DU73" s="121"/>
      <c r="DV73" s="121"/>
      <c r="DW73" s="121"/>
      <c r="DX73" s="121"/>
      <c r="DY73" s="121"/>
      <c r="DZ73" s="121"/>
      <c r="EA73" s="121"/>
      <c r="EB73" s="121"/>
      <c r="EC73" s="121"/>
      <c r="ED73" s="121"/>
      <c r="EE73" s="121"/>
      <c r="EF73" s="121"/>
      <c r="EG73" s="121"/>
      <c r="EH73" s="121"/>
      <c r="EI73" s="121"/>
      <c r="EJ73" s="121"/>
      <c r="EK73" s="121"/>
      <c r="EL73" s="121"/>
      <c r="EM73" s="121"/>
      <c r="EN73" s="121"/>
      <c r="EO73" s="121"/>
      <c r="EP73" s="121"/>
      <c r="EQ73" s="121"/>
      <c r="ER73" s="121"/>
      <c r="ES73" s="121"/>
      <c r="ET73" s="121"/>
      <c r="EU73" s="121"/>
      <c r="EV73" s="121"/>
      <c r="EW73" s="121"/>
      <c r="EX73" s="121"/>
      <c r="EY73" s="121"/>
      <c r="EZ73" s="121"/>
      <c r="FA73" s="121"/>
      <c r="FB73" s="121"/>
      <c r="FC73" s="121"/>
      <c r="FD73" s="121"/>
      <c r="FE73" s="121"/>
      <c r="FF73" s="121"/>
      <c r="FG73" s="121"/>
      <c r="FH73" s="121"/>
      <c r="FI73" s="121"/>
      <c r="FJ73" s="121"/>
      <c r="FK73" s="121"/>
      <c r="FL73" s="121"/>
      <c r="FM73" s="121"/>
      <c r="FN73" s="121"/>
      <c r="FO73" s="121"/>
      <c r="FP73" s="121"/>
      <c r="FQ73" s="121"/>
      <c r="FR73" s="121"/>
      <c r="FS73" s="121"/>
      <c r="FT73" s="121"/>
      <c r="FU73" s="121"/>
      <c r="FV73" s="121"/>
      <c r="FW73" s="121"/>
      <c r="FX73" s="121"/>
      <c r="FY73" s="121"/>
      <c r="FZ73" s="121"/>
      <c r="GA73" s="121"/>
      <c r="GB73" s="121"/>
      <c r="GC73" s="121"/>
      <c r="GD73" s="121"/>
      <c r="GE73" s="121"/>
      <c r="GF73" s="121"/>
      <c r="GG73" s="121"/>
      <c r="GH73" s="121"/>
      <c r="GI73" s="121"/>
      <c r="GJ73" s="121"/>
      <c r="GK73" s="121"/>
      <c r="GL73" s="121"/>
      <c r="GM73" s="121"/>
      <c r="GN73" s="121"/>
      <c r="GO73" s="121"/>
      <c r="GP73" s="121"/>
      <c r="GQ73" s="121"/>
      <c r="GR73" s="121"/>
      <c r="GS73" s="121"/>
      <c r="GT73" s="121"/>
      <c r="GU73" s="121"/>
      <c r="GV73" s="121"/>
      <c r="GW73" s="121"/>
      <c r="GX73" s="121"/>
      <c r="GY73" s="121"/>
      <c r="GZ73" s="121"/>
      <c r="HA73" s="121"/>
      <c r="HB73" s="121"/>
      <c r="HC73" s="121"/>
      <c r="HD73" s="121"/>
      <c r="HE73" s="121"/>
      <c r="HF73" s="121"/>
      <c r="HG73" s="121"/>
      <c r="HH73" s="121"/>
      <c r="HI73" s="121"/>
      <c r="HJ73" s="121"/>
      <c r="HK73" s="121"/>
      <c r="HL73" s="121"/>
      <c r="HM73" s="121"/>
      <c r="HN73" s="121"/>
      <c r="HO73" s="121"/>
      <c r="HP73" s="121"/>
    </row>
    <row r="74" spans="1:224" s="139" customFormat="1" ht="18.75" customHeight="1" x14ac:dyDescent="0.2">
      <c r="A74" s="495"/>
      <c r="B74" s="221" t="s">
        <v>147</v>
      </c>
      <c r="C74" s="293">
        <v>2746</v>
      </c>
      <c r="D74" s="417">
        <f t="shared" ref="D74:K74" si="98">D63+D66</f>
        <v>969</v>
      </c>
      <c r="E74" s="417">
        <f t="shared" si="98"/>
        <v>951</v>
      </c>
      <c r="F74" s="417">
        <f t="shared" si="98"/>
        <v>1169</v>
      </c>
      <c r="G74" s="417">
        <f t="shared" si="98"/>
        <v>1028</v>
      </c>
      <c r="H74" s="417">
        <f t="shared" si="98"/>
        <v>1080</v>
      </c>
      <c r="I74" s="417">
        <f t="shared" si="98"/>
        <v>966</v>
      </c>
      <c r="J74" s="417">
        <f t="shared" si="98"/>
        <v>1136</v>
      </c>
      <c r="K74" s="417">
        <f t="shared" si="98"/>
        <v>1215</v>
      </c>
      <c r="L74" s="417">
        <f t="shared" ref="L74:M74" si="99">L63+L66</f>
        <v>1372</v>
      </c>
      <c r="M74" s="417">
        <f t="shared" si="99"/>
        <v>1058</v>
      </c>
      <c r="N74" s="417">
        <f t="shared" ref="N74:O74" si="100">N63+N66</f>
        <v>1185</v>
      </c>
      <c r="O74" s="417">
        <f t="shared" si="100"/>
        <v>1024</v>
      </c>
      <c r="P74" s="417">
        <f t="shared" ref="P74:Q74" si="101">P63+P66</f>
        <v>984</v>
      </c>
      <c r="Q74" s="417">
        <f t="shared" si="101"/>
        <v>884</v>
      </c>
      <c r="R74" s="417">
        <f t="shared" ref="R74:S74" si="102">R63+R66</f>
        <v>958</v>
      </c>
      <c r="S74" s="417">
        <f t="shared" si="102"/>
        <v>989</v>
      </c>
      <c r="T74" s="417">
        <f t="shared" ref="T74:U74" si="103">T63+T66</f>
        <v>902</v>
      </c>
      <c r="U74" s="417">
        <f t="shared" si="103"/>
        <v>982</v>
      </c>
      <c r="V74" s="417">
        <f t="shared" ref="V74:W74" si="104">V63+V66</f>
        <v>1070</v>
      </c>
      <c r="W74" s="417">
        <f t="shared" si="104"/>
        <v>1318</v>
      </c>
      <c r="X74" s="417">
        <f t="shared" ref="X74:Y74" si="105">X63+X66</f>
        <v>795</v>
      </c>
      <c r="Y74" s="417">
        <f t="shared" si="105"/>
        <v>887</v>
      </c>
      <c r="Z74" s="417">
        <f t="shared" ref="Z74:AA74" si="106">Z63+Z66</f>
        <v>979</v>
      </c>
      <c r="AA74" s="417">
        <f t="shared" si="106"/>
        <v>1443</v>
      </c>
      <c r="AB74" s="417">
        <f t="shared" ref="AB74:AC74" si="107">AB63+AB66</f>
        <v>3813</v>
      </c>
      <c r="AC74" s="417">
        <f t="shared" si="107"/>
        <v>2155</v>
      </c>
      <c r="AD74" s="417">
        <f t="shared" ref="AD74:AE74" si="108">AD63+AD66</f>
        <v>1738</v>
      </c>
      <c r="AE74" s="417">
        <f t="shared" si="108"/>
        <v>1601</v>
      </c>
      <c r="AF74" s="417">
        <f t="shared" ref="AF74:AG74" si="109">AF63+AF66</f>
        <v>1728</v>
      </c>
      <c r="AG74" s="417">
        <f t="shared" si="109"/>
        <v>1500</v>
      </c>
      <c r="AH74" s="417">
        <f t="shared" ref="AH74" si="110">AH63+AH66</f>
        <v>1838</v>
      </c>
      <c r="AI74" s="293"/>
      <c r="AJ74" s="222">
        <f>AVERAGE(D74:AH74)</f>
        <v>1281.1935483870968</v>
      </c>
      <c r="AK74" s="121">
        <v>564</v>
      </c>
      <c r="AL74" s="121">
        <v>774</v>
      </c>
      <c r="AM74" s="121"/>
      <c r="AN74" s="121"/>
      <c r="AO74" s="121"/>
      <c r="AP74" s="121"/>
      <c r="AQ74" s="121"/>
      <c r="AR74" s="121"/>
      <c r="AS74" s="121"/>
      <c r="AT74" s="121"/>
      <c r="AU74" s="121"/>
      <c r="AV74" s="121"/>
      <c r="AW74" s="121"/>
      <c r="AX74" s="121"/>
      <c r="AY74" s="121"/>
      <c r="AZ74" s="121"/>
      <c r="BA74" s="121"/>
      <c r="BB74" s="121"/>
      <c r="BC74" s="121"/>
      <c r="BD74" s="121"/>
      <c r="BE74" s="121"/>
      <c r="BF74" s="121"/>
      <c r="BG74" s="121"/>
      <c r="BH74" s="121"/>
      <c r="BI74" s="121"/>
      <c r="BJ74" s="121"/>
      <c r="BK74" s="121"/>
      <c r="BL74" s="121"/>
      <c r="BM74" s="121"/>
      <c r="BN74" s="121"/>
      <c r="BO74" s="121"/>
      <c r="BP74" s="121"/>
      <c r="BQ74" s="121"/>
      <c r="BR74" s="121"/>
      <c r="BS74" s="121"/>
      <c r="BT74" s="121"/>
      <c r="BU74" s="121"/>
      <c r="BV74" s="121"/>
      <c r="BW74" s="121"/>
      <c r="BX74" s="121"/>
      <c r="BY74" s="121"/>
      <c r="BZ74" s="121"/>
      <c r="CA74" s="121"/>
      <c r="CB74" s="121"/>
      <c r="CC74" s="121"/>
      <c r="CD74" s="121"/>
      <c r="CE74" s="121"/>
      <c r="CF74" s="121"/>
      <c r="CG74" s="121"/>
      <c r="CH74" s="121"/>
      <c r="CI74" s="121"/>
      <c r="CJ74" s="121"/>
      <c r="CK74" s="121"/>
      <c r="CL74" s="121"/>
      <c r="CM74" s="121"/>
      <c r="CN74" s="121"/>
      <c r="CO74" s="121"/>
      <c r="CP74" s="121"/>
      <c r="CQ74" s="121"/>
      <c r="CR74" s="121"/>
      <c r="CS74" s="121"/>
      <c r="CT74" s="121"/>
      <c r="CU74" s="121"/>
      <c r="CV74" s="121"/>
      <c r="CW74" s="121"/>
      <c r="CX74" s="121"/>
      <c r="CY74" s="121"/>
      <c r="CZ74" s="121"/>
      <c r="DA74" s="121"/>
      <c r="DB74" s="121"/>
      <c r="DC74" s="121"/>
      <c r="DD74" s="121"/>
      <c r="DE74" s="121"/>
      <c r="DF74" s="121"/>
      <c r="DG74" s="121"/>
      <c r="DH74" s="121"/>
      <c r="DI74" s="121"/>
      <c r="DJ74" s="121"/>
      <c r="DK74" s="121"/>
      <c r="DL74" s="121"/>
      <c r="DM74" s="121"/>
      <c r="DN74" s="121"/>
      <c r="DO74" s="121"/>
      <c r="DP74" s="121"/>
      <c r="DQ74" s="121"/>
      <c r="DR74" s="121"/>
      <c r="DS74" s="121"/>
      <c r="DT74" s="121"/>
      <c r="DU74" s="121"/>
      <c r="DV74" s="121"/>
      <c r="DW74" s="121"/>
      <c r="DX74" s="121"/>
      <c r="DY74" s="121"/>
      <c r="DZ74" s="121"/>
      <c r="EA74" s="121"/>
      <c r="EB74" s="121"/>
      <c r="EC74" s="121"/>
      <c r="ED74" s="121"/>
      <c r="EE74" s="121"/>
      <c r="EF74" s="121"/>
      <c r="EG74" s="121"/>
      <c r="EH74" s="121"/>
      <c r="EI74" s="121"/>
      <c r="EJ74" s="121"/>
      <c r="EK74" s="121"/>
      <c r="EL74" s="121"/>
      <c r="EM74" s="121"/>
      <c r="EN74" s="121"/>
      <c r="EO74" s="121"/>
      <c r="EP74" s="121"/>
      <c r="EQ74" s="121"/>
      <c r="ER74" s="121"/>
      <c r="ES74" s="121"/>
      <c r="ET74" s="121"/>
      <c r="EU74" s="121"/>
      <c r="EV74" s="121"/>
      <c r="EW74" s="121"/>
      <c r="EX74" s="121"/>
      <c r="EY74" s="121"/>
      <c r="EZ74" s="121"/>
      <c r="FA74" s="121"/>
      <c r="FB74" s="121"/>
      <c r="FC74" s="121"/>
      <c r="FD74" s="121"/>
      <c r="FE74" s="121"/>
      <c r="FF74" s="121"/>
      <c r="FG74" s="121"/>
      <c r="FH74" s="121"/>
      <c r="FI74" s="121"/>
      <c r="FJ74" s="121"/>
      <c r="FK74" s="121"/>
      <c r="FL74" s="121"/>
      <c r="FM74" s="121"/>
      <c r="FN74" s="121"/>
      <c r="FO74" s="121"/>
      <c r="FP74" s="121"/>
      <c r="FQ74" s="121"/>
      <c r="FR74" s="121"/>
      <c r="FS74" s="121"/>
      <c r="FT74" s="121"/>
      <c r="FU74" s="121"/>
      <c r="FV74" s="121"/>
      <c r="FW74" s="121"/>
      <c r="FX74" s="121"/>
      <c r="FY74" s="121"/>
      <c r="FZ74" s="121"/>
      <c r="GA74" s="121"/>
      <c r="GB74" s="121"/>
      <c r="GC74" s="121"/>
      <c r="GD74" s="121"/>
      <c r="GE74" s="121"/>
      <c r="GF74" s="121"/>
      <c r="GG74" s="121"/>
      <c r="GH74" s="121"/>
      <c r="GI74" s="121"/>
      <c r="GJ74" s="121"/>
      <c r="GK74" s="121"/>
      <c r="GL74" s="121"/>
      <c r="GM74" s="121"/>
      <c r="GN74" s="121"/>
      <c r="GO74" s="121"/>
      <c r="GP74" s="121"/>
      <c r="GQ74" s="121"/>
      <c r="GR74" s="121"/>
      <c r="GS74" s="121"/>
      <c r="GT74" s="121"/>
      <c r="GU74" s="121"/>
      <c r="GV74" s="121"/>
      <c r="GW74" s="121"/>
      <c r="GX74" s="121"/>
      <c r="GY74" s="121"/>
      <c r="GZ74" s="121"/>
      <c r="HA74" s="121"/>
      <c r="HB74" s="121"/>
      <c r="HC74" s="121"/>
      <c r="HD74" s="121"/>
      <c r="HE74" s="121"/>
      <c r="HF74" s="121"/>
      <c r="HG74" s="121"/>
      <c r="HH74" s="121"/>
      <c r="HI74" s="121"/>
      <c r="HJ74" s="121"/>
      <c r="HK74" s="121"/>
      <c r="HL74" s="121"/>
      <c r="HM74" s="121"/>
      <c r="HN74" s="121"/>
      <c r="HO74" s="121"/>
      <c r="HP74" s="121"/>
    </row>
    <row r="75" spans="1:224" s="144" customFormat="1" ht="28.5" x14ac:dyDescent="0.2">
      <c r="A75" s="495"/>
      <c r="B75" s="223" t="s">
        <v>148</v>
      </c>
      <c r="C75" s="362">
        <v>72320</v>
      </c>
      <c r="D75" s="427">
        <f>D74</f>
        <v>969</v>
      </c>
      <c r="E75" s="427">
        <f t="shared" ref="E75:H75" si="111">D75+E74</f>
        <v>1920</v>
      </c>
      <c r="F75" s="427">
        <f t="shared" si="111"/>
        <v>3089</v>
      </c>
      <c r="G75" s="427">
        <f t="shared" si="111"/>
        <v>4117</v>
      </c>
      <c r="H75" s="427">
        <f t="shared" si="111"/>
        <v>5197</v>
      </c>
      <c r="I75" s="427">
        <f t="shared" ref="I75:AH75" si="112">H75+I74</f>
        <v>6163</v>
      </c>
      <c r="J75" s="427">
        <f t="shared" si="112"/>
        <v>7299</v>
      </c>
      <c r="K75" s="427">
        <f t="shared" si="112"/>
        <v>8514</v>
      </c>
      <c r="L75" s="427">
        <f t="shared" si="112"/>
        <v>9886</v>
      </c>
      <c r="M75" s="427">
        <f t="shared" si="112"/>
        <v>10944</v>
      </c>
      <c r="N75" s="427">
        <f t="shared" si="112"/>
        <v>12129</v>
      </c>
      <c r="O75" s="427">
        <f t="shared" si="112"/>
        <v>13153</v>
      </c>
      <c r="P75" s="427">
        <f t="shared" si="112"/>
        <v>14137</v>
      </c>
      <c r="Q75" s="427">
        <f t="shared" si="112"/>
        <v>15021</v>
      </c>
      <c r="R75" s="427">
        <f t="shared" si="112"/>
        <v>15979</v>
      </c>
      <c r="S75" s="427">
        <f t="shared" si="112"/>
        <v>16968</v>
      </c>
      <c r="T75" s="427">
        <f t="shared" si="112"/>
        <v>17870</v>
      </c>
      <c r="U75" s="427">
        <f t="shared" si="112"/>
        <v>18852</v>
      </c>
      <c r="V75" s="427">
        <f t="shared" si="112"/>
        <v>19922</v>
      </c>
      <c r="W75" s="427">
        <f t="shared" si="112"/>
        <v>21240</v>
      </c>
      <c r="X75" s="427">
        <f t="shared" si="112"/>
        <v>22035</v>
      </c>
      <c r="Y75" s="427">
        <f t="shared" si="112"/>
        <v>22922</v>
      </c>
      <c r="Z75" s="427">
        <f t="shared" si="112"/>
        <v>23901</v>
      </c>
      <c r="AA75" s="427">
        <f t="shared" si="112"/>
        <v>25344</v>
      </c>
      <c r="AB75" s="427">
        <f t="shared" si="112"/>
        <v>29157</v>
      </c>
      <c r="AC75" s="427">
        <f t="shared" si="112"/>
        <v>31312</v>
      </c>
      <c r="AD75" s="427">
        <f t="shared" si="112"/>
        <v>33050</v>
      </c>
      <c r="AE75" s="427">
        <f t="shared" si="112"/>
        <v>34651</v>
      </c>
      <c r="AF75" s="427">
        <f t="shared" si="112"/>
        <v>36379</v>
      </c>
      <c r="AG75" s="427">
        <f t="shared" si="112"/>
        <v>37879</v>
      </c>
      <c r="AH75" s="427">
        <f t="shared" si="112"/>
        <v>39717</v>
      </c>
      <c r="AI75" s="362"/>
      <c r="AJ75" s="222">
        <f>AVERAGE(D75:AH75)</f>
        <v>18055.354838709678</v>
      </c>
      <c r="AK75" s="111">
        <v>114299</v>
      </c>
      <c r="AL75" s="111">
        <v>28878</v>
      </c>
      <c r="AM75" s="111"/>
      <c r="AN75" s="111"/>
      <c r="AO75" s="111"/>
      <c r="AP75" s="111"/>
      <c r="AQ75" s="111"/>
      <c r="AR75" s="111"/>
      <c r="AS75" s="111"/>
      <c r="AT75" s="111"/>
      <c r="AU75" s="111"/>
      <c r="AV75" s="111"/>
      <c r="AW75" s="111"/>
      <c r="AX75" s="111"/>
      <c r="AY75" s="111"/>
      <c r="AZ75" s="111"/>
      <c r="BA75" s="111"/>
      <c r="BB75" s="111"/>
      <c r="BC75" s="111"/>
      <c r="BD75" s="111"/>
      <c r="BE75" s="111"/>
      <c r="BF75" s="111"/>
      <c r="BG75" s="111"/>
      <c r="BH75" s="111"/>
      <c r="BI75" s="111"/>
      <c r="BJ75" s="111"/>
      <c r="BK75" s="111"/>
      <c r="BL75" s="111"/>
      <c r="BM75" s="111"/>
      <c r="BN75" s="111"/>
      <c r="BO75" s="111"/>
      <c r="BP75" s="111"/>
      <c r="BQ75" s="111"/>
      <c r="BR75" s="111"/>
      <c r="BS75" s="111"/>
      <c r="BT75" s="111"/>
      <c r="BU75" s="111"/>
      <c r="BV75" s="111"/>
      <c r="BW75" s="111"/>
      <c r="BX75" s="111"/>
      <c r="BY75" s="111"/>
      <c r="BZ75" s="111"/>
      <c r="CA75" s="111"/>
      <c r="CB75" s="111"/>
      <c r="CC75" s="111"/>
      <c r="CD75" s="111"/>
      <c r="CE75" s="111"/>
      <c r="CF75" s="111"/>
      <c r="CG75" s="111"/>
      <c r="CH75" s="111"/>
      <c r="CI75" s="111"/>
      <c r="CJ75" s="111"/>
      <c r="CK75" s="111"/>
      <c r="CL75" s="111"/>
      <c r="CM75" s="111"/>
      <c r="CN75" s="111"/>
      <c r="CO75" s="111"/>
      <c r="CP75" s="111"/>
      <c r="CQ75" s="111"/>
      <c r="CR75" s="111"/>
      <c r="CS75" s="111"/>
      <c r="CT75" s="111"/>
      <c r="CU75" s="111"/>
      <c r="CV75" s="111"/>
      <c r="CW75" s="111"/>
      <c r="CX75" s="111"/>
      <c r="CY75" s="111"/>
      <c r="CZ75" s="111"/>
      <c r="DA75" s="111"/>
      <c r="DB75" s="111"/>
      <c r="DC75" s="111"/>
      <c r="DD75" s="111"/>
      <c r="DE75" s="111"/>
      <c r="DF75" s="111"/>
      <c r="DG75" s="111"/>
      <c r="DH75" s="111"/>
      <c r="DI75" s="111"/>
      <c r="DJ75" s="111"/>
      <c r="DK75" s="111"/>
      <c r="DL75" s="111"/>
      <c r="DM75" s="111"/>
      <c r="DN75" s="111"/>
      <c r="DO75" s="111"/>
      <c r="DP75" s="111"/>
      <c r="DQ75" s="111"/>
      <c r="DR75" s="111"/>
      <c r="DS75" s="111"/>
      <c r="DT75" s="111"/>
      <c r="DU75" s="111"/>
      <c r="DV75" s="111"/>
      <c r="DW75" s="111"/>
      <c r="DX75" s="111"/>
      <c r="DY75" s="111"/>
      <c r="DZ75" s="111"/>
      <c r="EA75" s="111"/>
      <c r="EB75" s="111"/>
      <c r="EC75" s="111"/>
      <c r="ED75" s="111"/>
      <c r="EE75" s="111"/>
      <c r="EF75" s="111"/>
      <c r="EG75" s="111"/>
      <c r="EH75" s="111"/>
      <c r="EI75" s="111"/>
      <c r="EJ75" s="111"/>
      <c r="EK75" s="111"/>
      <c r="EL75" s="111"/>
      <c r="EM75" s="111"/>
      <c r="EN75" s="111"/>
      <c r="EO75" s="111"/>
      <c r="EP75" s="111"/>
      <c r="EQ75" s="111"/>
      <c r="ER75" s="111"/>
      <c r="ES75" s="111"/>
      <c r="ET75" s="111"/>
      <c r="EU75" s="111"/>
      <c r="EV75" s="111"/>
      <c r="EW75" s="111"/>
      <c r="EX75" s="111"/>
      <c r="EY75" s="111"/>
      <c r="EZ75" s="111"/>
      <c r="FA75" s="111"/>
      <c r="FB75" s="111"/>
      <c r="FC75" s="111"/>
      <c r="FD75" s="111"/>
      <c r="FE75" s="111"/>
      <c r="FF75" s="111"/>
      <c r="FG75" s="111"/>
      <c r="FH75" s="111"/>
      <c r="FI75" s="111"/>
      <c r="FJ75" s="111"/>
      <c r="FK75" s="111"/>
      <c r="FL75" s="111"/>
      <c r="FM75" s="111"/>
      <c r="FN75" s="111"/>
      <c r="FO75" s="111"/>
      <c r="FP75" s="111"/>
      <c r="FQ75" s="111"/>
      <c r="FR75" s="111"/>
      <c r="FS75" s="111"/>
      <c r="FT75" s="111"/>
      <c r="FU75" s="111"/>
      <c r="FV75" s="111"/>
      <c r="FW75" s="111"/>
      <c r="FX75" s="111"/>
      <c r="FY75" s="111"/>
      <c r="FZ75" s="111"/>
      <c r="GA75" s="111"/>
      <c r="GB75" s="111"/>
      <c r="GC75" s="111"/>
      <c r="GD75" s="111"/>
      <c r="GE75" s="111"/>
      <c r="GF75" s="111"/>
      <c r="GG75" s="111"/>
      <c r="GH75" s="111"/>
      <c r="GI75" s="111"/>
      <c r="GJ75" s="111"/>
      <c r="GK75" s="111"/>
      <c r="GL75" s="111"/>
      <c r="GM75" s="111"/>
      <c r="GN75" s="111"/>
      <c r="GO75" s="111"/>
      <c r="GP75" s="111"/>
      <c r="GQ75" s="111"/>
      <c r="GR75" s="111"/>
      <c r="GS75" s="111"/>
      <c r="GT75" s="111"/>
      <c r="GU75" s="111"/>
      <c r="GV75" s="111"/>
      <c r="GW75" s="111"/>
      <c r="GX75" s="111"/>
      <c r="GY75" s="111"/>
      <c r="GZ75" s="111"/>
      <c r="HA75" s="111"/>
      <c r="HB75" s="111"/>
      <c r="HC75" s="111"/>
      <c r="HD75" s="111"/>
      <c r="HE75" s="111"/>
      <c r="HF75" s="111"/>
      <c r="HG75" s="111"/>
      <c r="HH75" s="111"/>
      <c r="HI75" s="111"/>
      <c r="HJ75" s="111"/>
      <c r="HK75" s="111"/>
      <c r="HL75" s="111"/>
      <c r="HM75" s="111"/>
      <c r="HN75" s="111"/>
      <c r="HO75" s="111"/>
      <c r="HP75" s="111"/>
    </row>
    <row r="76" spans="1:224" s="144" customFormat="1" ht="18.75" customHeight="1" x14ac:dyDescent="0.2">
      <c r="A76" s="495"/>
      <c r="B76" s="228" t="s">
        <v>149</v>
      </c>
      <c r="C76" s="363">
        <v>0.30705579783070558</v>
      </c>
      <c r="D76" s="428">
        <f t="shared" ref="D76:E76" si="113">D74/D78</f>
        <v>0.12525853154084798</v>
      </c>
      <c r="E76" s="428">
        <f t="shared" si="113"/>
        <v>0.11579203701448923</v>
      </c>
      <c r="F76" s="428">
        <f t="shared" ref="F76:G76" si="114">F74/F78</f>
        <v>0.12696861083957858</v>
      </c>
      <c r="G76" s="428">
        <f t="shared" si="114"/>
        <v>0.11712430215335536</v>
      </c>
      <c r="H76" s="428">
        <f t="shared" ref="H76" si="115">H74/H78</f>
        <v>0.11763424463566061</v>
      </c>
      <c r="I76" s="428">
        <f t="shared" ref="I76:K77" si="116">I74/I78</f>
        <v>0.10727373681288173</v>
      </c>
      <c r="J76" s="428">
        <f t="shared" si="116"/>
        <v>0.13272578572263116</v>
      </c>
      <c r="K76" s="428">
        <f t="shared" si="116"/>
        <v>0.1509879458183174</v>
      </c>
      <c r="L76" s="428">
        <f t="shared" ref="L76:M76" si="117">L74/L78</f>
        <v>0.16618217054263565</v>
      </c>
      <c r="M76" s="428">
        <f t="shared" si="117"/>
        <v>0.12183325656379548</v>
      </c>
      <c r="N76" s="428">
        <f t="shared" ref="N76:O76" si="118">N74/N78</f>
        <v>0.15363671723064956</v>
      </c>
      <c r="O76" s="428">
        <f t="shared" si="118"/>
        <v>0.12326953172023594</v>
      </c>
      <c r="P76" s="428">
        <f t="shared" ref="P76:Q76" si="119">P74/P78</f>
        <v>0.12103321033210332</v>
      </c>
      <c r="Q76" s="428">
        <f t="shared" si="119"/>
        <v>0.11499934955119032</v>
      </c>
      <c r="R76" s="428">
        <f t="shared" ref="R76:S76" si="120">R74/R78</f>
        <v>0.13788140472078295</v>
      </c>
      <c r="S76" s="428">
        <f t="shared" si="120"/>
        <v>0.12430869783810961</v>
      </c>
      <c r="T76" s="428">
        <f t="shared" ref="T76:U76" si="121">T74/T78</f>
        <v>0.11420612813370473</v>
      </c>
      <c r="U76" s="428">
        <f t="shared" si="121"/>
        <v>0.13191832348199892</v>
      </c>
      <c r="V76" s="428">
        <f t="shared" ref="V76:W76" si="122">V74/V78</f>
        <v>0.13611499809184582</v>
      </c>
      <c r="W76" s="428">
        <f t="shared" si="122"/>
        <v>0.17693650154383139</v>
      </c>
      <c r="X76" s="428">
        <f t="shared" ref="X76:Y76" si="123">X74/X78</f>
        <v>0.10775277853076715</v>
      </c>
      <c r="Y76" s="428">
        <f t="shared" si="123"/>
        <v>0.12947015034301562</v>
      </c>
      <c r="Z76" s="428">
        <f t="shared" ref="Z76:AA76" si="124">Z74/Z78</f>
        <v>0.13197627392828257</v>
      </c>
      <c r="AA76" s="428">
        <f t="shared" si="124"/>
        <v>0.17823616600790515</v>
      </c>
      <c r="AB76" s="428">
        <f t="shared" ref="AB76:AC76" si="125">AB74/AB78</f>
        <v>0.37857426528991261</v>
      </c>
      <c r="AC76" s="428">
        <f t="shared" si="125"/>
        <v>0.2491329479768786</v>
      </c>
      <c r="AD76" s="428">
        <f t="shared" ref="AD76:AE76" si="126">AD74/AD78</f>
        <v>0.24434134682974834</v>
      </c>
      <c r="AE76" s="428">
        <f t="shared" si="126"/>
        <v>0.18960208432022738</v>
      </c>
      <c r="AF76" s="428">
        <f t="shared" ref="AF76:AG76" si="127">AF74/AF78</f>
        <v>0.21238938053097345</v>
      </c>
      <c r="AG76" s="428">
        <f t="shared" si="127"/>
        <v>0.20405387022173854</v>
      </c>
      <c r="AH76" s="428">
        <f t="shared" ref="AH76" si="128">AH74/AH78</f>
        <v>0.2289772019434409</v>
      </c>
      <c r="AI76" s="377"/>
      <c r="AJ76" s="222">
        <f>AVERAGE(D76:AH76)</f>
        <v>0.15711586936166247</v>
      </c>
      <c r="AK76" s="111">
        <v>0.10284463894967177</v>
      </c>
      <c r="AL76" s="111">
        <v>0.13667667314144447</v>
      </c>
      <c r="AM76" s="111"/>
      <c r="AN76" s="111"/>
      <c r="AO76" s="111"/>
      <c r="AP76" s="111"/>
      <c r="AQ76" s="111"/>
      <c r="AR76" s="111"/>
      <c r="AS76" s="111"/>
      <c r="AT76" s="111"/>
      <c r="AU76" s="111"/>
      <c r="AV76" s="111"/>
      <c r="AW76" s="111"/>
      <c r="AX76" s="111"/>
      <c r="AY76" s="111"/>
      <c r="AZ76" s="111"/>
      <c r="BA76" s="111"/>
      <c r="BB76" s="111"/>
      <c r="BC76" s="111"/>
      <c r="BD76" s="111"/>
      <c r="BE76" s="111"/>
      <c r="BF76" s="111"/>
      <c r="BG76" s="111"/>
      <c r="BH76" s="111"/>
      <c r="BI76" s="111"/>
      <c r="BJ76" s="111"/>
      <c r="BK76" s="111"/>
      <c r="BL76" s="111"/>
      <c r="BM76" s="111"/>
      <c r="BN76" s="111"/>
      <c r="BO76" s="111"/>
      <c r="BP76" s="111"/>
      <c r="BQ76" s="111"/>
      <c r="BR76" s="111"/>
      <c r="BS76" s="111"/>
      <c r="BT76" s="111"/>
      <c r="BU76" s="111"/>
      <c r="BV76" s="111"/>
      <c r="BW76" s="111"/>
      <c r="BX76" s="111"/>
      <c r="BY76" s="111"/>
      <c r="BZ76" s="111"/>
      <c r="CA76" s="111"/>
      <c r="CB76" s="111"/>
      <c r="CC76" s="111"/>
      <c r="CD76" s="111"/>
      <c r="CE76" s="111"/>
      <c r="CF76" s="111"/>
      <c r="CG76" s="111"/>
      <c r="CH76" s="111"/>
      <c r="CI76" s="111"/>
      <c r="CJ76" s="111"/>
      <c r="CK76" s="111"/>
      <c r="CL76" s="111"/>
      <c r="CM76" s="111"/>
      <c r="CN76" s="111"/>
      <c r="CO76" s="111"/>
      <c r="CP76" s="111"/>
      <c r="CQ76" s="111"/>
      <c r="CR76" s="111"/>
      <c r="CS76" s="111"/>
      <c r="CT76" s="111"/>
      <c r="CU76" s="111"/>
      <c r="CV76" s="111"/>
      <c r="CW76" s="111"/>
      <c r="CX76" s="111"/>
      <c r="CY76" s="111"/>
      <c r="CZ76" s="111"/>
      <c r="DA76" s="111"/>
      <c r="DB76" s="111"/>
      <c r="DC76" s="111"/>
      <c r="DD76" s="111"/>
      <c r="DE76" s="111"/>
      <c r="DF76" s="111"/>
      <c r="DG76" s="111"/>
      <c r="DH76" s="111"/>
      <c r="DI76" s="111"/>
      <c r="DJ76" s="111"/>
      <c r="DK76" s="111"/>
      <c r="DL76" s="111"/>
      <c r="DM76" s="111"/>
      <c r="DN76" s="111"/>
      <c r="DO76" s="111"/>
      <c r="DP76" s="111"/>
      <c r="DQ76" s="111"/>
      <c r="DR76" s="111"/>
      <c r="DS76" s="111"/>
      <c r="DT76" s="111"/>
      <c r="DU76" s="111"/>
      <c r="DV76" s="111"/>
      <c r="DW76" s="111"/>
      <c r="DX76" s="111"/>
      <c r="DY76" s="111"/>
      <c r="DZ76" s="111"/>
      <c r="EA76" s="111"/>
      <c r="EB76" s="111"/>
      <c r="EC76" s="111"/>
      <c r="ED76" s="111"/>
      <c r="EE76" s="111"/>
      <c r="EF76" s="111"/>
      <c r="EG76" s="111"/>
      <c r="EH76" s="111"/>
      <c r="EI76" s="111"/>
      <c r="EJ76" s="111"/>
      <c r="EK76" s="111"/>
      <c r="EL76" s="111"/>
      <c r="EM76" s="111"/>
      <c r="EN76" s="111"/>
      <c r="EO76" s="111"/>
      <c r="EP76" s="111"/>
      <c r="EQ76" s="111"/>
      <c r="ER76" s="111"/>
      <c r="ES76" s="111"/>
      <c r="ET76" s="111"/>
      <c r="EU76" s="111"/>
      <c r="EV76" s="111"/>
      <c r="EW76" s="111"/>
      <c r="EX76" s="111"/>
      <c r="EY76" s="111"/>
      <c r="EZ76" s="111"/>
      <c r="FA76" s="111"/>
      <c r="FB76" s="111"/>
      <c r="FC76" s="111"/>
      <c r="FD76" s="111"/>
      <c r="FE76" s="111"/>
      <c r="FF76" s="111"/>
      <c r="FG76" s="111"/>
      <c r="FH76" s="111"/>
      <c r="FI76" s="111"/>
      <c r="FJ76" s="111"/>
      <c r="FK76" s="111"/>
      <c r="FL76" s="111"/>
      <c r="FM76" s="111"/>
      <c r="FN76" s="111"/>
      <c r="FO76" s="111"/>
      <c r="FP76" s="111"/>
      <c r="FQ76" s="111"/>
      <c r="FR76" s="111"/>
      <c r="FS76" s="111"/>
      <c r="FT76" s="111"/>
      <c r="FU76" s="111"/>
      <c r="FV76" s="111"/>
      <c r="FW76" s="111"/>
      <c r="FX76" s="111"/>
      <c r="FY76" s="111"/>
      <c r="FZ76" s="111"/>
      <c r="GA76" s="111"/>
      <c r="GB76" s="111"/>
      <c r="GC76" s="111"/>
      <c r="GD76" s="111"/>
      <c r="GE76" s="111"/>
      <c r="GF76" s="111"/>
      <c r="GG76" s="111"/>
      <c r="GH76" s="111"/>
      <c r="GI76" s="111"/>
      <c r="GJ76" s="111"/>
      <c r="GK76" s="111"/>
      <c r="GL76" s="111"/>
      <c r="GM76" s="111"/>
      <c r="GN76" s="111"/>
      <c r="GO76" s="111"/>
      <c r="GP76" s="111"/>
      <c r="GQ76" s="111"/>
      <c r="GR76" s="111"/>
      <c r="GS76" s="111"/>
      <c r="GT76" s="111"/>
      <c r="GU76" s="111"/>
      <c r="GV76" s="111"/>
      <c r="GW76" s="111"/>
      <c r="GX76" s="111"/>
      <c r="GY76" s="111"/>
      <c r="GZ76" s="111"/>
      <c r="HA76" s="111"/>
      <c r="HB76" s="111"/>
      <c r="HC76" s="111"/>
      <c r="HD76" s="111"/>
      <c r="HE76" s="111"/>
      <c r="HF76" s="111"/>
      <c r="HG76" s="111"/>
      <c r="HH76" s="111"/>
      <c r="HI76" s="111"/>
      <c r="HJ76" s="111"/>
      <c r="HK76" s="111"/>
      <c r="HL76" s="111"/>
      <c r="HM76" s="111"/>
      <c r="HN76" s="111"/>
      <c r="HO76" s="111"/>
      <c r="HP76" s="111"/>
    </row>
    <row r="77" spans="1:224" s="139" customFormat="1" ht="30" x14ac:dyDescent="0.2">
      <c r="A77" s="495"/>
      <c r="B77" s="229" t="s">
        <v>150</v>
      </c>
      <c r="C77" s="364">
        <v>0.28876484351916182</v>
      </c>
      <c r="D77" s="429">
        <f>D74/D78</f>
        <v>0.12525853154084798</v>
      </c>
      <c r="E77" s="429">
        <f t="shared" ref="E77" si="129">E75/E79</f>
        <v>0.12038372311743684</v>
      </c>
      <c r="F77" s="429">
        <f t="shared" ref="F77:G77" si="130">F75/F79</f>
        <v>0.12279376689457784</v>
      </c>
      <c r="G77" s="429">
        <f t="shared" si="130"/>
        <v>0.12132732148645861</v>
      </c>
      <c r="H77" s="429">
        <f t="shared" ref="H77" si="131">H75/H79</f>
        <v>0.12054089158973884</v>
      </c>
      <c r="I77" s="429">
        <f t="shared" si="116"/>
        <v>0.11824862334273489</v>
      </c>
      <c r="J77" s="429">
        <f t="shared" si="116"/>
        <v>0.12029071492138831</v>
      </c>
      <c r="K77" s="429">
        <f t="shared" si="116"/>
        <v>0.12388504910876683</v>
      </c>
      <c r="L77" s="429">
        <f t="shared" ref="L77:M77" si="132">L75/L79</f>
        <v>0.12842129876203218</v>
      </c>
      <c r="M77" s="429">
        <f t="shared" si="132"/>
        <v>0.12775345823848713</v>
      </c>
      <c r="N77" s="429">
        <f t="shared" ref="N77:O77" si="133">N75/N79</f>
        <v>0.12989140911135386</v>
      </c>
      <c r="O77" s="429">
        <f t="shared" si="133"/>
        <v>0.12935044500172099</v>
      </c>
      <c r="P77" s="429">
        <f t="shared" ref="P77:Q77" si="134">P75/P79</f>
        <v>0.12873469016072486</v>
      </c>
      <c r="Q77" s="429">
        <f t="shared" si="134"/>
        <v>0.12783612193834998</v>
      </c>
      <c r="R77" s="429">
        <f t="shared" ref="R77:S77" si="135">R75/R79</f>
        <v>0.12839694656488548</v>
      </c>
      <c r="S77" s="429">
        <f t="shared" si="135"/>
        <v>0.1281512922375119</v>
      </c>
      <c r="T77" s="429">
        <f t="shared" ref="T77:U77" si="136">T75/T79</f>
        <v>0.12736629034097388</v>
      </c>
      <c r="U77" s="429">
        <f t="shared" si="136"/>
        <v>0.12759563581232911</v>
      </c>
      <c r="V77" s="429">
        <f t="shared" ref="V77:W77" si="137">V75/V79</f>
        <v>0.12802601391950338</v>
      </c>
      <c r="W77" s="429">
        <f t="shared" si="137"/>
        <v>0.13026039814053894</v>
      </c>
      <c r="X77" s="429">
        <f t="shared" ref="X77:Y77" si="138">X75/X79</f>
        <v>0.12928606632401604</v>
      </c>
      <c r="Y77" s="429">
        <f t="shared" si="138"/>
        <v>0.12929317998499609</v>
      </c>
      <c r="Z77" s="429">
        <f t="shared" ref="Z77:AA77" si="139">Z75/Z79</f>
        <v>0.12940093662867816</v>
      </c>
      <c r="AA77" s="429">
        <f t="shared" si="139"/>
        <v>0.13145160035476994</v>
      </c>
      <c r="AB77" s="429">
        <f t="shared" ref="AB77:AC77" si="140">AB75/AB79</f>
        <v>0.14372045565452279</v>
      </c>
      <c r="AC77" s="429">
        <f t="shared" si="140"/>
        <v>0.14803118337012997</v>
      </c>
      <c r="AD77" s="429">
        <f t="shared" ref="AD77:AE77" si="141">AD75/AD79</f>
        <v>0.15116449258127665</v>
      </c>
      <c r="AE77" s="429">
        <f t="shared" si="141"/>
        <v>0.15259379954201163</v>
      </c>
      <c r="AF77" s="429">
        <f t="shared" ref="AF77:AG77" si="142">AF75/AF79</f>
        <v>0.15466209781647508</v>
      </c>
      <c r="AG77" s="429">
        <f t="shared" si="142"/>
        <v>0.15615891691780004</v>
      </c>
      <c r="AH77" s="429">
        <f t="shared" ref="AH77" si="143">AH75/AH79</f>
        <v>0.15849142437568337</v>
      </c>
      <c r="AI77" s="378"/>
      <c r="AJ77" s="222">
        <f>AVERAGE(D77:AH77)</f>
        <v>0.13221828308970071</v>
      </c>
      <c r="AK77" s="121">
        <v>0.26187137718514447</v>
      </c>
      <c r="AL77" s="121">
        <v>0.13945671858022457</v>
      </c>
      <c r="AM77" s="121"/>
      <c r="AN77" s="121"/>
      <c r="AO77" s="121"/>
      <c r="AP77" s="121"/>
      <c r="AQ77" s="121"/>
      <c r="AR77" s="121"/>
      <c r="AS77" s="121"/>
      <c r="AT77" s="121"/>
      <c r="AU77" s="121"/>
      <c r="AV77" s="121"/>
      <c r="AW77" s="121"/>
      <c r="AX77" s="121"/>
      <c r="AY77" s="121"/>
      <c r="AZ77" s="121"/>
      <c r="BA77" s="121"/>
      <c r="BB77" s="121"/>
      <c r="BC77" s="121"/>
      <c r="BD77" s="121"/>
      <c r="BE77" s="121"/>
      <c r="BF77" s="121"/>
      <c r="BG77" s="121"/>
      <c r="BH77" s="121"/>
      <c r="BI77" s="121"/>
      <c r="BJ77" s="121"/>
      <c r="BK77" s="121"/>
      <c r="BL77" s="121"/>
      <c r="BM77" s="121"/>
      <c r="BN77" s="121"/>
      <c r="BO77" s="121"/>
      <c r="BP77" s="121"/>
      <c r="BQ77" s="121"/>
      <c r="BR77" s="121"/>
      <c r="BS77" s="121"/>
      <c r="BT77" s="121"/>
      <c r="BU77" s="121"/>
      <c r="BV77" s="121"/>
      <c r="BW77" s="121"/>
      <c r="BX77" s="121"/>
      <c r="BY77" s="121"/>
      <c r="BZ77" s="121"/>
      <c r="CA77" s="121"/>
      <c r="CB77" s="121"/>
      <c r="CC77" s="121"/>
      <c r="CD77" s="121"/>
      <c r="CE77" s="121"/>
      <c r="CF77" s="121"/>
      <c r="CG77" s="121"/>
      <c r="CH77" s="121"/>
      <c r="CI77" s="121"/>
      <c r="CJ77" s="121"/>
      <c r="CK77" s="121"/>
      <c r="CL77" s="121"/>
      <c r="CM77" s="121"/>
      <c r="CN77" s="121"/>
      <c r="CO77" s="121"/>
      <c r="CP77" s="121"/>
      <c r="CQ77" s="121"/>
      <c r="CR77" s="121"/>
      <c r="CS77" s="121"/>
      <c r="CT77" s="121"/>
      <c r="CU77" s="121"/>
      <c r="CV77" s="121"/>
      <c r="CW77" s="121"/>
      <c r="CX77" s="121"/>
      <c r="CY77" s="121"/>
      <c r="CZ77" s="121"/>
      <c r="DA77" s="121"/>
      <c r="DB77" s="121"/>
      <c r="DC77" s="121"/>
      <c r="DD77" s="121"/>
      <c r="DE77" s="121"/>
      <c r="DF77" s="121"/>
      <c r="DG77" s="121"/>
      <c r="DH77" s="121"/>
      <c r="DI77" s="121"/>
      <c r="DJ77" s="121"/>
      <c r="DK77" s="121"/>
      <c r="DL77" s="121"/>
      <c r="DM77" s="121"/>
      <c r="DN77" s="121"/>
      <c r="DO77" s="121"/>
      <c r="DP77" s="121"/>
      <c r="DQ77" s="121"/>
      <c r="DR77" s="121"/>
      <c r="DS77" s="121"/>
      <c r="DT77" s="121"/>
      <c r="DU77" s="121"/>
      <c r="DV77" s="121"/>
      <c r="DW77" s="121"/>
      <c r="DX77" s="121"/>
      <c r="DY77" s="121"/>
      <c r="DZ77" s="121"/>
      <c r="EA77" s="121"/>
      <c r="EB77" s="121"/>
      <c r="EC77" s="121"/>
      <c r="ED77" s="121"/>
      <c r="EE77" s="121"/>
      <c r="EF77" s="121"/>
      <c r="EG77" s="121"/>
      <c r="EH77" s="121"/>
      <c r="EI77" s="121"/>
      <c r="EJ77" s="121"/>
      <c r="EK77" s="121"/>
      <c r="EL77" s="121"/>
      <c r="EM77" s="121"/>
      <c r="EN77" s="121"/>
      <c r="EO77" s="121"/>
      <c r="EP77" s="121"/>
      <c r="EQ77" s="121"/>
      <c r="ER77" s="121"/>
      <c r="ES77" s="121"/>
      <c r="ET77" s="121"/>
      <c r="EU77" s="121"/>
      <c r="EV77" s="121"/>
      <c r="EW77" s="121"/>
      <c r="EX77" s="121"/>
      <c r="EY77" s="121"/>
      <c r="EZ77" s="121"/>
      <c r="FA77" s="121"/>
      <c r="FB77" s="121"/>
      <c r="FC77" s="121"/>
      <c r="FD77" s="121"/>
      <c r="FE77" s="121"/>
      <c r="FF77" s="121"/>
      <c r="FG77" s="121"/>
      <c r="FH77" s="121"/>
      <c r="FI77" s="121"/>
      <c r="FJ77" s="121"/>
      <c r="FK77" s="121"/>
      <c r="FL77" s="121"/>
      <c r="FM77" s="121"/>
      <c r="FN77" s="121"/>
      <c r="FO77" s="121"/>
      <c r="FP77" s="121"/>
      <c r="FQ77" s="121"/>
      <c r="FR77" s="121"/>
      <c r="FS77" s="121"/>
      <c r="FT77" s="121"/>
      <c r="FU77" s="121"/>
      <c r="FV77" s="121"/>
      <c r="FW77" s="121"/>
      <c r="FX77" s="121"/>
      <c r="FY77" s="121"/>
      <c r="FZ77" s="121"/>
      <c r="GA77" s="121"/>
      <c r="GB77" s="121"/>
      <c r="GC77" s="121"/>
      <c r="GD77" s="121"/>
      <c r="GE77" s="121"/>
      <c r="GF77" s="121"/>
      <c r="GG77" s="121"/>
      <c r="GH77" s="121"/>
      <c r="GI77" s="121"/>
      <c r="GJ77" s="121"/>
      <c r="GK77" s="121"/>
      <c r="GL77" s="121"/>
      <c r="GM77" s="121"/>
      <c r="GN77" s="121"/>
      <c r="GO77" s="121"/>
      <c r="GP77" s="121"/>
      <c r="GQ77" s="121"/>
      <c r="GR77" s="121"/>
      <c r="GS77" s="121"/>
      <c r="GT77" s="121"/>
      <c r="GU77" s="121"/>
      <c r="GV77" s="121"/>
      <c r="GW77" s="121"/>
      <c r="GX77" s="121"/>
      <c r="GY77" s="121"/>
      <c r="GZ77" s="121"/>
      <c r="HA77" s="121"/>
      <c r="HB77" s="121"/>
      <c r="HC77" s="121"/>
      <c r="HD77" s="121"/>
      <c r="HE77" s="121"/>
      <c r="HF77" s="121"/>
      <c r="HG77" s="121"/>
      <c r="HH77" s="121"/>
      <c r="HI77" s="121"/>
      <c r="HJ77" s="121"/>
      <c r="HK77" s="121"/>
      <c r="HL77" s="121"/>
      <c r="HM77" s="121"/>
      <c r="HN77" s="121"/>
      <c r="HO77" s="121"/>
      <c r="HP77" s="121"/>
    </row>
    <row r="78" spans="1:224" s="142" customFormat="1" ht="43.5" customHeight="1" x14ac:dyDescent="0.2">
      <c r="A78" s="495"/>
      <c r="B78" s="140" t="s">
        <v>151</v>
      </c>
      <c r="C78" s="293">
        <v>8943</v>
      </c>
      <c r="D78" s="417">
        <f t="shared" ref="D78:E78" si="144">D82+D74</f>
        <v>7736</v>
      </c>
      <c r="E78" s="417">
        <f t="shared" si="144"/>
        <v>8213</v>
      </c>
      <c r="F78" s="417">
        <f t="shared" ref="F78:G78" si="145">F82+F74</f>
        <v>9207</v>
      </c>
      <c r="G78" s="417">
        <f t="shared" si="145"/>
        <v>8777</v>
      </c>
      <c r="H78" s="417">
        <f t="shared" ref="H78" si="146">H82+H74</f>
        <v>9181</v>
      </c>
      <c r="I78" s="417">
        <f t="shared" ref="I78:N78" si="147">I82+I74</f>
        <v>9005</v>
      </c>
      <c r="J78" s="417">
        <f t="shared" si="147"/>
        <v>8559</v>
      </c>
      <c r="K78" s="417">
        <f t="shared" si="147"/>
        <v>8047</v>
      </c>
      <c r="L78" s="417">
        <f t="shared" si="147"/>
        <v>8256</v>
      </c>
      <c r="M78" s="417">
        <f t="shared" si="147"/>
        <v>8684</v>
      </c>
      <c r="N78" s="417">
        <f t="shared" si="147"/>
        <v>7713</v>
      </c>
      <c r="O78" s="417">
        <f t="shared" ref="O78:P78" si="148">O82+O74</f>
        <v>8307</v>
      </c>
      <c r="P78" s="417">
        <f t="shared" si="148"/>
        <v>8130</v>
      </c>
      <c r="Q78" s="417">
        <f t="shared" ref="Q78:R78" si="149">Q82+Q74</f>
        <v>7687</v>
      </c>
      <c r="R78" s="417">
        <f t="shared" si="149"/>
        <v>6948</v>
      </c>
      <c r="S78" s="417">
        <f t="shared" ref="S78:T78" si="150">S82+S74</f>
        <v>7956</v>
      </c>
      <c r="T78" s="417">
        <f t="shared" si="150"/>
        <v>7898</v>
      </c>
      <c r="U78" s="417">
        <f t="shared" ref="U78:V78" si="151">U82+U74</f>
        <v>7444</v>
      </c>
      <c r="V78" s="417">
        <f t="shared" si="151"/>
        <v>7861</v>
      </c>
      <c r="W78" s="417">
        <f t="shared" ref="W78:X78" si="152">W82+W74</f>
        <v>7449</v>
      </c>
      <c r="X78" s="417">
        <f t="shared" si="152"/>
        <v>7378</v>
      </c>
      <c r="Y78" s="417">
        <f t="shared" ref="Y78:Z78" si="153">Y82+Y74</f>
        <v>6851</v>
      </c>
      <c r="Z78" s="417">
        <f t="shared" si="153"/>
        <v>7418</v>
      </c>
      <c r="AA78" s="417">
        <f t="shared" ref="AA78:AB78" si="154">AA82+AA74</f>
        <v>8096</v>
      </c>
      <c r="AB78" s="417">
        <f t="shared" si="154"/>
        <v>10072</v>
      </c>
      <c r="AC78" s="417">
        <f t="shared" ref="AC78:AD78" si="155">AC82+AC74</f>
        <v>8650</v>
      </c>
      <c r="AD78" s="417">
        <f t="shared" si="155"/>
        <v>7113</v>
      </c>
      <c r="AE78" s="417">
        <f t="shared" ref="AE78:AF78" si="156">AE82+AE74</f>
        <v>8444</v>
      </c>
      <c r="AF78" s="417">
        <f t="shared" si="156"/>
        <v>8136</v>
      </c>
      <c r="AG78" s="417">
        <f t="shared" ref="AG78:AH78" si="157">AG82+AG74</f>
        <v>7351</v>
      </c>
      <c r="AH78" s="417">
        <f t="shared" si="157"/>
        <v>8027</v>
      </c>
      <c r="AI78" s="293"/>
      <c r="AJ78" s="195">
        <f>AVERAGE(D78:AH78)</f>
        <v>8083.677419354839</v>
      </c>
      <c r="AK78" s="141">
        <v>5484</v>
      </c>
      <c r="AL78" s="141">
        <v>5663</v>
      </c>
      <c r="AM78" s="141"/>
      <c r="AN78" s="141"/>
      <c r="AO78" s="141"/>
      <c r="AP78" s="141"/>
      <c r="AQ78" s="141"/>
      <c r="AR78" s="141"/>
      <c r="AS78" s="141"/>
      <c r="AT78" s="141"/>
      <c r="AU78" s="141"/>
      <c r="AV78" s="141"/>
      <c r="AW78" s="141"/>
      <c r="AX78" s="141"/>
      <c r="AY78" s="141"/>
      <c r="AZ78" s="141"/>
      <c r="BA78" s="141"/>
      <c r="BB78" s="141"/>
      <c r="BC78" s="141"/>
      <c r="BD78" s="141"/>
      <c r="BE78" s="141"/>
      <c r="BF78" s="141"/>
      <c r="BG78" s="141"/>
      <c r="BH78" s="141"/>
      <c r="BI78" s="141"/>
      <c r="BJ78" s="141"/>
      <c r="BK78" s="141"/>
      <c r="BL78" s="141"/>
      <c r="BM78" s="141"/>
      <c r="BN78" s="141"/>
      <c r="BO78" s="141"/>
      <c r="BP78" s="141"/>
      <c r="BQ78" s="141"/>
      <c r="BR78" s="141"/>
      <c r="BS78" s="141"/>
      <c r="BT78" s="141"/>
      <c r="BU78" s="141"/>
      <c r="BV78" s="141"/>
      <c r="BW78" s="141"/>
      <c r="BX78" s="141"/>
      <c r="BY78" s="141"/>
      <c r="BZ78" s="141"/>
      <c r="CA78" s="141"/>
      <c r="CB78" s="141"/>
      <c r="CC78" s="141"/>
      <c r="CD78" s="141"/>
      <c r="CE78" s="141"/>
      <c r="CF78" s="141"/>
      <c r="CG78" s="141"/>
      <c r="CH78" s="141"/>
      <c r="CI78" s="141"/>
      <c r="CJ78" s="141"/>
      <c r="CK78" s="141"/>
      <c r="CL78" s="141"/>
      <c r="CM78" s="141"/>
      <c r="CN78" s="141"/>
      <c r="CO78" s="141"/>
      <c r="CP78" s="141"/>
      <c r="CQ78" s="141"/>
      <c r="CR78" s="141"/>
      <c r="CS78" s="141"/>
      <c r="CT78" s="141"/>
      <c r="CU78" s="141"/>
      <c r="CV78" s="141"/>
      <c r="CW78" s="141"/>
      <c r="CX78" s="141"/>
      <c r="CY78" s="141"/>
      <c r="CZ78" s="141"/>
      <c r="DA78" s="141"/>
      <c r="DB78" s="141"/>
      <c r="DC78" s="141"/>
      <c r="DD78" s="141"/>
      <c r="DE78" s="141"/>
      <c r="DF78" s="141"/>
      <c r="DG78" s="141"/>
      <c r="DH78" s="141"/>
      <c r="DI78" s="141"/>
      <c r="DJ78" s="141"/>
      <c r="DK78" s="141"/>
      <c r="DL78" s="141"/>
      <c r="DM78" s="141"/>
      <c r="DN78" s="141"/>
      <c r="DO78" s="141"/>
      <c r="DP78" s="141"/>
      <c r="DQ78" s="141"/>
      <c r="DR78" s="141"/>
      <c r="DS78" s="141"/>
      <c r="DT78" s="141"/>
      <c r="DU78" s="141"/>
      <c r="DV78" s="141"/>
      <c r="DW78" s="141"/>
      <c r="DX78" s="141"/>
      <c r="DY78" s="141"/>
      <c r="DZ78" s="141"/>
      <c r="EA78" s="141"/>
      <c r="EB78" s="141"/>
      <c r="EC78" s="141"/>
      <c r="ED78" s="141"/>
      <c r="EE78" s="141"/>
      <c r="EF78" s="141"/>
      <c r="EG78" s="141"/>
      <c r="EH78" s="141"/>
      <c r="EI78" s="141"/>
      <c r="EJ78" s="141"/>
      <c r="EK78" s="141"/>
      <c r="EL78" s="141"/>
      <c r="EM78" s="141"/>
      <c r="EN78" s="141"/>
      <c r="EO78" s="141"/>
      <c r="EP78" s="141"/>
      <c r="EQ78" s="141"/>
      <c r="ER78" s="141"/>
      <c r="ES78" s="141"/>
      <c r="ET78" s="141"/>
      <c r="EU78" s="141"/>
      <c r="EV78" s="141"/>
      <c r="EW78" s="141"/>
      <c r="EX78" s="141"/>
      <c r="EY78" s="141"/>
      <c r="EZ78" s="141"/>
      <c r="FA78" s="141"/>
      <c r="FB78" s="141"/>
      <c r="FC78" s="141"/>
      <c r="FD78" s="141"/>
      <c r="FE78" s="141"/>
      <c r="FF78" s="141"/>
      <c r="FG78" s="141"/>
      <c r="FH78" s="141"/>
      <c r="FI78" s="141"/>
      <c r="FJ78" s="141"/>
      <c r="FK78" s="141"/>
      <c r="FL78" s="141"/>
      <c r="FM78" s="141"/>
      <c r="FN78" s="141"/>
      <c r="FO78" s="141"/>
      <c r="FP78" s="141"/>
      <c r="FQ78" s="141"/>
      <c r="FR78" s="141"/>
      <c r="FS78" s="141"/>
      <c r="FT78" s="141"/>
      <c r="FU78" s="141"/>
      <c r="FV78" s="141"/>
      <c r="FW78" s="141"/>
      <c r="FX78" s="141"/>
      <c r="FY78" s="141"/>
      <c r="FZ78" s="141"/>
      <c r="GA78" s="141"/>
      <c r="GB78" s="141"/>
      <c r="GC78" s="141"/>
      <c r="GD78" s="141"/>
      <c r="GE78" s="141"/>
      <c r="GF78" s="141"/>
      <c r="GG78" s="141"/>
      <c r="GH78" s="141"/>
      <c r="GI78" s="141"/>
      <c r="GJ78" s="141"/>
      <c r="GK78" s="141"/>
      <c r="GL78" s="141"/>
      <c r="GM78" s="141"/>
      <c r="GN78" s="141"/>
      <c r="GO78" s="141"/>
      <c r="GP78" s="141"/>
      <c r="GQ78" s="141"/>
      <c r="GR78" s="141"/>
      <c r="GS78" s="141"/>
      <c r="GT78" s="141"/>
      <c r="GU78" s="141"/>
      <c r="GV78" s="141"/>
      <c r="GW78" s="141"/>
      <c r="GX78" s="141"/>
      <c r="GY78" s="141"/>
      <c r="GZ78" s="141"/>
      <c r="HA78" s="141"/>
      <c r="HB78" s="141"/>
      <c r="HC78" s="141"/>
      <c r="HD78" s="141"/>
      <c r="HE78" s="141"/>
      <c r="HF78" s="141"/>
      <c r="HG78" s="141"/>
      <c r="HH78" s="141"/>
      <c r="HI78" s="141"/>
      <c r="HJ78" s="141"/>
      <c r="HK78" s="141"/>
      <c r="HL78" s="141"/>
      <c r="HM78" s="141"/>
      <c r="HN78" s="141"/>
      <c r="HO78" s="141"/>
      <c r="HP78" s="141"/>
    </row>
    <row r="79" spans="1:224" s="216" customFormat="1" ht="28.5" x14ac:dyDescent="0.2">
      <c r="A79" s="495"/>
      <c r="B79" s="206" t="s">
        <v>152</v>
      </c>
      <c r="C79" s="365">
        <v>250446</v>
      </c>
      <c r="D79" s="430">
        <f>D83</f>
        <v>6767</v>
      </c>
      <c r="E79" s="430">
        <f t="shared" ref="E79" si="158">E75+E83</f>
        <v>15949</v>
      </c>
      <c r="F79" s="430">
        <f t="shared" ref="F79:G79" si="159">F75+F83</f>
        <v>25156</v>
      </c>
      <c r="G79" s="430">
        <f t="shared" si="159"/>
        <v>33933</v>
      </c>
      <c r="H79" s="430">
        <f t="shared" ref="H79" si="160">H75+H83</f>
        <v>43114</v>
      </c>
      <c r="I79" s="430">
        <f t="shared" ref="I79:N79" si="161">I75+I83</f>
        <v>52119</v>
      </c>
      <c r="J79" s="430">
        <f t="shared" si="161"/>
        <v>60678</v>
      </c>
      <c r="K79" s="430">
        <f t="shared" si="161"/>
        <v>68725</v>
      </c>
      <c r="L79" s="430">
        <f t="shared" si="161"/>
        <v>76981</v>
      </c>
      <c r="M79" s="430">
        <f t="shared" si="161"/>
        <v>85665</v>
      </c>
      <c r="N79" s="430">
        <f t="shared" si="161"/>
        <v>93378</v>
      </c>
      <c r="O79" s="430">
        <f t="shared" ref="O79:P79" si="162">O75+O83</f>
        <v>101685</v>
      </c>
      <c r="P79" s="430">
        <f t="shared" si="162"/>
        <v>109815</v>
      </c>
      <c r="Q79" s="430">
        <f t="shared" ref="Q79:R79" si="163">Q75+Q83</f>
        <v>117502</v>
      </c>
      <c r="R79" s="430">
        <f t="shared" si="163"/>
        <v>124450</v>
      </c>
      <c r="S79" s="430">
        <f t="shared" ref="S79:T79" si="164">S75+S83</f>
        <v>132406</v>
      </c>
      <c r="T79" s="430">
        <f t="shared" si="164"/>
        <v>140304</v>
      </c>
      <c r="U79" s="430">
        <f t="shared" ref="U79:V79" si="165">U75+U83</f>
        <v>147748</v>
      </c>
      <c r="V79" s="430">
        <f t="shared" si="165"/>
        <v>155609</v>
      </c>
      <c r="W79" s="430">
        <f t="shared" ref="W79:X79" si="166">W75+W83</f>
        <v>163058</v>
      </c>
      <c r="X79" s="430">
        <f t="shared" si="166"/>
        <v>170436</v>
      </c>
      <c r="Y79" s="430">
        <f t="shared" ref="Y79:Z79" si="167">Y75+Y83</f>
        <v>177287</v>
      </c>
      <c r="Z79" s="430">
        <f t="shared" si="167"/>
        <v>184705</v>
      </c>
      <c r="AA79" s="430">
        <f t="shared" ref="AA79:AB79" si="168">AA75+AA83</f>
        <v>192801</v>
      </c>
      <c r="AB79" s="430">
        <f t="shared" si="168"/>
        <v>202873</v>
      </c>
      <c r="AC79" s="430">
        <f t="shared" ref="AC79:AD79" si="169">AC75+AC83</f>
        <v>211523</v>
      </c>
      <c r="AD79" s="430">
        <f t="shared" si="169"/>
        <v>218636</v>
      </c>
      <c r="AE79" s="430">
        <f t="shared" ref="AE79:AF79" si="170">AE75+AE83</f>
        <v>227080</v>
      </c>
      <c r="AF79" s="430">
        <f t="shared" si="170"/>
        <v>235216</v>
      </c>
      <c r="AG79" s="430">
        <f t="shared" ref="AG79:AH79" si="171">AG75+AG83</f>
        <v>242567</v>
      </c>
      <c r="AH79" s="430">
        <f t="shared" si="171"/>
        <v>250594</v>
      </c>
      <c r="AI79" s="300"/>
      <c r="AJ79" s="207"/>
      <c r="AK79" s="215">
        <v>436470</v>
      </c>
      <c r="AL79" s="215">
        <v>207075</v>
      </c>
      <c r="AM79" s="215"/>
      <c r="AN79" s="215"/>
      <c r="AO79" s="215"/>
      <c r="AP79" s="215"/>
      <c r="AQ79" s="215"/>
      <c r="AR79" s="215"/>
      <c r="AS79" s="215"/>
      <c r="AT79" s="215"/>
      <c r="AU79" s="215"/>
      <c r="AV79" s="215"/>
      <c r="AW79" s="215"/>
      <c r="AX79" s="215"/>
      <c r="AY79" s="215"/>
      <c r="AZ79" s="215"/>
      <c r="BA79" s="215"/>
      <c r="BB79" s="215"/>
      <c r="BC79" s="215"/>
      <c r="BD79" s="215"/>
      <c r="BE79" s="215"/>
      <c r="BF79" s="215"/>
      <c r="BG79" s="215"/>
      <c r="BH79" s="215"/>
      <c r="BI79" s="215"/>
      <c r="BJ79" s="215"/>
      <c r="BK79" s="215"/>
      <c r="BL79" s="215"/>
      <c r="BM79" s="215"/>
      <c r="BN79" s="215"/>
      <c r="BO79" s="215"/>
      <c r="BP79" s="215"/>
      <c r="BQ79" s="215"/>
      <c r="BR79" s="215"/>
      <c r="BS79" s="215"/>
      <c r="BT79" s="215"/>
      <c r="BU79" s="215"/>
      <c r="BV79" s="215"/>
      <c r="BW79" s="215"/>
      <c r="BX79" s="215"/>
      <c r="BY79" s="215"/>
      <c r="BZ79" s="215"/>
      <c r="CA79" s="215"/>
      <c r="CB79" s="215"/>
      <c r="CC79" s="215"/>
      <c r="CD79" s="215"/>
      <c r="CE79" s="215"/>
      <c r="CF79" s="215"/>
      <c r="CG79" s="215"/>
      <c r="CH79" s="215"/>
      <c r="CI79" s="215"/>
      <c r="CJ79" s="215"/>
      <c r="CK79" s="215"/>
      <c r="CL79" s="215"/>
      <c r="CM79" s="215"/>
      <c r="CN79" s="215"/>
      <c r="CO79" s="215"/>
      <c r="CP79" s="215"/>
      <c r="CQ79" s="215"/>
      <c r="CR79" s="215"/>
      <c r="CS79" s="215"/>
      <c r="CT79" s="215"/>
      <c r="CU79" s="215"/>
      <c r="CV79" s="215"/>
      <c r="CW79" s="215"/>
      <c r="CX79" s="215"/>
      <c r="CY79" s="215"/>
      <c r="CZ79" s="215"/>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15"/>
      <c r="EC79" s="215"/>
      <c r="ED79" s="215"/>
      <c r="EE79" s="215"/>
      <c r="EF79" s="215"/>
      <c r="EG79" s="215"/>
      <c r="EH79" s="215"/>
      <c r="EI79" s="215"/>
      <c r="EJ79" s="215"/>
      <c r="EK79" s="215"/>
      <c r="EL79" s="215"/>
      <c r="EM79" s="215"/>
      <c r="EN79" s="215"/>
      <c r="EO79" s="215"/>
      <c r="EP79" s="215"/>
      <c r="EQ79" s="215"/>
      <c r="ER79" s="215"/>
      <c r="ES79" s="215"/>
      <c r="ET79" s="215"/>
      <c r="EU79" s="215"/>
      <c r="EV79" s="215"/>
      <c r="EW79" s="215"/>
      <c r="EX79" s="215"/>
      <c r="EY79" s="215"/>
      <c r="EZ79" s="215"/>
      <c r="FA79" s="215"/>
      <c r="FB79" s="215"/>
      <c r="FC79" s="215"/>
      <c r="FD79" s="215"/>
      <c r="FE79" s="215"/>
      <c r="FF79" s="215"/>
      <c r="FG79" s="215"/>
      <c r="FH79" s="215"/>
      <c r="FI79" s="215"/>
      <c r="FJ79" s="215"/>
      <c r="FK79" s="215"/>
      <c r="FL79" s="215"/>
      <c r="FM79" s="215"/>
      <c r="FN79" s="215"/>
      <c r="FO79" s="215"/>
      <c r="FP79" s="215"/>
      <c r="FQ79" s="215"/>
      <c r="FR79" s="215"/>
      <c r="FS79" s="215"/>
      <c r="FT79" s="215"/>
      <c r="FU79" s="215"/>
      <c r="FV79" s="215"/>
      <c r="FW79" s="215"/>
      <c r="FX79" s="215"/>
      <c r="FY79" s="215"/>
      <c r="FZ79" s="215"/>
      <c r="GA79" s="215"/>
      <c r="GB79" s="215"/>
      <c r="GC79" s="215"/>
      <c r="GD79" s="215"/>
      <c r="GE79" s="215"/>
      <c r="GF79" s="215"/>
      <c r="GG79" s="215"/>
      <c r="GH79" s="215"/>
      <c r="GI79" s="215"/>
      <c r="GJ79" s="215"/>
      <c r="GK79" s="215"/>
      <c r="GL79" s="215"/>
      <c r="GM79" s="215"/>
      <c r="GN79" s="215"/>
      <c r="GO79" s="215"/>
      <c r="GP79" s="215"/>
      <c r="GQ79" s="215"/>
      <c r="GR79" s="215"/>
      <c r="GS79" s="215"/>
      <c r="GT79" s="215"/>
      <c r="GU79" s="215"/>
      <c r="GV79" s="215"/>
      <c r="GW79" s="215"/>
      <c r="GX79" s="215"/>
      <c r="GY79" s="215"/>
      <c r="GZ79" s="215"/>
      <c r="HA79" s="215"/>
      <c r="HB79" s="215"/>
      <c r="HC79" s="215"/>
      <c r="HD79" s="215"/>
      <c r="HE79" s="215"/>
      <c r="HF79" s="215"/>
      <c r="HG79" s="215"/>
      <c r="HH79" s="215"/>
      <c r="HI79" s="215"/>
      <c r="HJ79" s="215"/>
      <c r="HK79" s="215"/>
      <c r="HL79" s="215"/>
      <c r="HM79" s="215"/>
      <c r="HN79" s="215"/>
      <c r="HO79" s="215"/>
      <c r="HP79" s="215"/>
    </row>
    <row r="80" spans="1:224" s="139" customFormat="1" ht="45" x14ac:dyDescent="0.2">
      <c r="A80" s="495"/>
      <c r="B80" s="143" t="s">
        <v>153</v>
      </c>
      <c r="C80" s="301">
        <v>-4074</v>
      </c>
      <c r="D80" s="431">
        <f t="shared" ref="D80:K80" si="172">D56-(D55+D60)</f>
        <v>-599</v>
      </c>
      <c r="E80" s="431">
        <f t="shared" si="172"/>
        <v>-157</v>
      </c>
      <c r="F80" s="431">
        <f t="shared" si="172"/>
        <v>-887</v>
      </c>
      <c r="G80" s="431">
        <f t="shared" si="172"/>
        <v>-949</v>
      </c>
      <c r="H80" s="431">
        <f t="shared" si="172"/>
        <v>-683</v>
      </c>
      <c r="I80" s="431">
        <f t="shared" si="172"/>
        <v>-1208</v>
      </c>
      <c r="J80" s="431">
        <f t="shared" si="172"/>
        <v>-54</v>
      </c>
      <c r="K80" s="431">
        <f t="shared" si="172"/>
        <v>-77</v>
      </c>
      <c r="L80" s="431">
        <f t="shared" ref="L80:M80" si="173">L56-(L55+L60)</f>
        <v>69</v>
      </c>
      <c r="M80" s="431">
        <f t="shared" si="173"/>
        <v>-309</v>
      </c>
      <c r="N80" s="431">
        <f t="shared" ref="N80:O80" si="174">N56-(N55+N60)</f>
        <v>-69</v>
      </c>
      <c r="O80" s="431">
        <f t="shared" si="174"/>
        <v>-281</v>
      </c>
      <c r="P80" s="431">
        <f t="shared" ref="P80:Q80" si="175">P56-(P55+P60)</f>
        <v>-101</v>
      </c>
      <c r="Q80" s="431">
        <f t="shared" si="175"/>
        <v>-168</v>
      </c>
      <c r="R80" s="431">
        <f t="shared" ref="R80:S80" si="176">R56-(R55+R60)</f>
        <v>-37</v>
      </c>
      <c r="S80" s="431">
        <f t="shared" si="176"/>
        <v>-435</v>
      </c>
      <c r="T80" s="431">
        <f t="shared" ref="T80:U80" si="177">T56-(T55+T60)</f>
        <v>-1019</v>
      </c>
      <c r="U80" s="431">
        <f t="shared" si="177"/>
        <v>-266</v>
      </c>
      <c r="V80" s="431">
        <f t="shared" ref="V80:W80" si="178">V56-(V55+V60)</f>
        <v>-1453</v>
      </c>
      <c r="W80" s="431">
        <f t="shared" si="178"/>
        <v>-367</v>
      </c>
      <c r="X80" s="431">
        <f t="shared" ref="X80:Y80" si="179">X56-(X55+X60)</f>
        <v>-1004</v>
      </c>
      <c r="Y80" s="431">
        <f t="shared" si="179"/>
        <v>-521</v>
      </c>
      <c r="Z80" s="431">
        <f t="shared" ref="Z80:AA80" si="180">Z56-(Z55+Z60)</f>
        <v>-322</v>
      </c>
      <c r="AA80" s="431">
        <f t="shared" si="180"/>
        <v>-574</v>
      </c>
      <c r="AB80" s="431">
        <f t="shared" ref="AB80:AC80" si="181">AB56-(AB55+AB60)</f>
        <v>-1007</v>
      </c>
      <c r="AC80" s="431">
        <f t="shared" si="181"/>
        <v>-1343</v>
      </c>
      <c r="AD80" s="431">
        <f t="shared" ref="AD80:AE80" si="182">AD56-(AD55+AD60)</f>
        <v>-1355</v>
      </c>
      <c r="AE80" s="431">
        <f t="shared" si="182"/>
        <v>-274</v>
      </c>
      <c r="AF80" s="431">
        <f t="shared" ref="AF80:AG80" si="183">AF56-(AF55+AF60)</f>
        <v>-726</v>
      </c>
      <c r="AG80" s="431">
        <f t="shared" si="183"/>
        <v>-192</v>
      </c>
      <c r="AH80" s="431">
        <f t="shared" ref="AH80" si="184">AH56-(AH55+AH60)</f>
        <v>-569</v>
      </c>
      <c r="AI80" s="301"/>
      <c r="AJ80" s="196">
        <f>AVERAGE(D80:AH80)</f>
        <v>-546.35483870967744</v>
      </c>
      <c r="AK80" s="121">
        <v>2330</v>
      </c>
      <c r="AL80" s="121">
        <v>-931</v>
      </c>
      <c r="AM80" s="121"/>
      <c r="AN80" s="121"/>
      <c r="AO80" s="121"/>
      <c r="AP80" s="121"/>
      <c r="AQ80" s="121"/>
      <c r="AR80" s="121"/>
      <c r="AS80" s="121"/>
      <c r="AT80" s="121"/>
      <c r="AU80" s="121"/>
      <c r="AV80" s="121"/>
      <c r="AW80" s="121"/>
      <c r="AX80" s="121"/>
      <c r="AY80" s="121"/>
      <c r="AZ80" s="121"/>
      <c r="BA80" s="121"/>
      <c r="BB80" s="121"/>
      <c r="BC80" s="121"/>
      <c r="BD80" s="121"/>
      <c r="BE80" s="121"/>
      <c r="BF80" s="121"/>
      <c r="BG80" s="121"/>
      <c r="BH80" s="121"/>
      <c r="BI80" s="121"/>
      <c r="BJ80" s="121"/>
      <c r="BK80" s="121"/>
      <c r="BL80" s="121"/>
      <c r="BM80" s="121"/>
      <c r="BN80" s="121"/>
      <c r="BO80" s="121"/>
      <c r="BP80" s="121"/>
      <c r="BQ80" s="121"/>
      <c r="BR80" s="121"/>
      <c r="BS80" s="121"/>
      <c r="BT80" s="121"/>
      <c r="BU80" s="121"/>
      <c r="BV80" s="121"/>
      <c r="BW80" s="121"/>
      <c r="BX80" s="121"/>
      <c r="BY80" s="121"/>
      <c r="BZ80" s="121"/>
      <c r="CA80" s="121"/>
      <c r="CB80" s="121"/>
      <c r="CC80" s="121"/>
      <c r="CD80" s="121"/>
      <c r="CE80" s="121"/>
      <c r="CF80" s="121"/>
      <c r="CG80" s="121"/>
      <c r="CH80" s="121"/>
      <c r="CI80" s="121"/>
      <c r="CJ80" s="121"/>
      <c r="CK80" s="121"/>
      <c r="CL80" s="121"/>
      <c r="CM80" s="121"/>
      <c r="CN80" s="121"/>
      <c r="CO80" s="121"/>
      <c r="CP80" s="121"/>
      <c r="CQ80" s="121"/>
      <c r="CR80" s="121"/>
      <c r="CS80" s="121"/>
      <c r="CT80" s="121"/>
      <c r="CU80" s="121"/>
      <c r="CV80" s="121"/>
      <c r="CW80" s="121"/>
      <c r="CX80" s="121"/>
      <c r="CY80" s="121"/>
      <c r="CZ80" s="121"/>
      <c r="DA80" s="121"/>
      <c r="DB80" s="121"/>
      <c r="DC80" s="121"/>
      <c r="DD80" s="121"/>
      <c r="DE80" s="121"/>
      <c r="DF80" s="121"/>
      <c r="DG80" s="121"/>
      <c r="DH80" s="121"/>
      <c r="DI80" s="121"/>
      <c r="DJ80" s="121"/>
      <c r="DK80" s="121"/>
      <c r="DL80" s="121"/>
      <c r="DM80" s="121"/>
      <c r="DN80" s="121"/>
      <c r="DO80" s="121"/>
      <c r="DP80" s="121"/>
      <c r="DQ80" s="121"/>
      <c r="DR80" s="121"/>
      <c r="DS80" s="121"/>
      <c r="DT80" s="121"/>
      <c r="DU80" s="121"/>
      <c r="DV80" s="121"/>
      <c r="DW80" s="121"/>
      <c r="DX80" s="121"/>
      <c r="DY80" s="121"/>
      <c r="DZ80" s="121"/>
      <c r="EA80" s="121"/>
      <c r="EB80" s="121"/>
      <c r="EC80" s="121"/>
      <c r="ED80" s="121"/>
      <c r="EE80" s="121"/>
      <c r="EF80" s="121"/>
      <c r="EG80" s="121"/>
      <c r="EH80" s="121"/>
      <c r="EI80" s="121"/>
      <c r="EJ80" s="121"/>
      <c r="EK80" s="121"/>
      <c r="EL80" s="121"/>
      <c r="EM80" s="121"/>
      <c r="EN80" s="121"/>
      <c r="EO80" s="121"/>
      <c r="EP80" s="121"/>
      <c r="EQ80" s="121"/>
      <c r="ER80" s="121"/>
      <c r="ES80" s="121"/>
      <c r="ET80" s="121"/>
      <c r="EU80" s="121"/>
      <c r="EV80" s="121"/>
      <c r="EW80" s="121"/>
      <c r="EX80" s="121"/>
      <c r="EY80" s="121"/>
      <c r="EZ80" s="121"/>
      <c r="FA80" s="121"/>
      <c r="FB80" s="121"/>
      <c r="FC80" s="121"/>
      <c r="FD80" s="121"/>
      <c r="FE80" s="121"/>
      <c r="FF80" s="121"/>
      <c r="FG80" s="121"/>
      <c r="FH80" s="121"/>
      <c r="FI80" s="121"/>
      <c r="FJ80" s="121"/>
      <c r="FK80" s="121"/>
      <c r="FL80" s="121"/>
      <c r="FM80" s="121"/>
      <c r="FN80" s="121"/>
      <c r="FO80" s="121"/>
      <c r="FP80" s="121"/>
      <c r="FQ80" s="121"/>
      <c r="FR80" s="121"/>
      <c r="FS80" s="121"/>
      <c r="FT80" s="121"/>
      <c r="FU80" s="121"/>
      <c r="FV80" s="121"/>
      <c r="FW80" s="121"/>
      <c r="FX80" s="121"/>
      <c r="FY80" s="121"/>
      <c r="FZ80" s="121"/>
      <c r="GA80" s="121"/>
      <c r="GB80" s="121"/>
      <c r="GC80" s="121"/>
      <c r="GD80" s="121"/>
      <c r="GE80" s="121"/>
      <c r="GF80" s="121"/>
      <c r="GG80" s="121"/>
      <c r="GH80" s="121"/>
      <c r="GI80" s="121"/>
      <c r="GJ80" s="121"/>
      <c r="GK80" s="121"/>
      <c r="GL80" s="121"/>
      <c r="GM80" s="121"/>
      <c r="GN80" s="121"/>
      <c r="GO80" s="121"/>
      <c r="GP80" s="121"/>
      <c r="GQ80" s="121"/>
      <c r="GR80" s="121"/>
      <c r="GS80" s="121"/>
      <c r="GT80" s="121"/>
      <c r="GU80" s="121"/>
      <c r="GV80" s="121"/>
      <c r="GW80" s="121"/>
      <c r="GX80" s="121"/>
      <c r="GY80" s="121"/>
      <c r="GZ80" s="121"/>
      <c r="HA80" s="121"/>
      <c r="HB80" s="121"/>
      <c r="HC80" s="121"/>
      <c r="HD80" s="121"/>
      <c r="HE80" s="121"/>
      <c r="HF80" s="121"/>
      <c r="HG80" s="121"/>
      <c r="HH80" s="121"/>
      <c r="HI80" s="121"/>
      <c r="HJ80" s="121"/>
      <c r="HK80" s="121"/>
      <c r="HL80" s="121"/>
      <c r="HM80" s="121"/>
      <c r="HN80" s="121"/>
      <c r="HO80" s="121"/>
      <c r="HP80" s="121"/>
    </row>
    <row r="81" spans="1:224" s="144" customFormat="1" ht="30" x14ac:dyDescent="0.2">
      <c r="A81" s="495"/>
      <c r="B81" s="143" t="s">
        <v>154</v>
      </c>
      <c r="C81" s="301">
        <v>-4672</v>
      </c>
      <c r="D81" s="431">
        <f t="shared" ref="D81:K81" si="185">D56-D78</f>
        <v>1151</v>
      </c>
      <c r="E81" s="431">
        <f t="shared" si="185"/>
        <v>-608</v>
      </c>
      <c r="F81" s="431">
        <f t="shared" si="185"/>
        <v>118</v>
      </c>
      <c r="G81" s="431">
        <f t="shared" si="185"/>
        <v>1346</v>
      </c>
      <c r="H81" s="431">
        <f t="shared" si="185"/>
        <v>-700</v>
      </c>
      <c r="I81" s="431">
        <f t="shared" si="185"/>
        <v>711</v>
      </c>
      <c r="J81" s="431">
        <f t="shared" si="185"/>
        <v>1379</v>
      </c>
      <c r="K81" s="431">
        <f t="shared" si="185"/>
        <v>-150</v>
      </c>
      <c r="L81" s="431">
        <f t="shared" ref="L81:M81" si="186">L56-L78</f>
        <v>1863</v>
      </c>
      <c r="M81" s="431">
        <f t="shared" si="186"/>
        <v>1771</v>
      </c>
      <c r="N81" s="431">
        <f t="shared" ref="N81:O81" si="187">N56-N78</f>
        <v>-2498</v>
      </c>
      <c r="O81" s="431">
        <f t="shared" si="187"/>
        <v>1300</v>
      </c>
      <c r="P81" s="431">
        <f t="shared" ref="P81:Q81" si="188">P56-P78</f>
        <v>1779</v>
      </c>
      <c r="Q81" s="431">
        <f t="shared" si="188"/>
        <v>-47</v>
      </c>
      <c r="R81" s="431">
        <f t="shared" ref="R81:S81" si="189">R56-R78</f>
        <v>2839</v>
      </c>
      <c r="S81" s="431">
        <f t="shared" si="189"/>
        <v>1061</v>
      </c>
      <c r="T81" s="431">
        <f t="shared" ref="T81:U81" si="190">T56-T78</f>
        <v>621</v>
      </c>
      <c r="U81" s="431">
        <f t="shared" si="190"/>
        <v>1526</v>
      </c>
      <c r="V81" s="431">
        <f t="shared" ref="V81:W81" si="191">V56-V78</f>
        <v>1326</v>
      </c>
      <c r="W81" s="431">
        <f t="shared" si="191"/>
        <v>2312</v>
      </c>
      <c r="X81" s="431">
        <f t="shared" ref="X81:Y81" si="192">X56-X78</f>
        <v>3284</v>
      </c>
      <c r="Y81" s="431">
        <f t="shared" si="192"/>
        <v>-152</v>
      </c>
      <c r="Z81" s="431">
        <f t="shared" ref="Z81:AA81" si="193">Z56-Z78</f>
        <v>-260</v>
      </c>
      <c r="AA81" s="431">
        <f t="shared" si="193"/>
        <v>2192</v>
      </c>
      <c r="AB81" s="431">
        <f t="shared" ref="AB81:AC81" si="194">AB56-AB78</f>
        <v>-45</v>
      </c>
      <c r="AC81" s="431">
        <f t="shared" si="194"/>
        <v>499</v>
      </c>
      <c r="AD81" s="431">
        <f t="shared" ref="AD81:AE81" si="195">AD56-AD78</f>
        <v>1830</v>
      </c>
      <c r="AE81" s="431">
        <f t="shared" si="195"/>
        <v>3860</v>
      </c>
      <c r="AF81" s="431">
        <f t="shared" ref="AF81:AG81" si="196">AF56-AF78</f>
        <v>2530</v>
      </c>
      <c r="AG81" s="431">
        <f t="shared" si="196"/>
        <v>-1751</v>
      </c>
      <c r="AH81" s="431">
        <f t="shared" ref="AH81" si="197">AH56-AH78</f>
        <v>164</v>
      </c>
      <c r="AI81" s="301"/>
      <c r="AJ81" s="196">
        <f>AVERAGE(D81:AH81)</f>
        <v>943.58064516129036</v>
      </c>
      <c r="AK81" s="111">
        <v>2853</v>
      </c>
      <c r="AL81" s="111">
        <v>-1740</v>
      </c>
      <c r="AM81" s="111"/>
      <c r="AN81" s="111"/>
      <c r="AO81" s="111"/>
      <c r="AP81" s="111"/>
      <c r="AQ81" s="111"/>
      <c r="AR81" s="111"/>
      <c r="AS81" s="111"/>
      <c r="AT81" s="111"/>
      <c r="AU81" s="111"/>
      <c r="AV81" s="111"/>
      <c r="AW81" s="111"/>
      <c r="AX81" s="111"/>
      <c r="AY81" s="111"/>
      <c r="AZ81" s="111"/>
      <c r="BA81" s="111"/>
      <c r="BB81" s="111"/>
      <c r="BC81" s="111"/>
      <c r="BD81" s="111"/>
      <c r="BE81" s="111"/>
      <c r="BF81" s="111"/>
      <c r="BG81" s="111"/>
      <c r="BH81" s="111"/>
      <c r="BI81" s="111"/>
      <c r="BJ81" s="111"/>
      <c r="BK81" s="111"/>
      <c r="BL81" s="111"/>
      <c r="BM81" s="111"/>
      <c r="BN81" s="111"/>
      <c r="BO81" s="111"/>
      <c r="BP81" s="111"/>
      <c r="BQ81" s="111"/>
      <c r="BR81" s="111"/>
      <c r="BS81" s="111"/>
      <c r="BT81" s="111"/>
      <c r="BU81" s="111"/>
      <c r="BV81" s="111"/>
      <c r="BW81" s="111"/>
      <c r="BX81" s="111"/>
      <c r="BY81" s="111"/>
      <c r="BZ81" s="111"/>
      <c r="CA81" s="111"/>
      <c r="CB81" s="111"/>
      <c r="CC81" s="111"/>
      <c r="CD81" s="111"/>
      <c r="CE81" s="111"/>
      <c r="CF81" s="111"/>
      <c r="CG81" s="111"/>
      <c r="CH81" s="111"/>
      <c r="CI81" s="111"/>
      <c r="CJ81" s="111"/>
      <c r="CK81" s="111"/>
      <c r="CL81" s="111"/>
      <c r="CM81" s="111"/>
      <c r="CN81" s="111"/>
      <c r="CO81" s="111"/>
      <c r="CP81" s="111"/>
      <c r="CQ81" s="111"/>
      <c r="CR81" s="111"/>
      <c r="CS81" s="111"/>
      <c r="CT81" s="111"/>
      <c r="CU81" s="111"/>
      <c r="CV81" s="111"/>
      <c r="CW81" s="111"/>
      <c r="CX81" s="111"/>
      <c r="CY81" s="111"/>
      <c r="CZ81" s="111"/>
      <c r="DA81" s="111"/>
      <c r="DB81" s="111"/>
      <c r="DC81" s="111"/>
      <c r="DD81" s="111"/>
      <c r="DE81" s="111"/>
      <c r="DF81" s="111"/>
      <c r="DG81" s="111"/>
      <c r="DH81" s="111"/>
      <c r="DI81" s="111"/>
      <c r="DJ81" s="111"/>
      <c r="DK81" s="111"/>
      <c r="DL81" s="111"/>
      <c r="DM81" s="111"/>
      <c r="DN81" s="111"/>
      <c r="DO81" s="111"/>
      <c r="DP81" s="111"/>
      <c r="DQ81" s="111"/>
      <c r="DR81" s="111"/>
      <c r="DS81" s="111"/>
      <c r="DT81" s="111"/>
      <c r="DU81" s="111"/>
      <c r="DV81" s="111"/>
      <c r="DW81" s="111"/>
      <c r="DX81" s="111"/>
      <c r="DY81" s="111"/>
      <c r="DZ81" s="111"/>
      <c r="EA81" s="111"/>
      <c r="EB81" s="111"/>
      <c r="EC81" s="111"/>
      <c r="ED81" s="111"/>
      <c r="EE81" s="111"/>
      <c r="EF81" s="111"/>
      <c r="EG81" s="111"/>
      <c r="EH81" s="111"/>
      <c r="EI81" s="111"/>
      <c r="EJ81" s="111"/>
      <c r="EK81" s="111"/>
      <c r="EL81" s="111"/>
      <c r="EM81" s="111"/>
      <c r="EN81" s="111"/>
      <c r="EO81" s="111"/>
      <c r="EP81" s="111"/>
      <c r="EQ81" s="111"/>
      <c r="ER81" s="111"/>
      <c r="ES81" s="111"/>
      <c r="ET81" s="111"/>
      <c r="EU81" s="111"/>
      <c r="EV81" s="111"/>
      <c r="EW81" s="111"/>
      <c r="EX81" s="111"/>
      <c r="EY81" s="111"/>
      <c r="EZ81" s="111"/>
      <c r="FA81" s="111"/>
      <c r="FB81" s="111"/>
      <c r="FC81" s="111"/>
      <c r="FD81" s="111"/>
      <c r="FE81" s="111"/>
      <c r="FF81" s="111"/>
      <c r="FG81" s="111"/>
      <c r="FH81" s="111"/>
      <c r="FI81" s="111"/>
      <c r="FJ81" s="111"/>
      <c r="FK81" s="111"/>
      <c r="FL81" s="111"/>
      <c r="FM81" s="111"/>
      <c r="FN81" s="111"/>
      <c r="FO81" s="111"/>
      <c r="FP81" s="111"/>
      <c r="FQ81" s="111"/>
      <c r="FR81" s="111"/>
      <c r="FS81" s="111"/>
      <c r="FT81" s="111"/>
      <c r="FU81" s="111"/>
      <c r="FV81" s="111"/>
      <c r="FW81" s="111"/>
      <c r="FX81" s="111"/>
      <c r="FY81" s="111"/>
      <c r="FZ81" s="111"/>
      <c r="GA81" s="111"/>
      <c r="GB81" s="111"/>
      <c r="GC81" s="111"/>
      <c r="GD81" s="111"/>
      <c r="GE81" s="111"/>
      <c r="GF81" s="111"/>
      <c r="GG81" s="111"/>
      <c r="GH81" s="111"/>
      <c r="GI81" s="111"/>
      <c r="GJ81" s="111"/>
      <c r="GK81" s="111"/>
      <c r="GL81" s="111"/>
      <c r="GM81" s="111"/>
      <c r="GN81" s="111"/>
      <c r="GO81" s="111"/>
      <c r="GP81" s="111"/>
      <c r="GQ81" s="111"/>
      <c r="GR81" s="111"/>
      <c r="GS81" s="111"/>
      <c r="GT81" s="111"/>
      <c r="GU81" s="111"/>
      <c r="GV81" s="111"/>
      <c r="GW81" s="111"/>
      <c r="GX81" s="111"/>
      <c r="GY81" s="111"/>
      <c r="GZ81" s="111"/>
      <c r="HA81" s="111"/>
      <c r="HB81" s="111"/>
      <c r="HC81" s="111"/>
      <c r="HD81" s="111"/>
      <c r="HE81" s="111"/>
      <c r="HF81" s="111"/>
      <c r="HG81" s="111"/>
      <c r="HH81" s="111"/>
      <c r="HI81" s="111"/>
      <c r="HJ81" s="111"/>
      <c r="HK81" s="111"/>
      <c r="HL81" s="111"/>
      <c r="HM81" s="111"/>
      <c r="HN81" s="111"/>
      <c r="HO81" s="111"/>
      <c r="HP81" s="111"/>
    </row>
    <row r="82" spans="1:224" s="307" customFormat="1" ht="45" x14ac:dyDescent="0.2">
      <c r="A82" s="495"/>
      <c r="B82" s="304" t="s">
        <v>155</v>
      </c>
      <c r="C82" s="305">
        <v>6197</v>
      </c>
      <c r="D82" s="432">
        <f>D67+D60+D64</f>
        <v>6767</v>
      </c>
      <c r="E82" s="432">
        <f>E67+E60+E64</f>
        <v>7262</v>
      </c>
      <c r="F82" s="432">
        <f>F67+F60+F64</f>
        <v>8038</v>
      </c>
      <c r="G82" s="432">
        <f>G67+G60+G64</f>
        <v>7749</v>
      </c>
      <c r="H82" s="432">
        <f>H67+H60+H64</f>
        <v>8101</v>
      </c>
      <c r="I82" s="432">
        <f t="shared" ref="I82:N82" si="198">I67+I60+I64+I57</f>
        <v>8039</v>
      </c>
      <c r="J82" s="432">
        <f t="shared" si="198"/>
        <v>7423</v>
      </c>
      <c r="K82" s="432">
        <f t="shared" si="198"/>
        <v>6832</v>
      </c>
      <c r="L82" s="432">
        <f t="shared" si="198"/>
        <v>6884</v>
      </c>
      <c r="M82" s="432">
        <f t="shared" si="198"/>
        <v>7626</v>
      </c>
      <c r="N82" s="432">
        <f t="shared" si="198"/>
        <v>6528</v>
      </c>
      <c r="O82" s="432">
        <f t="shared" ref="O82:P82" si="199">O67+O60+O64+O57</f>
        <v>7283</v>
      </c>
      <c r="P82" s="432">
        <f t="shared" si="199"/>
        <v>7146</v>
      </c>
      <c r="Q82" s="432">
        <f t="shared" ref="Q82:V82" si="200">Q67+Q60+Q64+Q57</f>
        <v>6803</v>
      </c>
      <c r="R82" s="432">
        <f t="shared" si="200"/>
        <v>5990</v>
      </c>
      <c r="S82" s="432">
        <f t="shared" si="200"/>
        <v>6967</v>
      </c>
      <c r="T82" s="432">
        <f t="shared" si="200"/>
        <v>6996</v>
      </c>
      <c r="U82" s="432">
        <f t="shared" si="200"/>
        <v>6462</v>
      </c>
      <c r="V82" s="432">
        <f t="shared" si="200"/>
        <v>6791</v>
      </c>
      <c r="W82" s="432">
        <f t="shared" ref="W82:AB82" si="201">W67+W60+W64+W57</f>
        <v>6131</v>
      </c>
      <c r="X82" s="432">
        <f t="shared" si="201"/>
        <v>6583</v>
      </c>
      <c r="Y82" s="432">
        <f t="shared" si="201"/>
        <v>5964</v>
      </c>
      <c r="Z82" s="432">
        <f t="shared" si="201"/>
        <v>6439</v>
      </c>
      <c r="AA82" s="432">
        <f t="shared" si="201"/>
        <v>6653</v>
      </c>
      <c r="AB82" s="432">
        <f t="shared" si="201"/>
        <v>6259</v>
      </c>
      <c r="AC82" s="432">
        <f t="shared" ref="AC82:AD82" si="202">AC67+AC60+AC64+AC57</f>
        <v>6495</v>
      </c>
      <c r="AD82" s="432">
        <f t="shared" si="202"/>
        <v>5375</v>
      </c>
      <c r="AE82" s="432">
        <f>AE67+AE60+AE64+AE57</f>
        <v>6843</v>
      </c>
      <c r="AF82" s="432">
        <f>AF67+AF60+AF64+AF57</f>
        <v>6408</v>
      </c>
      <c r="AG82" s="432">
        <f>AG67+AG60+AG64+AG57</f>
        <v>5851</v>
      </c>
      <c r="AH82" s="432">
        <f>AH67+AH60+AH64+AH57</f>
        <v>6189</v>
      </c>
      <c r="AI82" s="305"/>
      <c r="AJ82" s="306">
        <f>AVERAGE(D82:AH82)</f>
        <v>6802.4838709677415</v>
      </c>
      <c r="AK82" s="307">
        <v>4920</v>
      </c>
      <c r="AL82" s="307">
        <v>4889</v>
      </c>
    </row>
    <row r="83" spans="1:224" s="307" customFormat="1" x14ac:dyDescent="0.2">
      <c r="A83" s="495"/>
      <c r="B83" s="304" t="s">
        <v>156</v>
      </c>
      <c r="C83" s="366">
        <v>178126</v>
      </c>
      <c r="D83" s="432">
        <f>D82</f>
        <v>6767</v>
      </c>
      <c r="E83" s="432">
        <f t="shared" ref="E83:H83" si="203">D83+E82</f>
        <v>14029</v>
      </c>
      <c r="F83" s="432">
        <f t="shared" si="203"/>
        <v>22067</v>
      </c>
      <c r="G83" s="432">
        <f t="shared" si="203"/>
        <v>29816</v>
      </c>
      <c r="H83" s="432">
        <f t="shared" si="203"/>
        <v>37917</v>
      </c>
      <c r="I83" s="432">
        <f t="shared" ref="I83:AH83" si="204">H83+I82</f>
        <v>45956</v>
      </c>
      <c r="J83" s="432">
        <f t="shared" si="204"/>
        <v>53379</v>
      </c>
      <c r="K83" s="432">
        <f t="shared" si="204"/>
        <v>60211</v>
      </c>
      <c r="L83" s="432">
        <f t="shared" si="204"/>
        <v>67095</v>
      </c>
      <c r="M83" s="432">
        <f t="shared" si="204"/>
        <v>74721</v>
      </c>
      <c r="N83" s="432">
        <f t="shared" si="204"/>
        <v>81249</v>
      </c>
      <c r="O83" s="432">
        <f t="shared" si="204"/>
        <v>88532</v>
      </c>
      <c r="P83" s="432">
        <f t="shared" si="204"/>
        <v>95678</v>
      </c>
      <c r="Q83" s="432">
        <f t="shared" si="204"/>
        <v>102481</v>
      </c>
      <c r="R83" s="432">
        <f t="shared" si="204"/>
        <v>108471</v>
      </c>
      <c r="S83" s="432">
        <f t="shared" si="204"/>
        <v>115438</v>
      </c>
      <c r="T83" s="432">
        <f t="shared" si="204"/>
        <v>122434</v>
      </c>
      <c r="U83" s="432">
        <f t="shared" si="204"/>
        <v>128896</v>
      </c>
      <c r="V83" s="432">
        <f t="shared" si="204"/>
        <v>135687</v>
      </c>
      <c r="W83" s="432">
        <f t="shared" si="204"/>
        <v>141818</v>
      </c>
      <c r="X83" s="432">
        <f t="shared" si="204"/>
        <v>148401</v>
      </c>
      <c r="Y83" s="432">
        <f t="shared" si="204"/>
        <v>154365</v>
      </c>
      <c r="Z83" s="432">
        <f t="shared" si="204"/>
        <v>160804</v>
      </c>
      <c r="AA83" s="432">
        <f t="shared" si="204"/>
        <v>167457</v>
      </c>
      <c r="AB83" s="432">
        <f t="shared" si="204"/>
        <v>173716</v>
      </c>
      <c r="AC83" s="432">
        <f t="shared" si="204"/>
        <v>180211</v>
      </c>
      <c r="AD83" s="432">
        <f t="shared" si="204"/>
        <v>185586</v>
      </c>
      <c r="AE83" s="432">
        <f t="shared" si="204"/>
        <v>192429</v>
      </c>
      <c r="AF83" s="432">
        <f t="shared" si="204"/>
        <v>198837</v>
      </c>
      <c r="AG83" s="432">
        <f t="shared" si="204"/>
        <v>204688</v>
      </c>
      <c r="AH83" s="432">
        <f t="shared" si="204"/>
        <v>210877</v>
      </c>
      <c r="AI83" s="366"/>
      <c r="AJ83" s="306"/>
      <c r="AK83" s="307">
        <v>322171</v>
      </c>
      <c r="AL83" s="307">
        <v>178197</v>
      </c>
    </row>
    <row r="84" spans="1:224" s="144" customFormat="1" ht="33" customHeight="1" x14ac:dyDescent="0.2">
      <c r="A84" s="495"/>
      <c r="B84" s="143" t="s">
        <v>157</v>
      </c>
      <c r="C84" s="301">
        <v>1463</v>
      </c>
      <c r="D84" s="431">
        <f t="shared" ref="D84:K84" si="205">D70-D82</f>
        <v>-192</v>
      </c>
      <c r="E84" s="431">
        <f t="shared" si="205"/>
        <v>-185</v>
      </c>
      <c r="F84" s="431">
        <f t="shared" si="205"/>
        <v>-57</v>
      </c>
      <c r="G84" s="431">
        <f t="shared" si="205"/>
        <v>-144</v>
      </c>
      <c r="H84" s="431">
        <f t="shared" si="205"/>
        <v>-333</v>
      </c>
      <c r="I84" s="431">
        <f t="shared" si="205"/>
        <v>-133</v>
      </c>
      <c r="J84" s="431">
        <f t="shared" si="205"/>
        <v>0</v>
      </c>
      <c r="K84" s="431">
        <f t="shared" si="205"/>
        <v>0</v>
      </c>
      <c r="L84" s="431">
        <f t="shared" ref="L84" si="206">L70-L82</f>
        <v>0</v>
      </c>
      <c r="M84" s="431">
        <f t="shared" ref="M84:R84" si="207">M70-M82</f>
        <v>0</v>
      </c>
      <c r="N84" s="431">
        <f t="shared" si="207"/>
        <v>0</v>
      </c>
      <c r="O84" s="431">
        <f t="shared" si="207"/>
        <v>0</v>
      </c>
      <c r="P84" s="431">
        <f t="shared" si="207"/>
        <v>0</v>
      </c>
      <c r="Q84" s="431">
        <f t="shared" si="207"/>
        <v>0</v>
      </c>
      <c r="R84" s="431">
        <f t="shared" si="207"/>
        <v>0</v>
      </c>
      <c r="S84" s="431">
        <f t="shared" ref="S84:T84" si="208">S70-S82</f>
        <v>0</v>
      </c>
      <c r="T84" s="431">
        <f t="shared" si="208"/>
        <v>0</v>
      </c>
      <c r="U84" s="431">
        <f t="shared" ref="U84:V84" si="209">U70-U82</f>
        <v>0</v>
      </c>
      <c r="V84" s="431">
        <f t="shared" si="209"/>
        <v>0</v>
      </c>
      <c r="W84" s="431">
        <f t="shared" ref="W84:X84" si="210">W70-W82</f>
        <v>0</v>
      </c>
      <c r="X84" s="431">
        <f t="shared" si="210"/>
        <v>0</v>
      </c>
      <c r="Y84" s="431">
        <f t="shared" ref="Y84:Z84" si="211">Y70-Y82</f>
        <v>0</v>
      </c>
      <c r="Z84" s="431">
        <f t="shared" si="211"/>
        <v>0</v>
      </c>
      <c r="AA84" s="431">
        <f t="shared" ref="AA84:AB84" si="212">AA70-AA82</f>
        <v>0</v>
      </c>
      <c r="AB84" s="431">
        <f t="shared" si="212"/>
        <v>0</v>
      </c>
      <c r="AC84" s="431">
        <f t="shared" ref="AC84:AD84" si="213">AC70-AC82</f>
        <v>0</v>
      </c>
      <c r="AD84" s="431">
        <f t="shared" si="213"/>
        <v>0</v>
      </c>
      <c r="AE84" s="431">
        <f t="shared" ref="AE84:AF84" si="214">AE70-AE82</f>
        <v>0</v>
      </c>
      <c r="AF84" s="431">
        <f t="shared" si="214"/>
        <v>0</v>
      </c>
      <c r="AG84" s="431">
        <f t="shared" ref="AG84:AH84" si="215">AG70-AG82</f>
        <v>0</v>
      </c>
      <c r="AH84" s="431">
        <f t="shared" si="215"/>
        <v>0</v>
      </c>
      <c r="AI84" s="301"/>
      <c r="AJ84" s="196">
        <f>AVERAGE(D84:AH84)</f>
        <v>-33.677419354838712</v>
      </c>
      <c r="AK84" s="111">
        <v>-783</v>
      </c>
      <c r="AL84" s="111">
        <v>2109</v>
      </c>
      <c r="AM84" s="111"/>
      <c r="AN84" s="111"/>
      <c r="AO84" s="111"/>
      <c r="AP84" s="111"/>
      <c r="AQ84" s="111"/>
      <c r="AR84" s="111"/>
      <c r="AS84" s="111"/>
      <c r="AT84" s="111"/>
      <c r="AU84" s="111"/>
      <c r="AV84" s="111"/>
      <c r="AW84" s="111"/>
      <c r="AX84" s="111"/>
      <c r="AY84" s="111"/>
      <c r="AZ84" s="111"/>
      <c r="BA84" s="111"/>
      <c r="BB84" s="111"/>
      <c r="BC84" s="111"/>
      <c r="BD84" s="111"/>
      <c r="BE84" s="111"/>
      <c r="BF84" s="111"/>
      <c r="BG84" s="111"/>
      <c r="BH84" s="111"/>
      <c r="BI84" s="111"/>
      <c r="BJ84" s="111"/>
      <c r="BK84" s="111"/>
      <c r="BL84" s="111"/>
      <c r="BM84" s="111"/>
      <c r="BN84" s="111"/>
      <c r="BO84" s="111"/>
      <c r="BP84" s="111"/>
      <c r="BQ84" s="111"/>
      <c r="BR84" s="111"/>
      <c r="BS84" s="111"/>
      <c r="BT84" s="111"/>
      <c r="BU84" s="111"/>
      <c r="BV84" s="111"/>
      <c r="BW84" s="111"/>
      <c r="BX84" s="111"/>
      <c r="BY84" s="111"/>
      <c r="BZ84" s="111"/>
      <c r="CA84" s="111"/>
      <c r="CB84" s="111"/>
      <c r="CC84" s="111"/>
      <c r="CD84" s="111"/>
      <c r="CE84" s="111"/>
      <c r="CF84" s="111"/>
      <c r="CG84" s="111"/>
      <c r="CH84" s="111"/>
      <c r="CI84" s="111"/>
      <c r="CJ84" s="111"/>
      <c r="CK84" s="111"/>
      <c r="CL84" s="111"/>
      <c r="CM84" s="111"/>
      <c r="CN84" s="111"/>
      <c r="CO84" s="111"/>
      <c r="CP84" s="111"/>
      <c r="CQ84" s="111"/>
      <c r="CR84" s="111"/>
      <c r="CS84" s="111"/>
      <c r="CT84" s="111"/>
      <c r="CU84" s="111"/>
      <c r="CV84" s="111"/>
      <c r="CW84" s="111"/>
      <c r="CX84" s="111"/>
      <c r="CY84" s="111"/>
      <c r="CZ84" s="111"/>
      <c r="DA84" s="111"/>
      <c r="DB84" s="111"/>
      <c r="DC84" s="111"/>
      <c r="DD84" s="111"/>
      <c r="DE84" s="111"/>
      <c r="DF84" s="111"/>
      <c r="DG84" s="111"/>
      <c r="DH84" s="111"/>
      <c r="DI84" s="111"/>
      <c r="DJ84" s="111"/>
      <c r="DK84" s="111"/>
      <c r="DL84" s="111"/>
      <c r="DM84" s="111"/>
      <c r="DN84" s="111"/>
      <c r="DO84" s="111"/>
      <c r="DP84" s="111"/>
      <c r="DQ84" s="111"/>
      <c r="DR84" s="111"/>
      <c r="DS84" s="111"/>
      <c r="DT84" s="111"/>
      <c r="DU84" s="111"/>
      <c r="DV84" s="111"/>
      <c r="DW84" s="111"/>
      <c r="DX84" s="111"/>
      <c r="DY84" s="111"/>
      <c r="DZ84" s="111"/>
      <c r="EA84" s="111"/>
      <c r="EB84" s="111"/>
      <c r="EC84" s="111"/>
      <c r="ED84" s="111"/>
      <c r="EE84" s="111"/>
      <c r="EF84" s="111"/>
      <c r="EG84" s="111"/>
      <c r="EH84" s="111"/>
      <c r="EI84" s="111"/>
      <c r="EJ84" s="111"/>
      <c r="EK84" s="111"/>
      <c r="EL84" s="111"/>
      <c r="EM84" s="111"/>
      <c r="EN84" s="111"/>
      <c r="EO84" s="111"/>
      <c r="EP84" s="111"/>
      <c r="EQ84" s="111"/>
      <c r="ER84" s="111"/>
      <c r="ES84" s="111"/>
      <c r="ET84" s="111"/>
      <c r="EU84" s="111"/>
      <c r="EV84" s="111"/>
      <c r="EW84" s="111"/>
      <c r="EX84" s="111"/>
      <c r="EY84" s="111"/>
      <c r="EZ84" s="111"/>
      <c r="FA84" s="111"/>
      <c r="FB84" s="111"/>
      <c r="FC84" s="111"/>
      <c r="FD84" s="111"/>
      <c r="FE84" s="111"/>
      <c r="FF84" s="111"/>
      <c r="FG84" s="111"/>
      <c r="FH84" s="111"/>
      <c r="FI84" s="111"/>
      <c r="FJ84" s="111"/>
      <c r="FK84" s="111"/>
      <c r="FL84" s="111"/>
      <c r="FM84" s="111"/>
      <c r="FN84" s="111"/>
      <c r="FO84" s="111"/>
      <c r="FP84" s="111"/>
      <c r="FQ84" s="111"/>
      <c r="FR84" s="111"/>
      <c r="FS84" s="111"/>
      <c r="FT84" s="111"/>
      <c r="FU84" s="111"/>
      <c r="FV84" s="111"/>
      <c r="FW84" s="111"/>
      <c r="FX84" s="111"/>
      <c r="FY84" s="111"/>
      <c r="FZ84" s="111"/>
      <c r="GA84" s="111"/>
      <c r="GB84" s="111"/>
      <c r="GC84" s="111"/>
      <c r="GD84" s="111"/>
      <c r="GE84" s="111"/>
      <c r="GF84" s="111"/>
      <c r="GG84" s="111"/>
      <c r="GH84" s="111"/>
      <c r="GI84" s="111"/>
      <c r="GJ84" s="111"/>
      <c r="GK84" s="111"/>
      <c r="GL84" s="111"/>
      <c r="GM84" s="111"/>
      <c r="GN84" s="111"/>
      <c r="GO84" s="111"/>
      <c r="GP84" s="111"/>
      <c r="GQ84" s="111"/>
      <c r="GR84" s="111"/>
      <c r="GS84" s="111"/>
      <c r="GT84" s="111"/>
      <c r="GU84" s="111"/>
      <c r="GV84" s="111"/>
      <c r="GW84" s="111"/>
      <c r="GX84" s="111"/>
      <c r="GY84" s="111"/>
      <c r="GZ84" s="111"/>
      <c r="HA84" s="111"/>
      <c r="HB84" s="111"/>
      <c r="HC84" s="111"/>
      <c r="HD84" s="111"/>
      <c r="HE84" s="111"/>
      <c r="HF84" s="111"/>
      <c r="HG84" s="111"/>
      <c r="HH84" s="111"/>
      <c r="HI84" s="111"/>
      <c r="HJ84" s="111"/>
      <c r="HK84" s="111"/>
      <c r="HL84" s="111"/>
      <c r="HM84" s="111"/>
      <c r="HN84" s="111"/>
      <c r="HO84" s="111"/>
      <c r="HP84" s="111"/>
    </row>
    <row r="85" spans="1:224" s="144" customFormat="1" ht="21" customHeight="1" x14ac:dyDescent="0.2">
      <c r="A85" s="495"/>
      <c r="B85" s="145" t="s">
        <v>158</v>
      </c>
      <c r="C85" s="302">
        <v>5257</v>
      </c>
      <c r="D85" s="433">
        <f t="shared" ref="D85:E85" si="216">(D60+D64)-D68</f>
        <v>4324</v>
      </c>
      <c r="E85" s="433">
        <f t="shared" si="216"/>
        <v>3384</v>
      </c>
      <c r="F85" s="433">
        <f t="shared" ref="F85:G85" si="217">(F60+F64)-F68</f>
        <v>4012</v>
      </c>
      <c r="G85" s="433">
        <f t="shared" si="217"/>
        <v>3920</v>
      </c>
      <c r="H85" s="433">
        <f>(H60+H64)-H68</f>
        <v>5131</v>
      </c>
      <c r="I85" s="433">
        <f>(I60+I64)-I68</f>
        <v>5226</v>
      </c>
      <c r="J85" s="433">
        <f t="shared" ref="J85:O85" si="218">(J60+J59)-J68-J66</f>
        <v>4318</v>
      </c>
      <c r="K85" s="433">
        <f t="shared" si="218"/>
        <v>4173</v>
      </c>
      <c r="L85" s="433">
        <f t="shared" si="218"/>
        <v>4534</v>
      </c>
      <c r="M85" s="433">
        <f t="shared" si="218"/>
        <v>4988</v>
      </c>
      <c r="N85" s="433">
        <f t="shared" si="218"/>
        <v>3259</v>
      </c>
      <c r="O85" s="433">
        <f t="shared" si="218"/>
        <v>4003</v>
      </c>
      <c r="P85" s="433">
        <f t="shared" ref="P85:Q85" si="219">(P60+P59)-P68-P66</f>
        <v>4316</v>
      </c>
      <c r="Q85" s="433">
        <f t="shared" si="219"/>
        <v>4092</v>
      </c>
      <c r="R85" s="433">
        <f t="shared" ref="R85:S85" si="220">(R60+R59)-R68-R66</f>
        <v>3683</v>
      </c>
      <c r="S85" s="433">
        <f t="shared" si="220"/>
        <v>4606</v>
      </c>
      <c r="T85" s="433">
        <f t="shared" ref="T85:U85" si="221">(T60+T59)-T68-T66</f>
        <v>4631</v>
      </c>
      <c r="U85" s="433">
        <f t="shared" si="221"/>
        <v>4695</v>
      </c>
      <c r="V85" s="433">
        <f t="shared" ref="V85:W85" si="222">(V60+V59)-V68-V66</f>
        <v>5050</v>
      </c>
      <c r="W85" s="433">
        <f t="shared" si="222"/>
        <v>4900</v>
      </c>
      <c r="X85" s="433">
        <f t="shared" ref="X85:Y85" si="223">(X60+X59)-X68-X66</f>
        <v>5682</v>
      </c>
      <c r="Y85" s="433">
        <f t="shared" si="223"/>
        <v>5069</v>
      </c>
      <c r="Z85" s="433">
        <f t="shared" ref="Z85:AA85" si="224">(Z60+Z59)-Z68-Z66</f>
        <v>5409</v>
      </c>
      <c r="AA85" s="433">
        <f t="shared" si="224"/>
        <v>5758</v>
      </c>
      <c r="AB85" s="433">
        <f t="shared" ref="AB85:AC85" si="225">(AB60+AB59)-AB68-AB66</f>
        <v>5406</v>
      </c>
      <c r="AC85" s="433">
        <f t="shared" si="225"/>
        <v>5705</v>
      </c>
      <c r="AD85" s="433">
        <f>(AD60+AD59)-AD68-AD66</f>
        <v>4673</v>
      </c>
      <c r="AE85" s="433">
        <f t="shared" ref="AE85" si="226">(AE60+AE59)-AE68-AE66</f>
        <v>6151</v>
      </c>
      <c r="AF85" s="433">
        <f t="shared" ref="AF85:AG85" si="227">(AF60+AF59)-AF68-AF66</f>
        <v>5684</v>
      </c>
      <c r="AG85" s="433">
        <f t="shared" si="227"/>
        <v>5123</v>
      </c>
      <c r="AH85" s="433">
        <f t="shared" ref="AH85" si="228">(AH60+AH59)-AH68-AH66</f>
        <v>5492</v>
      </c>
      <c r="AI85" s="302"/>
      <c r="AJ85" s="195">
        <f>AVERAGE(D85:AH85)</f>
        <v>4754.7419354838712</v>
      </c>
      <c r="AK85" s="111">
        <v>1473</v>
      </c>
      <c r="AL85" s="111">
        <v>4486</v>
      </c>
      <c r="AM85" s="111"/>
      <c r="AN85" s="111"/>
      <c r="AO85" s="111"/>
      <c r="AP85" s="111"/>
      <c r="AQ85" s="111"/>
      <c r="AR85" s="111"/>
      <c r="AS85" s="111"/>
      <c r="AT85" s="111"/>
      <c r="AU85" s="111"/>
      <c r="AV85" s="111"/>
      <c r="AW85" s="111"/>
      <c r="AX85" s="111"/>
      <c r="AY85" s="111"/>
      <c r="AZ85" s="111"/>
      <c r="BA85" s="111"/>
      <c r="BB85" s="111"/>
      <c r="BC85" s="111"/>
      <c r="BD85" s="111"/>
      <c r="BE85" s="111"/>
      <c r="BF85" s="111"/>
      <c r="BG85" s="111"/>
      <c r="BH85" s="111"/>
      <c r="BI85" s="111"/>
      <c r="BJ85" s="111"/>
      <c r="BK85" s="111"/>
      <c r="BL85" s="111"/>
      <c r="BM85" s="111"/>
      <c r="BN85" s="111"/>
      <c r="BO85" s="111"/>
      <c r="BP85" s="111"/>
      <c r="BQ85" s="111"/>
      <c r="BR85" s="111"/>
      <c r="BS85" s="111"/>
      <c r="BT85" s="111"/>
      <c r="BU85" s="111"/>
      <c r="BV85" s="111"/>
      <c r="BW85" s="111"/>
      <c r="BX85" s="111"/>
      <c r="BY85" s="111"/>
      <c r="BZ85" s="111"/>
      <c r="CA85" s="111"/>
      <c r="CB85" s="111"/>
      <c r="CC85" s="111"/>
      <c r="CD85" s="111"/>
      <c r="CE85" s="111"/>
      <c r="CF85" s="111"/>
      <c r="CG85" s="111"/>
      <c r="CH85" s="111"/>
      <c r="CI85" s="111"/>
      <c r="CJ85" s="111"/>
      <c r="CK85" s="111"/>
      <c r="CL85" s="111"/>
      <c r="CM85" s="111"/>
      <c r="CN85" s="111"/>
      <c r="CO85" s="111"/>
      <c r="CP85" s="111"/>
      <c r="CQ85" s="111"/>
      <c r="CR85" s="111"/>
      <c r="CS85" s="111"/>
      <c r="CT85" s="111"/>
      <c r="CU85" s="111"/>
      <c r="CV85" s="111"/>
      <c r="CW85" s="111"/>
      <c r="CX85" s="111"/>
      <c r="CY85" s="111"/>
      <c r="CZ85" s="111"/>
      <c r="DA85" s="111"/>
      <c r="DB85" s="111"/>
      <c r="DC85" s="111"/>
      <c r="DD85" s="111"/>
      <c r="DE85" s="111"/>
      <c r="DF85" s="111"/>
      <c r="DG85" s="111"/>
      <c r="DH85" s="111"/>
      <c r="DI85" s="111"/>
      <c r="DJ85" s="111"/>
      <c r="DK85" s="111"/>
      <c r="DL85" s="111"/>
      <c r="DM85" s="111"/>
      <c r="DN85" s="111"/>
      <c r="DO85" s="111"/>
      <c r="DP85" s="111"/>
      <c r="DQ85" s="111"/>
      <c r="DR85" s="111"/>
      <c r="DS85" s="111"/>
      <c r="DT85" s="111"/>
      <c r="DU85" s="111"/>
      <c r="DV85" s="111"/>
      <c r="DW85" s="111"/>
      <c r="DX85" s="111"/>
      <c r="DY85" s="111"/>
      <c r="DZ85" s="111"/>
      <c r="EA85" s="111"/>
      <c r="EB85" s="111"/>
      <c r="EC85" s="111"/>
      <c r="ED85" s="111"/>
      <c r="EE85" s="111"/>
      <c r="EF85" s="111"/>
      <c r="EG85" s="111"/>
      <c r="EH85" s="111"/>
      <c r="EI85" s="111"/>
      <c r="EJ85" s="111"/>
      <c r="EK85" s="111"/>
      <c r="EL85" s="111"/>
      <c r="EM85" s="111"/>
      <c r="EN85" s="111"/>
      <c r="EO85" s="111"/>
      <c r="EP85" s="111"/>
      <c r="EQ85" s="111"/>
      <c r="ER85" s="111"/>
      <c r="ES85" s="111"/>
      <c r="ET85" s="111"/>
      <c r="EU85" s="111"/>
      <c r="EV85" s="111"/>
      <c r="EW85" s="111"/>
      <c r="EX85" s="111"/>
      <c r="EY85" s="111"/>
      <c r="EZ85" s="111"/>
      <c r="FA85" s="111"/>
      <c r="FB85" s="111"/>
      <c r="FC85" s="111"/>
      <c r="FD85" s="111"/>
      <c r="FE85" s="111"/>
      <c r="FF85" s="111"/>
      <c r="FG85" s="111"/>
      <c r="FH85" s="111"/>
      <c r="FI85" s="111"/>
      <c r="FJ85" s="111"/>
      <c r="FK85" s="111"/>
      <c r="FL85" s="111"/>
      <c r="FM85" s="111"/>
      <c r="FN85" s="111"/>
      <c r="FO85" s="111"/>
      <c r="FP85" s="111"/>
      <c r="FQ85" s="111"/>
      <c r="FR85" s="111"/>
      <c r="FS85" s="111"/>
      <c r="FT85" s="111"/>
      <c r="FU85" s="111"/>
      <c r="FV85" s="111"/>
      <c r="FW85" s="111"/>
      <c r="FX85" s="111"/>
      <c r="FY85" s="111"/>
      <c r="FZ85" s="111"/>
      <c r="GA85" s="111"/>
      <c r="GB85" s="111"/>
      <c r="GC85" s="111"/>
      <c r="GD85" s="111"/>
      <c r="GE85" s="111"/>
      <c r="GF85" s="111"/>
      <c r="GG85" s="111"/>
      <c r="GH85" s="111"/>
      <c r="GI85" s="111"/>
      <c r="GJ85" s="111"/>
      <c r="GK85" s="111"/>
      <c r="GL85" s="111"/>
      <c r="GM85" s="111"/>
      <c r="GN85" s="111"/>
      <c r="GO85" s="111"/>
      <c r="GP85" s="111"/>
      <c r="GQ85" s="111"/>
      <c r="GR85" s="111"/>
      <c r="GS85" s="111"/>
      <c r="GT85" s="111"/>
      <c r="GU85" s="111"/>
      <c r="GV85" s="111"/>
      <c r="GW85" s="111"/>
      <c r="GX85" s="111"/>
      <c r="GY85" s="111"/>
      <c r="GZ85" s="111"/>
      <c r="HA85" s="111"/>
      <c r="HB85" s="111"/>
      <c r="HC85" s="111"/>
      <c r="HD85" s="111"/>
      <c r="HE85" s="111"/>
      <c r="HF85" s="111"/>
      <c r="HG85" s="111"/>
      <c r="HH85" s="111"/>
      <c r="HI85" s="111"/>
      <c r="HJ85" s="111"/>
      <c r="HK85" s="111"/>
      <c r="HL85" s="111"/>
      <c r="HM85" s="111"/>
      <c r="HN85" s="111"/>
      <c r="HO85" s="111"/>
      <c r="HP85" s="111"/>
    </row>
    <row r="86" spans="1:224" s="209" customFormat="1" ht="21" customHeight="1" x14ac:dyDescent="0.2">
      <c r="A86" s="495"/>
      <c r="B86" s="200" t="s">
        <v>159</v>
      </c>
      <c r="C86" s="300" t="s">
        <v>160</v>
      </c>
      <c r="D86" s="430" t="s">
        <v>160</v>
      </c>
      <c r="E86" s="430" t="s">
        <v>160</v>
      </c>
      <c r="F86" s="430" t="s">
        <v>160</v>
      </c>
      <c r="G86" s="430" t="s">
        <v>160</v>
      </c>
      <c r="H86" s="430" t="s">
        <v>160</v>
      </c>
      <c r="I86" s="430" t="s">
        <v>160</v>
      </c>
      <c r="J86" s="430" t="s">
        <v>160</v>
      </c>
      <c r="K86" s="430" t="s">
        <v>160</v>
      </c>
      <c r="L86" s="430" t="s">
        <v>160</v>
      </c>
      <c r="M86" s="430" t="s">
        <v>160</v>
      </c>
      <c r="N86" s="430" t="s">
        <v>161</v>
      </c>
      <c r="O86" s="430" t="s">
        <v>161</v>
      </c>
      <c r="P86" s="430" t="s">
        <v>161</v>
      </c>
      <c r="Q86" s="430" t="s">
        <v>161</v>
      </c>
      <c r="R86" s="430" t="s">
        <v>161</v>
      </c>
      <c r="S86" s="430" t="s">
        <v>161</v>
      </c>
      <c r="T86" s="430" t="s">
        <v>161</v>
      </c>
      <c r="U86" s="430" t="s">
        <v>161</v>
      </c>
      <c r="V86" s="430" t="s">
        <v>161</v>
      </c>
      <c r="W86" s="430" t="s">
        <v>161</v>
      </c>
      <c r="X86" s="430" t="s">
        <v>161</v>
      </c>
      <c r="Y86" s="430" t="s">
        <v>161</v>
      </c>
      <c r="Z86" s="430" t="s">
        <v>161</v>
      </c>
      <c r="AA86" s="430" t="s">
        <v>161</v>
      </c>
      <c r="AB86" s="430" t="s">
        <v>161</v>
      </c>
      <c r="AC86" s="430" t="s">
        <v>161</v>
      </c>
      <c r="AD86" s="430" t="s">
        <v>161</v>
      </c>
      <c r="AE86" s="430" t="s">
        <v>161</v>
      </c>
      <c r="AF86" s="430" t="s">
        <v>161</v>
      </c>
      <c r="AG86" s="430" t="s">
        <v>161</v>
      </c>
      <c r="AH86" s="430" t="s">
        <v>161</v>
      </c>
      <c r="AI86" s="300"/>
      <c r="AJ86" s="201" t="s">
        <v>161</v>
      </c>
      <c r="AK86" s="208" t="s">
        <v>160</v>
      </c>
      <c r="AL86" s="208" t="s">
        <v>160</v>
      </c>
      <c r="AM86" s="208"/>
      <c r="AN86" s="208"/>
      <c r="AO86" s="208"/>
      <c r="AP86" s="208"/>
      <c r="AQ86" s="208"/>
      <c r="AR86" s="208"/>
      <c r="AS86" s="208"/>
      <c r="AT86" s="208"/>
      <c r="AU86" s="208"/>
      <c r="AV86" s="208"/>
      <c r="AW86" s="208"/>
      <c r="AX86" s="208"/>
      <c r="AY86" s="208"/>
      <c r="AZ86" s="208"/>
      <c r="BA86" s="208"/>
      <c r="BB86" s="208"/>
      <c r="BC86" s="208"/>
      <c r="BD86" s="208"/>
      <c r="BE86" s="208"/>
      <c r="BF86" s="208"/>
      <c r="BG86" s="208"/>
      <c r="BH86" s="208"/>
      <c r="BI86" s="208"/>
      <c r="BJ86" s="208"/>
      <c r="BK86" s="208"/>
      <c r="BL86" s="208"/>
      <c r="BM86" s="208"/>
      <c r="BN86" s="208"/>
      <c r="BO86" s="208"/>
      <c r="BP86" s="208"/>
      <c r="BQ86" s="208"/>
      <c r="BR86" s="208"/>
      <c r="BS86" s="208"/>
      <c r="BT86" s="208"/>
      <c r="BU86" s="208"/>
      <c r="BV86" s="208"/>
      <c r="BW86" s="208"/>
      <c r="BX86" s="208"/>
      <c r="BY86" s="208"/>
      <c r="BZ86" s="208"/>
      <c r="CA86" s="208"/>
      <c r="CB86" s="208"/>
      <c r="CC86" s="208"/>
      <c r="CD86" s="208"/>
      <c r="CE86" s="208"/>
      <c r="CF86" s="208"/>
      <c r="CG86" s="208"/>
      <c r="CH86" s="208"/>
      <c r="CI86" s="208"/>
      <c r="CJ86" s="208"/>
      <c r="CK86" s="208"/>
      <c r="CL86" s="208"/>
      <c r="CM86" s="208"/>
      <c r="CN86" s="208"/>
      <c r="CO86" s="208"/>
      <c r="CP86" s="208"/>
      <c r="CQ86" s="208"/>
      <c r="CR86" s="208"/>
      <c r="CS86" s="208"/>
      <c r="CT86" s="208"/>
      <c r="CU86" s="208"/>
      <c r="CV86" s="208"/>
      <c r="CW86" s="208"/>
      <c r="CX86" s="208"/>
      <c r="CY86" s="208"/>
      <c r="CZ86" s="208"/>
      <c r="DA86" s="208"/>
      <c r="DB86" s="208"/>
      <c r="DC86" s="208"/>
      <c r="DD86" s="208"/>
      <c r="DE86" s="208"/>
      <c r="DF86" s="208"/>
      <c r="DG86" s="208"/>
      <c r="DH86" s="208"/>
      <c r="DI86" s="208"/>
      <c r="DJ86" s="208"/>
      <c r="DK86" s="208"/>
      <c r="DL86" s="208"/>
      <c r="DM86" s="208"/>
      <c r="DN86" s="208"/>
      <c r="DO86" s="208"/>
      <c r="DP86" s="208"/>
      <c r="DQ86" s="208"/>
      <c r="DR86" s="208"/>
      <c r="DS86" s="208"/>
      <c r="DT86" s="208"/>
      <c r="DU86" s="208"/>
      <c r="DV86" s="208"/>
      <c r="DW86" s="208"/>
      <c r="DX86" s="208"/>
      <c r="DY86" s="208"/>
      <c r="DZ86" s="208"/>
      <c r="EA86" s="208"/>
      <c r="EB86" s="208"/>
      <c r="EC86" s="208"/>
      <c r="ED86" s="208"/>
      <c r="EE86" s="208"/>
      <c r="EF86" s="208"/>
      <c r="EG86" s="208"/>
      <c r="EH86" s="208"/>
      <c r="EI86" s="208"/>
      <c r="EJ86" s="208"/>
      <c r="EK86" s="208"/>
      <c r="EL86" s="208"/>
      <c r="EM86" s="208"/>
      <c r="EN86" s="208"/>
      <c r="EO86" s="208"/>
      <c r="EP86" s="208"/>
      <c r="EQ86" s="208"/>
      <c r="ER86" s="208"/>
      <c r="ES86" s="208"/>
      <c r="ET86" s="208"/>
      <c r="EU86" s="208"/>
      <c r="EV86" s="208"/>
      <c r="EW86" s="208"/>
      <c r="EX86" s="208"/>
      <c r="EY86" s="208"/>
      <c r="EZ86" s="208"/>
      <c r="FA86" s="208"/>
      <c r="FB86" s="208"/>
      <c r="FC86" s="208"/>
      <c r="FD86" s="208"/>
      <c r="FE86" s="208"/>
      <c r="FF86" s="208"/>
      <c r="FG86" s="208"/>
      <c r="FH86" s="208"/>
      <c r="FI86" s="208"/>
      <c r="FJ86" s="208"/>
      <c r="FK86" s="208"/>
      <c r="FL86" s="208"/>
      <c r="FM86" s="208"/>
      <c r="FN86" s="208"/>
      <c r="FO86" s="208"/>
      <c r="FP86" s="208"/>
      <c r="FQ86" s="208"/>
      <c r="FR86" s="208"/>
      <c r="FS86" s="208"/>
      <c r="FT86" s="208"/>
      <c r="FU86" s="208"/>
      <c r="FV86" s="208"/>
      <c r="FW86" s="208"/>
      <c r="FX86" s="208"/>
      <c r="FY86" s="208"/>
      <c r="FZ86" s="208"/>
      <c r="GA86" s="208"/>
      <c r="GB86" s="208"/>
      <c r="GC86" s="208"/>
      <c r="GD86" s="208"/>
      <c r="GE86" s="208"/>
      <c r="GF86" s="208"/>
      <c r="GG86" s="208"/>
      <c r="GH86" s="208"/>
      <c r="GI86" s="208"/>
      <c r="GJ86" s="208"/>
      <c r="GK86" s="208"/>
      <c r="GL86" s="208"/>
      <c r="GM86" s="208"/>
      <c r="GN86" s="208"/>
      <c r="GO86" s="208"/>
      <c r="GP86" s="208"/>
      <c r="GQ86" s="208"/>
      <c r="GR86" s="208"/>
      <c r="GS86" s="208"/>
      <c r="GT86" s="208"/>
      <c r="GU86" s="208"/>
      <c r="GV86" s="208"/>
      <c r="GW86" s="208"/>
      <c r="GX86" s="208"/>
      <c r="GY86" s="208"/>
      <c r="GZ86" s="208"/>
      <c r="HA86" s="208"/>
      <c r="HB86" s="208"/>
      <c r="HC86" s="208"/>
      <c r="HD86" s="208"/>
      <c r="HE86" s="208"/>
      <c r="HF86" s="208"/>
      <c r="HG86" s="208"/>
      <c r="HH86" s="208"/>
      <c r="HI86" s="208"/>
      <c r="HJ86" s="208"/>
      <c r="HK86" s="208"/>
      <c r="HL86" s="208"/>
      <c r="HM86" s="208"/>
      <c r="HN86" s="208"/>
      <c r="HO86" s="208"/>
      <c r="HP86" s="208"/>
    </row>
    <row r="87" spans="1:224" s="213" customFormat="1" ht="36.75" hidden="1" thickBot="1" x14ac:dyDescent="0.25">
      <c r="A87" s="496"/>
      <c r="B87" s="210" t="s">
        <v>162</v>
      </c>
      <c r="C87" s="303" t="e">
        <f>C70/([1]STATION!B6*1000)</f>
        <v>#VALUE!</v>
      </c>
      <c r="D87" s="303">
        <f>D70/([1]STATION!C6*1000)</f>
        <v>2.3515736766809732</v>
      </c>
      <c r="E87" s="367">
        <f>E70/([1]STATION!D6*1000)</f>
        <v>2.612403100775194</v>
      </c>
      <c r="F87" s="303">
        <f>F70/([1]STATION!E6*1000)</f>
        <v>2.9064093226511289</v>
      </c>
      <c r="G87" s="303">
        <f>G70/([1]STATION!F6*1000)</f>
        <v>2.8229398663697105</v>
      </c>
      <c r="H87" s="303">
        <f>H70/([1]STATION!G6*1000)</f>
        <v>2.9335347432024172</v>
      </c>
      <c r="I87" s="303">
        <f>I70/([1]STATION!H6*1000)</f>
        <v>2.8707334785766156</v>
      </c>
      <c r="J87" s="303">
        <f>J70/([1]STATION!I6*1000)</f>
        <v>2.723037417461482</v>
      </c>
      <c r="K87" s="303">
        <f>K70/([1]STATION!J6*1000)</f>
        <v>2.5025641025641026</v>
      </c>
      <c r="L87" s="303">
        <f>L70/([1]STATION!K6*1000)</f>
        <v>2.511492156147392</v>
      </c>
      <c r="M87" s="303">
        <f>M70/([1]STATION!L6*1000)</f>
        <v>2.785244704163623</v>
      </c>
      <c r="N87" s="303">
        <f>N70/([1]STATION!M6*1000)</f>
        <v>2.3955963302752297</v>
      </c>
      <c r="O87" s="303">
        <f>O70/([1]STATION!N6*1000)</f>
        <v>2.6658125915080526</v>
      </c>
      <c r="P87" s="303">
        <f>P70/([1]STATION!O6*1000)</f>
        <v>2.8424821002386631</v>
      </c>
      <c r="Q87" s="303">
        <f>Q70/([1]STATION!P6*1000)</f>
        <v>2.7722086389568057</v>
      </c>
      <c r="R87" s="303">
        <f>R70/([1]STATION!Q6*1000)</f>
        <v>2.3638516179952642</v>
      </c>
      <c r="S87" s="303">
        <f>S70/([1]STATION!R6*1000)</f>
        <v>2.7603011093502379</v>
      </c>
      <c r="T87" s="303">
        <f>T70/([1]STATION!S6*1000)</f>
        <v>2.7116279069767444</v>
      </c>
      <c r="U87" s="303">
        <f>U70/([1]STATION!T6*1000)</f>
        <v>2.4682964094728801</v>
      </c>
      <c r="V87" s="303">
        <f>V70/([1]STATION!U6*1000)</f>
        <v>2.5979342004590666</v>
      </c>
      <c r="W87" s="303">
        <f>W70/([1]STATION!V6*1000)</f>
        <v>2.4406847133757963</v>
      </c>
      <c r="X87" s="303">
        <f>X70/([1]STATION!W6*1000)</f>
        <v>2.7752951096121414</v>
      </c>
      <c r="Y87" s="303">
        <f>Y70/([1]STATION!X6*1000)</f>
        <v>2.581818181818182</v>
      </c>
      <c r="Z87" s="303">
        <f>Z70/([1]STATION!Y6*1000)</f>
        <v>2.6487042369395311</v>
      </c>
      <c r="AA87" s="303">
        <f>AA70/([1]STATION!Z6*1000)</f>
        <v>2.558846153846154</v>
      </c>
      <c r="AB87" s="303">
        <f>AB70/([1]STATION!AA6*1000)</f>
        <v>2.3663516068052934</v>
      </c>
      <c r="AC87" s="303">
        <f>AC70/([1]STATION!AB6*1000)</f>
        <v>2.4028856825749165</v>
      </c>
      <c r="AD87" s="303">
        <f>AD70/([1]STATION!AC6*1000)</f>
        <v>2.026772247360483</v>
      </c>
      <c r="AE87" s="303">
        <f>AE70/([1]STATION!AD6*1000)</f>
        <v>2.6108355589469672</v>
      </c>
      <c r="AF87" s="303">
        <f>AF70/([1]STATION!AE6*1000)</f>
        <v>2.4392843547773126</v>
      </c>
      <c r="AG87" s="303">
        <f>AG70/([1]STATION!AF6*1000)</f>
        <v>2.2079245283018869</v>
      </c>
      <c r="AH87" s="303">
        <f>AH70/([1]STATION!AG6*1000)</f>
        <v>2.3434305187429003</v>
      </c>
      <c r="AI87" s="303" t="e">
        <f>AI70/([1]STATION!AH6*1000)</f>
        <v>#REF!</v>
      </c>
      <c r="AJ87" s="211" t="e">
        <f>AJ70/(STATION!AG6*1000)</f>
        <v>#DIV/0!</v>
      </c>
      <c r="AK87" s="212">
        <v>3.8618847768027478</v>
      </c>
      <c r="AL87" s="212"/>
      <c r="AM87" s="212"/>
      <c r="AN87" s="212"/>
      <c r="AO87" s="212"/>
      <c r="AP87" s="212"/>
      <c r="AQ87" s="212"/>
      <c r="AR87" s="212"/>
      <c r="AS87" s="212"/>
      <c r="AT87" s="212"/>
      <c r="AU87" s="212"/>
      <c r="AV87" s="212"/>
      <c r="AW87" s="212"/>
      <c r="AX87" s="212"/>
      <c r="AY87" s="212"/>
      <c r="AZ87" s="212"/>
      <c r="BA87" s="212"/>
      <c r="BB87" s="212"/>
      <c r="BC87" s="212"/>
      <c r="BD87" s="212"/>
      <c r="BE87" s="212"/>
      <c r="BF87" s="212"/>
      <c r="BG87" s="212"/>
      <c r="BH87" s="212"/>
      <c r="BI87" s="212"/>
      <c r="BJ87" s="212"/>
      <c r="BK87" s="212"/>
      <c r="BL87" s="212"/>
      <c r="BM87" s="212"/>
      <c r="BN87" s="212"/>
      <c r="BO87" s="212"/>
      <c r="BP87" s="212"/>
      <c r="BQ87" s="212"/>
      <c r="BR87" s="212"/>
      <c r="BS87" s="212"/>
      <c r="BT87" s="212"/>
      <c r="BU87" s="212"/>
      <c r="BV87" s="212"/>
      <c r="BW87" s="212"/>
      <c r="BX87" s="212"/>
      <c r="BY87" s="212"/>
      <c r="BZ87" s="212"/>
      <c r="CA87" s="212"/>
      <c r="CB87" s="212"/>
      <c r="CC87" s="212"/>
      <c r="CD87" s="212"/>
      <c r="CE87" s="212"/>
      <c r="CF87" s="212"/>
      <c r="CG87" s="212"/>
      <c r="CH87" s="212"/>
      <c r="CI87" s="212"/>
      <c r="CJ87" s="212"/>
      <c r="CK87" s="212"/>
      <c r="CL87" s="212"/>
      <c r="CM87" s="212"/>
      <c r="CN87" s="212"/>
      <c r="CO87" s="212"/>
      <c r="CP87" s="212"/>
      <c r="CQ87" s="212"/>
      <c r="CR87" s="212"/>
      <c r="CS87" s="212"/>
      <c r="CT87" s="212"/>
      <c r="CU87" s="212"/>
      <c r="CV87" s="212"/>
      <c r="CW87" s="212"/>
      <c r="CX87" s="212"/>
      <c r="CY87" s="212"/>
      <c r="CZ87" s="212"/>
      <c r="DA87" s="212"/>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12"/>
      <c r="EC87" s="212"/>
      <c r="ED87" s="212"/>
      <c r="EE87" s="212"/>
      <c r="EF87" s="212"/>
      <c r="EG87" s="212"/>
      <c r="EH87" s="212"/>
      <c r="EI87" s="212"/>
      <c r="EJ87" s="212"/>
      <c r="EK87" s="212"/>
      <c r="EL87" s="212"/>
      <c r="EM87" s="212"/>
      <c r="EN87" s="212"/>
      <c r="EO87" s="212"/>
      <c r="EP87" s="212"/>
      <c r="EQ87" s="212"/>
      <c r="ER87" s="212"/>
      <c r="ES87" s="212"/>
      <c r="ET87" s="212"/>
      <c r="EU87" s="212"/>
      <c r="EV87" s="212"/>
      <c r="EW87" s="212"/>
      <c r="EX87" s="212"/>
      <c r="EY87" s="212"/>
      <c r="EZ87" s="212"/>
      <c r="FA87" s="212"/>
      <c r="FB87" s="212"/>
      <c r="FC87" s="212"/>
      <c r="FD87" s="212"/>
      <c r="FE87" s="212"/>
      <c r="FF87" s="212"/>
      <c r="FG87" s="212"/>
      <c r="FH87" s="212"/>
      <c r="FI87" s="212"/>
      <c r="FJ87" s="212"/>
      <c r="FK87" s="212"/>
      <c r="FL87" s="212"/>
      <c r="FM87" s="212"/>
      <c r="FN87" s="212"/>
      <c r="FO87" s="212"/>
      <c r="FP87" s="212"/>
      <c r="FQ87" s="212"/>
      <c r="FR87" s="212"/>
      <c r="FS87" s="212"/>
      <c r="FT87" s="212"/>
      <c r="FU87" s="212"/>
      <c r="FV87" s="212"/>
      <c r="FW87" s="212"/>
      <c r="FX87" s="212"/>
      <c r="FY87" s="212"/>
      <c r="FZ87" s="212"/>
      <c r="GA87" s="212"/>
      <c r="GB87" s="212"/>
      <c r="GC87" s="212"/>
      <c r="GD87" s="212"/>
      <c r="GE87" s="212"/>
      <c r="GF87" s="212"/>
      <c r="GG87" s="212"/>
      <c r="GH87" s="212"/>
      <c r="GI87" s="212"/>
      <c r="GJ87" s="212"/>
      <c r="GK87" s="212"/>
      <c r="GL87" s="212"/>
      <c r="GM87" s="212"/>
      <c r="GN87" s="212"/>
      <c r="GO87" s="212"/>
      <c r="GP87" s="212"/>
      <c r="GQ87" s="212"/>
      <c r="GR87" s="212"/>
      <c r="GS87" s="212"/>
      <c r="GT87" s="212"/>
      <c r="GU87" s="212"/>
      <c r="GV87" s="212"/>
      <c r="GW87" s="212"/>
      <c r="GX87" s="212"/>
      <c r="GY87" s="212"/>
      <c r="GZ87" s="212"/>
      <c r="HA87" s="212"/>
      <c r="HB87" s="212"/>
      <c r="HC87" s="212"/>
      <c r="HD87" s="212"/>
      <c r="HE87" s="212"/>
      <c r="HF87" s="212"/>
      <c r="HG87" s="212"/>
      <c r="HH87" s="212"/>
      <c r="HI87" s="212"/>
      <c r="HJ87" s="212"/>
      <c r="HK87" s="212"/>
      <c r="HL87" s="212"/>
      <c r="HM87" s="212"/>
      <c r="HN87" s="212"/>
      <c r="HO87" s="212"/>
      <c r="HP87" s="212"/>
    </row>
    <row r="92" spans="1:224" x14ac:dyDescent="0.2">
      <c r="D92" s="224"/>
      <c r="E92" s="368"/>
      <c r="F92" s="224"/>
      <c r="G92" s="224"/>
      <c r="H92" s="224"/>
      <c r="I92" s="224"/>
      <c r="J92" s="224"/>
      <c r="K92" s="224"/>
      <c r="L92" s="224"/>
      <c r="M92" s="224"/>
    </row>
  </sheetData>
  <mergeCells count="8">
    <mergeCell ref="A70:A87"/>
    <mergeCell ref="A54:A68"/>
    <mergeCell ref="A1:AG1"/>
    <mergeCell ref="AJ1:AJ2"/>
    <mergeCell ref="A2:B2"/>
    <mergeCell ref="A3:A28"/>
    <mergeCell ref="A29:A39"/>
    <mergeCell ref="A40:A53"/>
  </mergeCells>
  <phoneticPr fontId="24"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BK291"/>
  <sheetViews>
    <sheetView zoomScale="90" zoomScaleNormal="90" workbookViewId="0">
      <pane xSplit="2" ySplit="2" topLeftCell="U3" activePane="bottomRight" state="frozen"/>
      <selection pane="topRight" activeCell="C1" sqref="C1"/>
      <selection pane="bottomLeft" activeCell="A4" sqref="A4"/>
      <selection pane="bottomRight" activeCell="AF70" sqref="AF70"/>
    </sheetView>
  </sheetViews>
  <sheetFormatPr defaultColWidth="9.140625" defaultRowHeight="12.75" x14ac:dyDescent="0.2"/>
  <cols>
    <col min="1" max="1" width="8.28515625" style="35" customWidth="1"/>
    <col min="2" max="2" width="27.85546875" style="35" customWidth="1"/>
    <col min="3" max="3" width="12.5703125" style="35" customWidth="1"/>
    <col min="4" max="4" width="11.42578125" style="35" customWidth="1"/>
    <col min="5" max="5" width="11" style="35" bestFit="1" customWidth="1"/>
    <col min="6" max="6" width="12.5703125" style="35" customWidth="1"/>
    <col min="7" max="8" width="10.7109375" style="35" customWidth="1"/>
    <col min="9" max="9" width="10.7109375" style="61" customWidth="1"/>
    <col min="10" max="18" width="10.7109375" style="35" customWidth="1"/>
    <col min="19" max="19" width="11.85546875" style="35" customWidth="1"/>
    <col min="20" max="20" width="10.7109375" style="35" customWidth="1"/>
    <col min="21" max="21" width="10.7109375" style="59" customWidth="1"/>
    <col min="22" max="22" width="10.7109375" style="31" customWidth="1"/>
    <col min="23" max="25" width="10.7109375" style="35" customWidth="1"/>
    <col min="26" max="26" width="9.7109375" style="35" customWidth="1"/>
    <col min="27" max="28" width="10.7109375" style="35" customWidth="1"/>
    <col min="29" max="29" width="12.28515625" style="35" customWidth="1"/>
    <col min="30" max="32" width="10.7109375" style="35" customWidth="1"/>
    <col min="33" max="33" width="10.7109375" style="31" customWidth="1"/>
    <col min="34" max="34" width="11.28515625" style="391" customWidth="1"/>
    <col min="35" max="16384" width="9.140625" style="391"/>
  </cols>
  <sheetData>
    <row r="1" spans="1:63" ht="36" customHeight="1" x14ac:dyDescent="0.2">
      <c r="A1" s="511">
        <v>45444</v>
      </c>
      <c r="B1" s="512"/>
      <c r="C1" s="106" t="s">
        <v>518</v>
      </c>
      <c r="D1" s="107"/>
      <c r="E1" s="107"/>
      <c r="F1" s="107"/>
      <c r="G1" s="107"/>
      <c r="H1" s="107"/>
      <c r="I1" s="107"/>
      <c r="J1" s="107"/>
      <c r="K1" s="107"/>
      <c r="L1" s="107"/>
      <c r="M1" s="107"/>
      <c r="N1" s="107"/>
      <c r="O1" s="107"/>
      <c r="P1" s="107"/>
      <c r="Q1" s="107"/>
      <c r="R1" s="107"/>
      <c r="S1" s="107"/>
      <c r="T1" s="107"/>
      <c r="U1" s="107"/>
      <c r="V1" s="107"/>
      <c r="W1" s="107"/>
      <c r="X1" s="107"/>
      <c r="Y1" s="107"/>
      <c r="Z1" s="107"/>
      <c r="AA1" s="107"/>
      <c r="AB1" s="107"/>
      <c r="AC1" s="107"/>
      <c r="AD1" s="107"/>
      <c r="AE1" s="107"/>
      <c r="AF1" s="107"/>
      <c r="AG1" s="280"/>
      <c r="AH1" s="390"/>
    </row>
    <row r="2" spans="1:63" ht="30" customHeight="1" x14ac:dyDescent="0.2">
      <c r="A2" s="515" t="s">
        <v>163</v>
      </c>
      <c r="B2" s="515"/>
      <c r="C2" s="333"/>
      <c r="D2" s="1">
        <v>1</v>
      </c>
      <c r="E2" s="1">
        <v>2</v>
      </c>
      <c r="F2" s="1">
        <v>3</v>
      </c>
      <c r="G2" s="1">
        <v>4</v>
      </c>
      <c r="H2" s="1">
        <v>5</v>
      </c>
      <c r="I2" s="34">
        <v>6</v>
      </c>
      <c r="J2" s="1">
        <v>7</v>
      </c>
      <c r="K2" s="1">
        <v>8</v>
      </c>
      <c r="L2" s="1">
        <v>9</v>
      </c>
      <c r="M2" s="1">
        <v>10</v>
      </c>
      <c r="N2" s="1">
        <v>11</v>
      </c>
      <c r="O2" s="1">
        <v>12</v>
      </c>
      <c r="P2" s="1">
        <v>13</v>
      </c>
      <c r="Q2" s="1">
        <v>14</v>
      </c>
      <c r="R2" s="1">
        <v>15</v>
      </c>
      <c r="S2" s="1">
        <v>16</v>
      </c>
      <c r="T2" s="1">
        <v>17</v>
      </c>
      <c r="U2" s="1">
        <v>18</v>
      </c>
      <c r="V2" s="1">
        <v>19</v>
      </c>
      <c r="W2" s="1">
        <v>20</v>
      </c>
      <c r="X2" s="1">
        <v>21</v>
      </c>
      <c r="Y2" s="1">
        <v>22</v>
      </c>
      <c r="Z2" s="1">
        <v>23</v>
      </c>
      <c r="AA2" s="1">
        <v>24</v>
      </c>
      <c r="AB2" s="1">
        <v>25</v>
      </c>
      <c r="AC2" s="1">
        <v>26</v>
      </c>
      <c r="AD2" s="1">
        <v>27</v>
      </c>
      <c r="AE2" s="1">
        <v>28</v>
      </c>
      <c r="AF2" s="1">
        <v>29</v>
      </c>
      <c r="AG2" s="1">
        <v>30</v>
      </c>
      <c r="AH2" s="392">
        <v>31</v>
      </c>
    </row>
    <row r="3" spans="1:63" ht="8.25" customHeight="1" x14ac:dyDescent="0.2">
      <c r="A3" s="513"/>
      <c r="B3" s="514"/>
      <c r="C3" s="514"/>
      <c r="D3" s="514"/>
      <c r="E3" s="514"/>
      <c r="F3" s="514"/>
      <c r="G3" s="514"/>
      <c r="H3" s="514"/>
      <c r="I3" s="514"/>
      <c r="J3" s="514"/>
      <c r="K3" s="514"/>
      <c r="L3" s="514"/>
      <c r="M3" s="514"/>
      <c r="N3" s="514"/>
      <c r="O3" s="514"/>
      <c r="P3" s="514"/>
      <c r="Q3" s="514"/>
      <c r="R3" s="514"/>
      <c r="S3" s="514"/>
      <c r="T3" s="514"/>
      <c r="U3" s="514"/>
      <c r="V3" s="514"/>
      <c r="W3" s="514"/>
      <c r="X3" s="514"/>
      <c r="Y3" s="514"/>
      <c r="Z3" s="514"/>
      <c r="AA3" s="514"/>
      <c r="AB3" s="514"/>
      <c r="AC3" s="514"/>
      <c r="AD3" s="514"/>
      <c r="AE3" s="514"/>
      <c r="AF3" s="514"/>
      <c r="AG3" s="514"/>
      <c r="AH3" s="522"/>
      <c r="AI3" s="522"/>
      <c r="AJ3" s="522"/>
      <c r="AK3" s="522"/>
      <c r="AL3" s="522"/>
      <c r="AM3" s="522"/>
      <c r="AN3" s="522"/>
      <c r="AO3" s="522"/>
      <c r="AP3" s="522"/>
      <c r="AQ3" s="522"/>
      <c r="AR3" s="522"/>
      <c r="AS3" s="522"/>
      <c r="AT3" s="522"/>
      <c r="AU3" s="522"/>
      <c r="AV3" s="522"/>
      <c r="AW3" s="522"/>
      <c r="AX3" s="522"/>
      <c r="AY3" s="522"/>
      <c r="AZ3" s="522"/>
      <c r="BA3" s="522"/>
      <c r="BB3" s="522"/>
      <c r="BC3" s="522"/>
      <c r="BD3" s="522"/>
      <c r="BE3" s="522"/>
      <c r="BF3" s="522"/>
      <c r="BG3" s="522"/>
      <c r="BH3" s="522"/>
      <c r="BI3" s="522"/>
      <c r="BJ3" s="522"/>
      <c r="BK3" s="522"/>
    </row>
    <row r="4" spans="1:63" ht="30" customHeight="1" x14ac:dyDescent="0.2">
      <c r="A4" s="516" t="s">
        <v>164</v>
      </c>
      <c r="B4" s="4" t="s">
        <v>165</v>
      </c>
      <c r="C4" s="36" t="s">
        <v>166</v>
      </c>
      <c r="D4" s="3">
        <f>Totalizer!D6-Totalizer!C6</f>
        <v>662</v>
      </c>
      <c r="E4" s="3">
        <f>Totalizer!E6-Totalizer!D6</f>
        <v>670</v>
      </c>
      <c r="F4" s="3">
        <f>Totalizer!F6-Totalizer!E6</f>
        <v>656</v>
      </c>
      <c r="G4" s="3">
        <f>Totalizer!G6-Totalizer!F6</f>
        <v>676</v>
      </c>
      <c r="H4" s="3">
        <f>Totalizer!H6-Totalizer!G6</f>
        <v>706</v>
      </c>
      <c r="I4" s="3">
        <f>Totalizer!I6-Totalizer!H6</f>
        <v>693</v>
      </c>
      <c r="J4" s="3">
        <f>Totalizer!J6-Totalizer!I6</f>
        <v>692</v>
      </c>
      <c r="K4" s="3">
        <f>Totalizer!K6-Totalizer!J6</f>
        <v>731</v>
      </c>
      <c r="L4" s="3">
        <f>Totalizer!L6-Totalizer!K6</f>
        <v>701</v>
      </c>
      <c r="M4" s="3">
        <f>Totalizer!M6-Totalizer!L6</f>
        <v>720</v>
      </c>
      <c r="N4" s="3">
        <f>Totalizer!N6-Totalizer!M6</f>
        <v>704</v>
      </c>
      <c r="O4" s="3">
        <f>Totalizer!O6-Totalizer!N6</f>
        <v>677</v>
      </c>
      <c r="P4" s="3">
        <f>Totalizer!P6-Totalizer!O6</f>
        <v>694</v>
      </c>
      <c r="Q4" s="3">
        <f>Totalizer!Q6-Totalizer!P6</f>
        <v>689</v>
      </c>
      <c r="R4" s="3">
        <f>Totalizer!R6-Totalizer!Q6</f>
        <v>597</v>
      </c>
      <c r="S4" s="3">
        <f>Totalizer!S6-Totalizer!R6</f>
        <v>587</v>
      </c>
      <c r="T4" s="3">
        <f>Totalizer!T6-Totalizer!S6</f>
        <v>627</v>
      </c>
      <c r="U4" s="3">
        <f>Totalizer!U6-Totalizer!T6</f>
        <v>624</v>
      </c>
      <c r="V4" s="3">
        <f>Totalizer!V6-Totalizer!U6</f>
        <v>659</v>
      </c>
      <c r="W4" s="3">
        <f>Totalizer!W6-Totalizer!V6</f>
        <v>689</v>
      </c>
      <c r="X4" s="3">
        <f>Totalizer!X6-Totalizer!W6</f>
        <v>684</v>
      </c>
      <c r="Y4" s="3">
        <f>Totalizer!Y6-Totalizer!X6</f>
        <v>689</v>
      </c>
      <c r="Z4" s="3">
        <f>Totalizer!Z6-Totalizer!Y6</f>
        <v>695</v>
      </c>
      <c r="AA4" s="3">
        <f>Totalizer!AA6-Totalizer!Z6</f>
        <v>704</v>
      </c>
      <c r="AB4" s="3">
        <f>Totalizer!AB6-Totalizer!AA6</f>
        <v>714</v>
      </c>
      <c r="AC4" s="3">
        <f>Totalizer!AC6-Totalizer!AB6</f>
        <v>713</v>
      </c>
      <c r="AD4" s="3">
        <f>Totalizer!AD6-Totalizer!AC6</f>
        <v>15</v>
      </c>
      <c r="AE4" s="3">
        <f>Totalizer!AE6-Totalizer!AD6</f>
        <v>0</v>
      </c>
      <c r="AF4" s="3">
        <f>Totalizer!AF6-Totalizer!AE6</f>
        <v>0</v>
      </c>
      <c r="AG4" s="3">
        <f>Totalizer!AG6-Totalizer!AF6</f>
        <v>462</v>
      </c>
      <c r="AH4" s="3"/>
    </row>
    <row r="5" spans="1:63" ht="30" customHeight="1" x14ac:dyDescent="0.2">
      <c r="A5" s="516"/>
      <c r="B5" s="2" t="s">
        <v>61</v>
      </c>
      <c r="C5" s="36" t="s">
        <v>44</v>
      </c>
      <c r="D5" s="3">
        <v>29.355064392089844</v>
      </c>
      <c r="E5" s="3">
        <v>28.84532356262207</v>
      </c>
      <c r="F5" s="3">
        <v>29.626461029052734</v>
      </c>
      <c r="G5" s="3">
        <v>31.104881286621094</v>
      </c>
      <c r="H5" s="3">
        <v>30.972927093505859</v>
      </c>
      <c r="I5" s="3">
        <v>30.407712936401367</v>
      </c>
      <c r="J5" s="3">
        <v>31.824287414550781</v>
      </c>
      <c r="K5" s="3">
        <v>31.538354873657227</v>
      </c>
      <c r="L5" s="3">
        <v>31.01063346862793</v>
      </c>
      <c r="M5" s="3">
        <v>31.555978775024414</v>
      </c>
      <c r="N5" s="3">
        <v>30.130260467529297</v>
      </c>
      <c r="O5" s="3">
        <v>30.759799957275391</v>
      </c>
      <c r="P5" s="3">
        <v>31.121189117431641</v>
      </c>
      <c r="Q5" s="3">
        <v>28.797189712524414</v>
      </c>
      <c r="R5" s="3">
        <v>25.318315505981445</v>
      </c>
      <c r="S5" s="3">
        <v>29.218343734741211</v>
      </c>
      <c r="T5" s="3">
        <v>28.31779670715332</v>
      </c>
      <c r="U5" s="3">
        <v>29.331855773925781</v>
      </c>
      <c r="V5" s="3">
        <v>29.901090621948242</v>
      </c>
      <c r="W5" s="3">
        <v>31.261323928833008</v>
      </c>
      <c r="X5" s="3">
        <v>30.535022735595703</v>
      </c>
      <c r="Y5" s="3">
        <v>32.258747100830078</v>
      </c>
      <c r="Z5" s="3">
        <v>30.823867797851563</v>
      </c>
      <c r="AA5" s="3">
        <v>31.829118728637695</v>
      </c>
      <c r="AB5" s="3">
        <v>31.560186386108398</v>
      </c>
      <c r="AC5" s="3">
        <v>30.908342361450195</v>
      </c>
      <c r="AD5" s="3">
        <v>3.0849993228912354E-2</v>
      </c>
      <c r="AE5" s="3">
        <v>3.7449568510055542E-2</v>
      </c>
      <c r="AF5" s="3">
        <v>32.528663635253906</v>
      </c>
      <c r="AG5" s="3">
        <v>32.898975372314453</v>
      </c>
      <c r="AH5" s="393"/>
      <c r="AJ5" s="394"/>
    </row>
    <row r="6" spans="1:63" ht="30" customHeight="1" x14ac:dyDescent="0.2">
      <c r="A6" s="516"/>
      <c r="B6" s="2" t="s">
        <v>62</v>
      </c>
      <c r="C6" s="36" t="s">
        <v>44</v>
      </c>
      <c r="D6" s="3">
        <v>26.479118347167969</v>
      </c>
      <c r="E6" s="3">
        <v>26.619745254516602</v>
      </c>
      <c r="F6" s="3">
        <v>26.112245559692383</v>
      </c>
      <c r="G6" s="3">
        <v>27.966325759887695</v>
      </c>
      <c r="H6" s="3">
        <v>28.083929061889648</v>
      </c>
      <c r="I6" s="3">
        <v>26.669363021850586</v>
      </c>
      <c r="J6" s="3">
        <v>28.866098403930664</v>
      </c>
      <c r="K6" s="3">
        <v>28.00300407409668</v>
      </c>
      <c r="L6" s="3">
        <v>28.506057739257813</v>
      </c>
      <c r="M6" s="3">
        <v>28.155502319335938</v>
      </c>
      <c r="N6" s="3">
        <v>26.90601921081543</v>
      </c>
      <c r="O6" s="3">
        <v>27.547012329101563</v>
      </c>
      <c r="P6" s="3">
        <v>27.673620223999023</v>
      </c>
      <c r="Q6" s="3">
        <v>23.755041122436523</v>
      </c>
      <c r="R6" s="3">
        <v>22.982992172241211</v>
      </c>
      <c r="S6" s="3">
        <v>24.116710662841797</v>
      </c>
      <c r="T6" s="3">
        <v>24.493141174316406</v>
      </c>
      <c r="U6" s="3">
        <v>24.280977249145508</v>
      </c>
      <c r="V6" s="3">
        <v>27.248441696166992</v>
      </c>
      <c r="W6" s="3">
        <v>26.824018478393555</v>
      </c>
      <c r="X6" s="3">
        <v>27.260698318481445</v>
      </c>
      <c r="Y6" s="3">
        <v>27.725143432617188</v>
      </c>
      <c r="Z6" s="3">
        <v>27.871950149536133</v>
      </c>
      <c r="AA6" s="3">
        <v>27.884590148925781</v>
      </c>
      <c r="AB6" s="3">
        <v>28.130437850952148</v>
      </c>
      <c r="AC6" s="3">
        <v>0</v>
      </c>
      <c r="AD6" s="3">
        <v>-5.9392303228378296E-2</v>
      </c>
      <c r="AE6" s="3">
        <v>-5.6702733039855957E-2</v>
      </c>
      <c r="AF6" s="3">
        <v>0</v>
      </c>
      <c r="AG6" s="3">
        <v>29.299783706665039</v>
      </c>
      <c r="AH6" s="393"/>
    </row>
    <row r="7" spans="1:63" ht="30" customHeight="1" x14ac:dyDescent="0.2">
      <c r="A7" s="516" t="s">
        <v>167</v>
      </c>
      <c r="B7" s="4" t="s">
        <v>165</v>
      </c>
      <c r="C7" s="36" t="s">
        <v>166</v>
      </c>
      <c r="D7" s="3">
        <f>Totalizer!D7-Totalizer!C7</f>
        <v>666</v>
      </c>
      <c r="E7" s="3">
        <f>Totalizer!E7-Totalizer!D7</f>
        <v>661</v>
      </c>
      <c r="F7" s="3">
        <f>Totalizer!F7-Totalizer!E7</f>
        <v>645</v>
      </c>
      <c r="G7" s="3">
        <f>Totalizer!G7-Totalizer!F7</f>
        <v>676</v>
      </c>
      <c r="H7" s="3">
        <f>Totalizer!H7-Totalizer!G7</f>
        <v>705</v>
      </c>
      <c r="I7" s="3">
        <f>Totalizer!I7-Totalizer!H7</f>
        <v>702</v>
      </c>
      <c r="J7" s="3">
        <f>Totalizer!J7-Totalizer!I7</f>
        <v>688</v>
      </c>
      <c r="K7" s="3">
        <f>Totalizer!K7-Totalizer!J7</f>
        <v>729</v>
      </c>
      <c r="L7" s="3">
        <f>Totalizer!L7-Totalizer!K7</f>
        <v>697</v>
      </c>
      <c r="M7" s="3">
        <f>Totalizer!M7-Totalizer!L7</f>
        <v>698</v>
      </c>
      <c r="N7" s="3">
        <f>Totalizer!N7-Totalizer!M7</f>
        <v>704</v>
      </c>
      <c r="O7" s="3">
        <f>Totalizer!O7-Totalizer!N7</f>
        <v>670</v>
      </c>
      <c r="P7" s="3">
        <f>Totalizer!P7-Totalizer!O7</f>
        <v>700</v>
      </c>
      <c r="Q7" s="3">
        <f>Totalizer!Q7-Totalizer!P7</f>
        <v>689</v>
      </c>
      <c r="R7" s="3">
        <f>Totalizer!R7-Totalizer!Q7</f>
        <v>592</v>
      </c>
      <c r="S7" s="3">
        <f>Totalizer!S7-Totalizer!R7</f>
        <v>599</v>
      </c>
      <c r="T7" s="3">
        <f>Totalizer!T7-Totalizer!S7</f>
        <v>648</v>
      </c>
      <c r="U7" s="3">
        <f>Totalizer!U7-Totalizer!T7</f>
        <v>629</v>
      </c>
      <c r="V7" s="3">
        <f>Totalizer!V7-Totalizer!U7</f>
        <v>658</v>
      </c>
      <c r="W7" s="3">
        <f>Totalizer!W7-Totalizer!V7</f>
        <v>708</v>
      </c>
      <c r="X7" s="3">
        <f>Totalizer!X7-Totalizer!W7</f>
        <v>668</v>
      </c>
      <c r="Y7" s="3">
        <f>Totalizer!Y7-Totalizer!X7</f>
        <v>693</v>
      </c>
      <c r="Z7" s="3">
        <f>Totalizer!Z7-Totalizer!Y7</f>
        <v>692</v>
      </c>
      <c r="AA7" s="3">
        <f>Totalizer!AA7-Totalizer!Z7</f>
        <v>690</v>
      </c>
      <c r="AB7" s="3">
        <f>Totalizer!AB7-Totalizer!AA7</f>
        <v>705</v>
      </c>
      <c r="AC7" s="3">
        <f>Totalizer!AC7-Totalizer!AB7</f>
        <v>708</v>
      </c>
      <c r="AD7" s="3">
        <f>Totalizer!AD7-Totalizer!AC7</f>
        <v>716</v>
      </c>
      <c r="AE7" s="3">
        <f>Totalizer!AE7-Totalizer!AD7</f>
        <v>727</v>
      </c>
      <c r="AF7" s="3">
        <f>Totalizer!AF7-Totalizer!AE7</f>
        <v>719</v>
      </c>
      <c r="AG7" s="3">
        <f>Totalizer!AG7-Totalizer!AF7</f>
        <v>737</v>
      </c>
      <c r="AH7" s="3"/>
    </row>
    <row r="8" spans="1:63" ht="30" customHeight="1" x14ac:dyDescent="0.2">
      <c r="A8" s="516"/>
      <c r="B8" s="2" t="s">
        <v>61</v>
      </c>
      <c r="C8" s="36" t="s">
        <v>44</v>
      </c>
      <c r="D8" s="3">
        <v>28.618072509765625</v>
      </c>
      <c r="E8" s="3">
        <v>27.78593635559082</v>
      </c>
      <c r="F8" s="3">
        <v>29.501426696777344</v>
      </c>
      <c r="G8" s="3">
        <v>31.799098968505859</v>
      </c>
      <c r="H8" s="3">
        <v>31.51597785949707</v>
      </c>
      <c r="I8" s="3">
        <v>30.045574188232422</v>
      </c>
      <c r="J8" s="3">
        <v>31.923181533813477</v>
      </c>
      <c r="K8" s="3">
        <v>31.119411468505859</v>
      </c>
      <c r="L8" s="3">
        <v>30.422922134399414</v>
      </c>
      <c r="M8" s="3">
        <v>32.014717102050781</v>
      </c>
      <c r="N8" s="3">
        <v>29.123634338378906</v>
      </c>
      <c r="O8" s="3">
        <v>30.63618278503418</v>
      </c>
      <c r="P8" s="3">
        <v>30.860788345336914</v>
      </c>
      <c r="Q8" s="3">
        <v>28.507997512817383</v>
      </c>
      <c r="R8" s="3">
        <v>25.779499053955078</v>
      </c>
      <c r="S8" s="3">
        <v>28.421543121337891</v>
      </c>
      <c r="T8" s="3">
        <v>28.816982269287109</v>
      </c>
      <c r="U8" s="3">
        <v>29.350175857543945</v>
      </c>
      <c r="V8" s="3">
        <v>30.900030136108398</v>
      </c>
      <c r="W8" s="3">
        <v>30.776260375976563</v>
      </c>
      <c r="X8" s="3">
        <v>30.783597946166992</v>
      </c>
      <c r="Y8" s="3">
        <v>31.155378341674805</v>
      </c>
      <c r="Z8" s="3">
        <v>30.531953811645508</v>
      </c>
      <c r="AA8" s="3">
        <v>31.051980972290039</v>
      </c>
      <c r="AB8" s="3">
        <v>31.141670227050781</v>
      </c>
      <c r="AC8" s="3">
        <v>31.134862899780273</v>
      </c>
      <c r="AD8" s="3">
        <v>31.649765014648438</v>
      </c>
      <c r="AE8" s="3">
        <v>31.287559509277344</v>
      </c>
      <c r="AF8" s="3">
        <v>32.883544921875</v>
      </c>
      <c r="AG8" s="3">
        <v>32.531784057617188</v>
      </c>
      <c r="AH8" s="393"/>
    </row>
    <row r="9" spans="1:63" ht="30" customHeight="1" x14ac:dyDescent="0.2">
      <c r="A9" s="516"/>
      <c r="B9" s="2" t="s">
        <v>62</v>
      </c>
      <c r="C9" s="36" t="s">
        <v>44</v>
      </c>
      <c r="D9" s="3">
        <v>26.270124435424805</v>
      </c>
      <c r="E9" s="3">
        <v>25.644266128540039</v>
      </c>
      <c r="F9" s="3">
        <v>26.749757766723633</v>
      </c>
      <c r="G9" s="3">
        <v>27.362777709960938</v>
      </c>
      <c r="H9" s="3">
        <v>27.588924407958984</v>
      </c>
      <c r="I9" s="3">
        <v>27.212121963500977</v>
      </c>
      <c r="J9" s="3">
        <v>28.074705123901367</v>
      </c>
      <c r="K9" s="3">
        <v>27.447572708129883</v>
      </c>
      <c r="L9" s="3">
        <v>27.295305252075195</v>
      </c>
      <c r="M9" s="3">
        <v>27.557880401611328</v>
      </c>
      <c r="N9" s="3">
        <v>26.131725311279297</v>
      </c>
      <c r="O9" s="3">
        <v>27.302513122558594</v>
      </c>
      <c r="P9" s="3">
        <v>27.708580017089844</v>
      </c>
      <c r="Q9" s="3">
        <v>23.276517868041992</v>
      </c>
      <c r="R9" s="3">
        <v>23.000576019287109</v>
      </c>
      <c r="S9" s="3">
        <v>24.014636993408203</v>
      </c>
      <c r="T9" s="3">
        <v>24.577730178833008</v>
      </c>
      <c r="U9" s="3">
        <v>25.108938217163086</v>
      </c>
      <c r="V9" s="3">
        <v>27.953289031982422</v>
      </c>
      <c r="W9" s="3">
        <v>26.138334274291992</v>
      </c>
      <c r="X9" s="3">
        <v>26.365476608276367</v>
      </c>
      <c r="Y9" s="3">
        <v>27.333600997924805</v>
      </c>
      <c r="Z9" s="3">
        <v>26.841642379760742</v>
      </c>
      <c r="AA9" s="3">
        <v>27.423564910888672</v>
      </c>
      <c r="AB9" s="3">
        <v>27.730257034301758</v>
      </c>
      <c r="AC9" s="3">
        <v>28.255466461181641</v>
      </c>
      <c r="AD9" s="3">
        <v>29.067998886108398</v>
      </c>
      <c r="AE9" s="3">
        <v>28.475854873657227</v>
      </c>
      <c r="AF9" s="3">
        <v>29.488687515258789</v>
      </c>
      <c r="AG9" s="3">
        <v>27.910562515258789</v>
      </c>
      <c r="AH9" s="393"/>
    </row>
    <row r="10" spans="1:63" ht="30" customHeight="1" x14ac:dyDescent="0.2">
      <c r="A10" s="516" t="s">
        <v>168</v>
      </c>
      <c r="B10" s="4" t="s">
        <v>165</v>
      </c>
      <c r="C10" s="36" t="s">
        <v>166</v>
      </c>
      <c r="D10" s="3">
        <f>Totalizer!D8-Totalizer!C8</f>
        <v>641</v>
      </c>
      <c r="E10" s="3">
        <f>Totalizer!E8-Totalizer!D8</f>
        <v>638</v>
      </c>
      <c r="F10" s="3">
        <f>Totalizer!F8-Totalizer!E8</f>
        <v>642</v>
      </c>
      <c r="G10" s="3">
        <f>Totalizer!G8-Totalizer!F8</f>
        <v>671</v>
      </c>
      <c r="H10" s="3">
        <f>Totalizer!H8-Totalizer!G8</f>
        <v>696</v>
      </c>
      <c r="I10" s="3">
        <f>Totalizer!I8-Totalizer!H8</f>
        <v>686</v>
      </c>
      <c r="J10" s="3">
        <f>Totalizer!J8-Totalizer!I8</f>
        <v>685</v>
      </c>
      <c r="K10" s="3">
        <f>Totalizer!K8-Totalizer!J8</f>
        <v>719</v>
      </c>
      <c r="L10" s="3">
        <f>Totalizer!L8-Totalizer!K8</f>
        <v>703</v>
      </c>
      <c r="M10" s="3">
        <f>Totalizer!M8-Totalizer!L8</f>
        <v>718</v>
      </c>
      <c r="N10" s="3">
        <f>Totalizer!N8-Totalizer!M8</f>
        <v>700</v>
      </c>
      <c r="O10" s="3">
        <f>Totalizer!O8-Totalizer!N8</f>
        <v>671</v>
      </c>
      <c r="P10" s="3">
        <f>Totalizer!P8-Totalizer!O8</f>
        <v>694</v>
      </c>
      <c r="Q10" s="3">
        <f>Totalizer!Q8-Totalizer!P8</f>
        <v>683</v>
      </c>
      <c r="R10" s="3">
        <f>Totalizer!R8-Totalizer!Q8</f>
        <v>592</v>
      </c>
      <c r="S10" s="3">
        <f>Totalizer!S8-Totalizer!R8</f>
        <v>593</v>
      </c>
      <c r="T10" s="3">
        <f>Totalizer!T8-Totalizer!S8</f>
        <v>612</v>
      </c>
      <c r="U10" s="3">
        <f>Totalizer!U8-Totalizer!T8</f>
        <v>631</v>
      </c>
      <c r="V10" s="3">
        <f>Totalizer!V8-Totalizer!U8</f>
        <v>655</v>
      </c>
      <c r="W10" s="3">
        <f>Totalizer!W8-Totalizer!V8</f>
        <v>689</v>
      </c>
      <c r="X10" s="3">
        <f>Totalizer!X8-Totalizer!W8</f>
        <v>676</v>
      </c>
      <c r="Y10" s="3">
        <f>Totalizer!Y8-Totalizer!X8</f>
        <v>676</v>
      </c>
      <c r="Z10" s="3">
        <f>Totalizer!Z8-Totalizer!Y8</f>
        <v>688</v>
      </c>
      <c r="AA10" s="3">
        <f>Totalizer!AA8-Totalizer!Z8</f>
        <v>702</v>
      </c>
      <c r="AB10" s="3">
        <f>Totalizer!AB8-Totalizer!AA8</f>
        <v>716</v>
      </c>
      <c r="AC10" s="3">
        <f>Totalizer!AC8-Totalizer!AB8</f>
        <v>549</v>
      </c>
      <c r="AD10" s="3">
        <f>Totalizer!AD8-Totalizer!AC8</f>
        <v>0</v>
      </c>
      <c r="AE10" s="3">
        <f>Totalizer!AE8-Totalizer!AD8</f>
        <v>0</v>
      </c>
      <c r="AF10" s="3">
        <f>Totalizer!AF8-Totalizer!AE8</f>
        <v>57</v>
      </c>
      <c r="AG10" s="3">
        <f>Totalizer!AG8-Totalizer!AF8</f>
        <v>605</v>
      </c>
      <c r="AH10" s="3"/>
    </row>
    <row r="11" spans="1:63" ht="30" customHeight="1" x14ac:dyDescent="0.2">
      <c r="A11" s="516"/>
      <c r="B11" s="2" t="s">
        <v>61</v>
      </c>
      <c r="C11" s="36" t="s">
        <v>44</v>
      </c>
      <c r="D11" s="3">
        <v>28.764816284179688</v>
      </c>
      <c r="E11" s="3">
        <v>27.8876953125</v>
      </c>
      <c r="F11" s="3">
        <v>29.772380828857422</v>
      </c>
      <c r="G11" s="3">
        <v>30.174598693847656</v>
      </c>
      <c r="H11" s="3">
        <v>30.547828674316406</v>
      </c>
      <c r="I11" s="3">
        <v>29.929443359375</v>
      </c>
      <c r="J11" s="3">
        <v>31.817625045776367</v>
      </c>
      <c r="K11" s="3">
        <v>31.27937126159668</v>
      </c>
      <c r="L11" s="3">
        <v>31.318445205688477</v>
      </c>
      <c r="M11" s="3">
        <v>30.99577522277832</v>
      </c>
      <c r="N11" s="3">
        <v>29.678226470947266</v>
      </c>
      <c r="O11" s="3">
        <v>30.544267654418945</v>
      </c>
      <c r="P11" s="3">
        <v>29.84161376953125</v>
      </c>
      <c r="Q11" s="3">
        <v>27.954738616943359</v>
      </c>
      <c r="R11" s="3">
        <v>26.453338623046875</v>
      </c>
      <c r="S11" s="3">
        <v>26.705936431884766</v>
      </c>
      <c r="T11" s="3">
        <v>27.80314826965332</v>
      </c>
      <c r="U11" s="3">
        <v>28.326694488525391</v>
      </c>
      <c r="V11" s="3">
        <v>29.690683364868164</v>
      </c>
      <c r="W11" s="3">
        <v>30.065729141235352</v>
      </c>
      <c r="X11" s="3">
        <v>29.323122024536133</v>
      </c>
      <c r="Y11" s="3">
        <v>30.036491394042969</v>
      </c>
      <c r="Z11" s="3">
        <v>30.266895294189453</v>
      </c>
      <c r="AA11" s="3">
        <v>31.067342758178711</v>
      </c>
      <c r="AB11" s="3">
        <v>30.819971084594727</v>
      </c>
      <c r="AC11" s="3">
        <v>0</v>
      </c>
      <c r="AD11" s="3">
        <v>2.3754380643367767E-2</v>
      </c>
      <c r="AE11" s="3">
        <v>7.4696363881230354E-3</v>
      </c>
      <c r="AF11" s="3">
        <v>34.391399383544922</v>
      </c>
      <c r="AG11" s="3">
        <v>33.192142486572266</v>
      </c>
      <c r="AH11" s="393"/>
    </row>
    <row r="12" spans="1:63" ht="30" customHeight="1" x14ac:dyDescent="0.2">
      <c r="A12" s="516"/>
      <c r="B12" s="2" t="s">
        <v>62</v>
      </c>
      <c r="C12" s="36" t="s">
        <v>44</v>
      </c>
      <c r="D12" s="3">
        <v>25.496608734130859</v>
      </c>
      <c r="E12" s="3">
        <v>25.693271636962891</v>
      </c>
      <c r="F12" s="3">
        <v>26.01165771484375</v>
      </c>
      <c r="G12" s="3">
        <v>27.707796096801758</v>
      </c>
      <c r="H12" s="3">
        <v>27.711948394775391</v>
      </c>
      <c r="I12" s="3">
        <v>26.617385864257813</v>
      </c>
      <c r="J12" s="3">
        <v>28.535049438476563</v>
      </c>
      <c r="K12" s="3">
        <v>28.265764236450195</v>
      </c>
      <c r="L12" s="3">
        <v>27.309492111206055</v>
      </c>
      <c r="M12" s="3">
        <v>27.753013610839844</v>
      </c>
      <c r="N12" s="3">
        <v>26.595026016235352</v>
      </c>
      <c r="O12" s="3">
        <v>27.105932235717773</v>
      </c>
      <c r="P12" s="3">
        <v>27.929597854614258</v>
      </c>
      <c r="Q12" s="3">
        <v>22.953216552734375</v>
      </c>
      <c r="R12" s="3">
        <v>23.094043731689453</v>
      </c>
      <c r="S12" s="3">
        <v>23.883274078369141</v>
      </c>
      <c r="T12" s="3">
        <v>24.675958633422852</v>
      </c>
      <c r="U12" s="3">
        <v>25.777101516723633</v>
      </c>
      <c r="V12" s="3">
        <v>26.575592041015625</v>
      </c>
      <c r="W12" s="3">
        <v>25.912042617797852</v>
      </c>
      <c r="X12" s="3">
        <v>27.019598007202148</v>
      </c>
      <c r="Y12" s="3">
        <v>27.563344955444336</v>
      </c>
      <c r="Z12" s="3">
        <v>27.548139572143555</v>
      </c>
      <c r="AA12" s="3">
        <v>28.313426971435547</v>
      </c>
      <c r="AB12" s="3">
        <v>28.421918869018555</v>
      </c>
      <c r="AC12" s="3">
        <v>0</v>
      </c>
      <c r="AD12" s="3">
        <v>-1.2123744003474712E-2</v>
      </c>
      <c r="AE12" s="3">
        <v>-4.6961702406406403E-2</v>
      </c>
      <c r="AF12" s="3">
        <v>-3.8530472666025162E-3</v>
      </c>
      <c r="AG12" s="3">
        <v>29.216184616088867</v>
      </c>
      <c r="AH12" s="393"/>
    </row>
    <row r="13" spans="1:63" ht="30" customHeight="1" x14ac:dyDescent="0.2">
      <c r="A13" s="516" t="s">
        <v>169</v>
      </c>
      <c r="B13" s="4" t="s">
        <v>165</v>
      </c>
      <c r="C13" s="36" t="s">
        <v>166</v>
      </c>
      <c r="D13" s="3">
        <f>Totalizer!D9-Totalizer!C9</f>
        <v>644</v>
      </c>
      <c r="E13" s="3">
        <f>Totalizer!E9-Totalizer!D9</f>
        <v>628</v>
      </c>
      <c r="F13" s="3">
        <f>Totalizer!F9-Totalizer!E9</f>
        <v>624</v>
      </c>
      <c r="G13" s="3">
        <f>Totalizer!G9-Totalizer!F9</f>
        <v>652</v>
      </c>
      <c r="H13" s="3">
        <f>Totalizer!H9-Totalizer!G9</f>
        <v>682</v>
      </c>
      <c r="I13" s="3">
        <f>Totalizer!I9-Totalizer!H9</f>
        <v>665</v>
      </c>
      <c r="J13" s="3">
        <f>Totalizer!J9-Totalizer!I9</f>
        <v>691</v>
      </c>
      <c r="K13" s="3">
        <f>Totalizer!K9-Totalizer!J9</f>
        <v>703</v>
      </c>
      <c r="L13" s="3">
        <f>Totalizer!L9-Totalizer!K9</f>
        <v>697</v>
      </c>
      <c r="M13" s="3">
        <f>Totalizer!M9-Totalizer!L9</f>
        <v>711</v>
      </c>
      <c r="N13" s="3">
        <f>Totalizer!N9-Totalizer!M9</f>
        <v>667</v>
      </c>
      <c r="O13" s="3">
        <f>Totalizer!O9-Totalizer!N9</f>
        <v>665</v>
      </c>
      <c r="P13" s="3">
        <f>Totalizer!P9-Totalizer!O9</f>
        <v>693</v>
      </c>
      <c r="Q13" s="3">
        <f>Totalizer!Q9-Totalizer!P9</f>
        <v>648</v>
      </c>
      <c r="R13" s="3">
        <f>Totalizer!R9-Totalizer!Q9</f>
        <v>569</v>
      </c>
      <c r="S13" s="3">
        <f>Totalizer!S9-Totalizer!R9</f>
        <v>596</v>
      </c>
      <c r="T13" s="3">
        <f>Totalizer!T9-Totalizer!S9</f>
        <v>601</v>
      </c>
      <c r="U13" s="3">
        <f>Totalizer!U9-Totalizer!T9</f>
        <v>612</v>
      </c>
      <c r="V13" s="3">
        <f>Totalizer!V9-Totalizer!U9</f>
        <v>636</v>
      </c>
      <c r="W13" s="3">
        <f>Totalizer!W9-Totalizer!V9</f>
        <v>674</v>
      </c>
      <c r="X13" s="3">
        <f>Totalizer!X9-Totalizer!W9</f>
        <v>661</v>
      </c>
      <c r="Y13" s="3">
        <f>Totalizer!Y9-Totalizer!X9</f>
        <v>665</v>
      </c>
      <c r="Z13" s="3">
        <f>Totalizer!Z9-Totalizer!Y9</f>
        <v>671</v>
      </c>
      <c r="AA13" s="3">
        <f>Totalizer!AA9-Totalizer!Z9</f>
        <v>691</v>
      </c>
      <c r="AB13" s="3">
        <f>Totalizer!AB9-Totalizer!AA9</f>
        <v>689</v>
      </c>
      <c r="AC13" s="3">
        <f>Totalizer!AC9-Totalizer!AB9</f>
        <v>686</v>
      </c>
      <c r="AD13" s="3">
        <f>Totalizer!AD9-Totalizer!AC9</f>
        <v>715</v>
      </c>
      <c r="AE13" s="3">
        <f>Totalizer!AE9-Totalizer!AD9</f>
        <v>703</v>
      </c>
      <c r="AF13" s="3">
        <f>Totalizer!AF9-Totalizer!AE9</f>
        <v>652</v>
      </c>
      <c r="AG13" s="3">
        <f>Totalizer!AG9-Totalizer!AF9</f>
        <v>686</v>
      </c>
      <c r="AH13" s="3"/>
    </row>
    <row r="14" spans="1:63" ht="30" customHeight="1" x14ac:dyDescent="0.2">
      <c r="A14" s="516"/>
      <c r="B14" s="2" t="s">
        <v>61</v>
      </c>
      <c r="C14" s="36" t="s">
        <v>44</v>
      </c>
      <c r="D14" s="3">
        <v>28.183584213256836</v>
      </c>
      <c r="E14" s="3">
        <v>27.326736450195313</v>
      </c>
      <c r="F14" s="3">
        <v>28.37470817565918</v>
      </c>
      <c r="G14" s="3">
        <v>29.404596328735352</v>
      </c>
      <c r="H14" s="3">
        <v>30.227636337280273</v>
      </c>
      <c r="I14" s="3">
        <v>30.2086181640625</v>
      </c>
      <c r="J14" s="3">
        <v>31.070846557617188</v>
      </c>
      <c r="K14" s="3">
        <v>31.050872802734375</v>
      </c>
      <c r="L14" s="3">
        <v>30.771846771240234</v>
      </c>
      <c r="M14" s="3">
        <v>31.592988967895508</v>
      </c>
      <c r="N14" s="3">
        <v>28.832794189453125</v>
      </c>
      <c r="O14" s="3">
        <v>30.056478500366211</v>
      </c>
      <c r="P14" s="3">
        <v>30.901796340942383</v>
      </c>
      <c r="Q14" s="3">
        <v>28.160430908203125</v>
      </c>
      <c r="R14" s="3">
        <v>25.910486221313477</v>
      </c>
      <c r="S14" s="3">
        <v>26.113819122314453</v>
      </c>
      <c r="T14" s="3">
        <v>26.854024887084961</v>
      </c>
      <c r="U14" s="3">
        <v>27.217922210693359</v>
      </c>
      <c r="V14" s="3">
        <v>28.323038101196289</v>
      </c>
      <c r="W14" s="3">
        <v>29.613536834716797</v>
      </c>
      <c r="X14" s="3">
        <v>28.510156631469727</v>
      </c>
      <c r="Y14" s="3">
        <v>30.682058334350586</v>
      </c>
      <c r="Z14" s="3">
        <v>29.24827766418457</v>
      </c>
      <c r="AA14" s="3">
        <v>30.634910583496094</v>
      </c>
      <c r="AB14" s="3">
        <v>30.037441253662109</v>
      </c>
      <c r="AC14" s="3">
        <v>31.026422500610352</v>
      </c>
      <c r="AD14" s="3">
        <v>31.352680206298828</v>
      </c>
      <c r="AE14" s="3">
        <v>31.852954864501953</v>
      </c>
      <c r="AF14" s="3">
        <v>33.453334808349609</v>
      </c>
      <c r="AG14" s="3">
        <v>31.439254760742188</v>
      </c>
      <c r="AH14" s="393"/>
    </row>
    <row r="15" spans="1:63" ht="30" customHeight="1" x14ac:dyDescent="0.2">
      <c r="A15" s="516"/>
      <c r="B15" s="2" t="s">
        <v>62</v>
      </c>
      <c r="C15" s="36" t="s">
        <v>44</v>
      </c>
      <c r="D15" s="3">
        <v>25.331859588623047</v>
      </c>
      <c r="E15" s="3">
        <v>24.499610900878906</v>
      </c>
      <c r="F15" s="3">
        <v>25.023309707641602</v>
      </c>
      <c r="G15" s="3">
        <v>26.424415588378906</v>
      </c>
      <c r="H15" s="3">
        <v>26.895805358886719</v>
      </c>
      <c r="I15" s="3">
        <v>26.569169998168945</v>
      </c>
      <c r="J15" s="3">
        <v>28.001855850219727</v>
      </c>
      <c r="K15" s="3">
        <v>27.59967041015625</v>
      </c>
      <c r="L15" s="3">
        <v>27.512580871582031</v>
      </c>
      <c r="M15" s="3">
        <v>27.119709014892578</v>
      </c>
      <c r="N15" s="3">
        <v>26.168342590332031</v>
      </c>
      <c r="O15" s="3">
        <v>26.079414367675781</v>
      </c>
      <c r="P15" s="3">
        <v>26.231689453125</v>
      </c>
      <c r="Q15" s="3">
        <v>22.452230453491211</v>
      </c>
      <c r="R15" s="3">
        <v>22.575206756591797</v>
      </c>
      <c r="S15" s="3">
        <v>23.962484359741211</v>
      </c>
      <c r="T15" s="3">
        <v>24.20353889465332</v>
      </c>
      <c r="U15" s="3">
        <v>24.168838500976563</v>
      </c>
      <c r="V15" s="3">
        <v>26.148683547973633</v>
      </c>
      <c r="W15" s="3">
        <v>26.22865104675293</v>
      </c>
      <c r="X15" s="3">
        <v>25.984235763549805</v>
      </c>
      <c r="Y15" s="3">
        <v>26.753684997558594</v>
      </c>
      <c r="Z15" s="3">
        <v>24.285760879516602</v>
      </c>
      <c r="AA15" s="3">
        <v>27.686809539794922</v>
      </c>
      <c r="AB15" s="3">
        <v>27.007171630859375</v>
      </c>
      <c r="AC15" s="3">
        <v>27.699258804321289</v>
      </c>
      <c r="AD15" s="3">
        <v>28.287530899047852</v>
      </c>
      <c r="AE15" s="3">
        <v>28.057733535766602</v>
      </c>
      <c r="AF15" s="3">
        <v>11.572022438049316</v>
      </c>
      <c r="AG15" s="3">
        <v>28.261438369750977</v>
      </c>
      <c r="AH15" s="393"/>
    </row>
    <row r="16" spans="1:63" ht="30" customHeight="1" x14ac:dyDescent="0.2">
      <c r="A16" s="516" t="s">
        <v>170</v>
      </c>
      <c r="B16" s="4" t="s">
        <v>165</v>
      </c>
      <c r="C16" s="36" t="s">
        <v>166</v>
      </c>
      <c r="D16" s="3">
        <f>Totalizer!D10-Totalizer!C10</f>
        <v>679</v>
      </c>
      <c r="E16" s="3">
        <f>Totalizer!E10-Totalizer!D10</f>
        <v>653</v>
      </c>
      <c r="F16" s="3">
        <f>Totalizer!F10-Totalizer!E10</f>
        <v>683</v>
      </c>
      <c r="G16" s="3">
        <f>Totalizer!G10-Totalizer!F10</f>
        <v>694</v>
      </c>
      <c r="H16" s="3">
        <f>Totalizer!H10-Totalizer!G10</f>
        <v>701</v>
      </c>
      <c r="I16" s="3">
        <f>Totalizer!I10-Totalizer!H10</f>
        <v>699</v>
      </c>
      <c r="J16" s="3">
        <f>Totalizer!J10-Totalizer!I10</f>
        <v>697</v>
      </c>
      <c r="K16" s="3">
        <f>Totalizer!K10-Totalizer!J10</f>
        <v>730</v>
      </c>
      <c r="L16" s="3">
        <f>Totalizer!L10-Totalizer!K10</f>
        <v>726</v>
      </c>
      <c r="M16" s="3">
        <f>Totalizer!M10-Totalizer!L10</f>
        <v>717</v>
      </c>
      <c r="N16" s="3">
        <f>Totalizer!N10-Totalizer!M10</f>
        <v>738</v>
      </c>
      <c r="O16" s="3">
        <f>Totalizer!O10-Totalizer!N10</f>
        <v>719</v>
      </c>
      <c r="P16" s="3">
        <f>Totalizer!P10-Totalizer!O10</f>
        <v>692</v>
      </c>
      <c r="Q16" s="3">
        <f>Totalizer!Q10-Totalizer!P10</f>
        <v>691</v>
      </c>
      <c r="R16" s="3">
        <f>Totalizer!R10-Totalizer!Q10</f>
        <v>697</v>
      </c>
      <c r="S16" s="3">
        <f>Totalizer!S10-Totalizer!R10</f>
        <v>692</v>
      </c>
      <c r="T16" s="3">
        <f>Totalizer!T10-Totalizer!S10</f>
        <v>698</v>
      </c>
      <c r="U16" s="3">
        <f>Totalizer!U10-Totalizer!T10</f>
        <v>705</v>
      </c>
      <c r="V16" s="3">
        <f>Totalizer!V10-Totalizer!U10</f>
        <v>706</v>
      </c>
      <c r="W16" s="3">
        <f>Totalizer!W10-Totalizer!V10</f>
        <v>691</v>
      </c>
      <c r="X16" s="3">
        <f>Totalizer!X10-Totalizer!W10</f>
        <v>701</v>
      </c>
      <c r="Y16" s="3">
        <f>Totalizer!Y10-Totalizer!X10</f>
        <v>707</v>
      </c>
      <c r="Z16" s="3">
        <f>Totalizer!Z10-Totalizer!Y10</f>
        <v>696</v>
      </c>
      <c r="AA16" s="3">
        <f>Totalizer!AA10-Totalizer!Z10</f>
        <v>719</v>
      </c>
      <c r="AB16" s="3">
        <f>Totalizer!AB10-Totalizer!AA10</f>
        <v>734</v>
      </c>
      <c r="AC16" s="3">
        <f>Totalizer!AC10-Totalizer!AB10</f>
        <v>734</v>
      </c>
      <c r="AD16" s="3">
        <f>Totalizer!AD10-Totalizer!AC10</f>
        <v>719</v>
      </c>
      <c r="AE16" s="3">
        <f>Totalizer!AE10-Totalizer!AD10</f>
        <v>725</v>
      </c>
      <c r="AF16" s="3">
        <f>Totalizer!AF10-Totalizer!AE10</f>
        <v>734</v>
      </c>
      <c r="AG16" s="3">
        <f>Totalizer!AG10-Totalizer!AF10</f>
        <v>734</v>
      </c>
      <c r="AH16" s="3"/>
    </row>
    <row r="17" spans="1:35" ht="30" customHeight="1" x14ac:dyDescent="0.2">
      <c r="A17" s="516"/>
      <c r="B17" s="2" t="s">
        <v>61</v>
      </c>
      <c r="C17" s="36" t="s">
        <v>44</v>
      </c>
      <c r="D17" s="3">
        <v>29.651056289672852</v>
      </c>
      <c r="E17" s="3">
        <v>28.788036346435547</v>
      </c>
      <c r="F17" s="3">
        <v>30.523595809936523</v>
      </c>
      <c r="G17" s="3">
        <v>30.219034194946289</v>
      </c>
      <c r="H17" s="3">
        <v>30.830659866333008</v>
      </c>
      <c r="I17" s="3">
        <v>30.713743209838867</v>
      </c>
      <c r="J17" s="3">
        <v>31.755290985107422</v>
      </c>
      <c r="K17" s="3">
        <v>32.701358795166016</v>
      </c>
      <c r="L17" s="3">
        <v>30.795772552490234</v>
      </c>
      <c r="M17" s="3">
        <v>32.045150756835938</v>
      </c>
      <c r="N17" s="3">
        <v>32.399528503417969</v>
      </c>
      <c r="O17" s="3">
        <v>30.828330993652344</v>
      </c>
      <c r="P17" s="3">
        <v>30.519060134887695</v>
      </c>
      <c r="Q17" s="3">
        <v>30.918987274169922</v>
      </c>
      <c r="R17" s="3">
        <v>30.252969741821289</v>
      </c>
      <c r="S17" s="3">
        <v>31.057649612426758</v>
      </c>
      <c r="T17" s="3">
        <v>30.529304504394531</v>
      </c>
      <c r="U17" s="3">
        <v>31.273418426513672</v>
      </c>
      <c r="V17" s="3">
        <v>30.305395126342773</v>
      </c>
      <c r="W17" s="3">
        <v>31.670969009399414</v>
      </c>
      <c r="X17" s="3">
        <v>29.870334625244141</v>
      </c>
      <c r="Y17" s="3">
        <v>35.300811767578125</v>
      </c>
      <c r="Z17" s="3">
        <v>30.542123794555664</v>
      </c>
      <c r="AA17" s="3">
        <v>32.173625946044922</v>
      </c>
      <c r="AB17" s="3">
        <v>32.137737274169922</v>
      </c>
      <c r="AC17" s="3">
        <v>32.3116455078125</v>
      </c>
      <c r="AD17" s="3">
        <v>32.1697998046875</v>
      </c>
      <c r="AE17" s="3">
        <v>31.52862548828125</v>
      </c>
      <c r="AF17" s="3">
        <v>33.300041198730469</v>
      </c>
      <c r="AG17" s="3">
        <v>32.822582244873047</v>
      </c>
      <c r="AH17" s="393"/>
    </row>
    <row r="18" spans="1:35" ht="30" customHeight="1" x14ac:dyDescent="0.2">
      <c r="A18" s="516"/>
      <c r="B18" s="2" t="s">
        <v>62</v>
      </c>
      <c r="C18" s="36" t="s">
        <v>44</v>
      </c>
      <c r="D18" s="3">
        <v>25.925449371337891</v>
      </c>
      <c r="E18" s="3">
        <v>25.496580123901367</v>
      </c>
      <c r="F18" s="3">
        <v>28.046396255493164</v>
      </c>
      <c r="G18" s="3">
        <v>27.767183303833008</v>
      </c>
      <c r="H18" s="3">
        <v>27.722446441650391</v>
      </c>
      <c r="I18" s="3">
        <v>26.809295654296875</v>
      </c>
      <c r="J18" s="3">
        <v>27.522270202636719</v>
      </c>
      <c r="K18" s="3">
        <v>27.825164794921875</v>
      </c>
      <c r="L18" s="3">
        <v>28.590173721313477</v>
      </c>
      <c r="M18" s="3">
        <v>28.702924728393555</v>
      </c>
      <c r="N18" s="3">
        <v>29.109107971191406</v>
      </c>
      <c r="O18" s="3">
        <v>27.452316284179688</v>
      </c>
      <c r="P18" s="3">
        <v>27.541303634643555</v>
      </c>
      <c r="Q18" s="3">
        <v>26.794023513793945</v>
      </c>
      <c r="R18" s="3">
        <v>27.477487564086914</v>
      </c>
      <c r="S18" s="3">
        <v>27.469427108764648</v>
      </c>
      <c r="T18" s="3">
        <v>28.190637588500977</v>
      </c>
      <c r="U18" s="3">
        <v>28.057199478149414</v>
      </c>
      <c r="V18" s="3">
        <v>28.152572631835938</v>
      </c>
      <c r="W18" s="3">
        <v>27.617504119873047</v>
      </c>
      <c r="X18" s="3">
        <v>27.703681945800781</v>
      </c>
      <c r="Y18" s="3">
        <v>28.493915557861328</v>
      </c>
      <c r="Z18" s="3">
        <v>28.144025802612305</v>
      </c>
      <c r="AA18" s="3">
        <v>28.588556289672852</v>
      </c>
      <c r="AB18" s="3">
        <v>28.747676849365234</v>
      </c>
      <c r="AC18" s="3">
        <v>29.074090957641602</v>
      </c>
      <c r="AD18" s="3">
        <v>28.96771240234375</v>
      </c>
      <c r="AE18" s="214">
        <v>28.602621078491211</v>
      </c>
      <c r="AF18" s="214">
        <v>29.092744827270508</v>
      </c>
      <c r="AG18" s="214">
        <v>27.963375091552734</v>
      </c>
      <c r="AH18" s="395"/>
    </row>
    <row r="19" spans="1:35" ht="30" customHeight="1" x14ac:dyDescent="0.2">
      <c r="A19" s="516" t="s">
        <v>171</v>
      </c>
      <c r="B19" s="4" t="s">
        <v>165</v>
      </c>
      <c r="C19" s="36" t="s">
        <v>166</v>
      </c>
      <c r="D19" s="3">
        <f>Totalizer!D11-Totalizer!C11</f>
        <v>711</v>
      </c>
      <c r="E19" s="3">
        <f>Totalizer!E11-Totalizer!D11</f>
        <v>684</v>
      </c>
      <c r="F19" s="3">
        <f>Totalizer!F11-Totalizer!E11</f>
        <v>690</v>
      </c>
      <c r="G19" s="3">
        <f>Totalizer!G11-Totalizer!F11</f>
        <v>734</v>
      </c>
      <c r="H19" s="3">
        <f>Totalizer!H11-Totalizer!G11</f>
        <v>725</v>
      </c>
      <c r="I19" s="3">
        <f>Totalizer!I11-Totalizer!H11</f>
        <v>715</v>
      </c>
      <c r="J19" s="3">
        <f>Totalizer!J11-Totalizer!I11</f>
        <v>728</v>
      </c>
      <c r="K19" s="3">
        <f>Totalizer!K11-Totalizer!J11</f>
        <v>733</v>
      </c>
      <c r="L19" s="3">
        <f>Totalizer!L11-Totalizer!K11</f>
        <v>734</v>
      </c>
      <c r="M19" s="3">
        <f>Totalizer!M11-Totalizer!L11</f>
        <v>723</v>
      </c>
      <c r="N19" s="3">
        <f>Totalizer!N11-Totalizer!M11</f>
        <v>725</v>
      </c>
      <c r="O19" s="3">
        <f>Totalizer!O11-Totalizer!N11</f>
        <v>723</v>
      </c>
      <c r="P19" s="3">
        <f>Totalizer!P11-Totalizer!O11</f>
        <v>712</v>
      </c>
      <c r="Q19" s="3">
        <f>Totalizer!Q11-Totalizer!P11</f>
        <v>703</v>
      </c>
      <c r="R19" s="3">
        <f>Totalizer!R11-Totalizer!Q11</f>
        <v>737</v>
      </c>
      <c r="S19" s="3">
        <f>Totalizer!S11-Totalizer!R11</f>
        <v>693</v>
      </c>
      <c r="T19" s="3">
        <f>Totalizer!T11-Totalizer!S11</f>
        <v>716</v>
      </c>
      <c r="U19" s="3">
        <f>Totalizer!U11-Totalizer!T11</f>
        <v>708</v>
      </c>
      <c r="V19" s="3">
        <f>Totalizer!V11-Totalizer!U11</f>
        <v>713</v>
      </c>
      <c r="W19" s="3">
        <f>Totalizer!W11-Totalizer!V11</f>
        <v>741</v>
      </c>
      <c r="X19" s="3">
        <f>Totalizer!X11-Totalizer!W11</f>
        <v>709</v>
      </c>
      <c r="Y19" s="3">
        <f>Totalizer!Y11-Totalizer!X11</f>
        <v>703</v>
      </c>
      <c r="Z19" s="3">
        <f>Totalizer!Z11-Totalizer!Y11</f>
        <v>733</v>
      </c>
      <c r="AA19" s="3">
        <f>Totalizer!AA11-Totalizer!Z11</f>
        <v>737</v>
      </c>
      <c r="AB19" s="3">
        <f>Totalizer!AB11-Totalizer!AA11</f>
        <v>723</v>
      </c>
      <c r="AC19" s="3">
        <f>Totalizer!AC11-Totalizer!AB11</f>
        <v>710</v>
      </c>
      <c r="AD19" s="3">
        <f>Totalizer!AD11-Totalizer!AC11</f>
        <v>708</v>
      </c>
      <c r="AE19" s="3">
        <f>Totalizer!AE11-Totalizer!AD11</f>
        <v>732</v>
      </c>
      <c r="AF19" s="3">
        <f>Totalizer!AF11-Totalizer!AE11</f>
        <v>708</v>
      </c>
      <c r="AG19" s="3">
        <f>Totalizer!AG11-Totalizer!AF11</f>
        <v>694</v>
      </c>
      <c r="AH19" s="3"/>
    </row>
    <row r="20" spans="1:35" ht="30" customHeight="1" x14ac:dyDescent="0.2">
      <c r="A20" s="516"/>
      <c r="B20" s="2" t="s">
        <v>61</v>
      </c>
      <c r="C20" s="36" t="s">
        <v>44</v>
      </c>
      <c r="D20" s="3">
        <v>30.974033355712891</v>
      </c>
      <c r="E20" s="3">
        <v>29.352155685424805</v>
      </c>
      <c r="F20" s="3">
        <v>32.103424072265625</v>
      </c>
      <c r="G20" s="3">
        <v>31.855367660522461</v>
      </c>
      <c r="H20" s="3">
        <v>31.575460433959961</v>
      </c>
      <c r="I20" s="3">
        <v>31.359426498413086</v>
      </c>
      <c r="J20" s="3">
        <v>31.786556243896484</v>
      </c>
      <c r="K20" s="3">
        <v>32.016708374023438</v>
      </c>
      <c r="L20" s="3">
        <v>31.648839950561523</v>
      </c>
      <c r="M20" s="3">
        <v>31.682506561279297</v>
      </c>
      <c r="N20" s="3">
        <v>31.092849731445313</v>
      </c>
      <c r="O20" s="3">
        <v>31.731491088867188</v>
      </c>
      <c r="P20" s="3">
        <v>30.491518020629883</v>
      </c>
      <c r="Q20" s="3">
        <v>32.241886138916016</v>
      </c>
      <c r="R20" s="3">
        <v>31.500383377075195</v>
      </c>
      <c r="S20" s="3">
        <v>30.540143966674805</v>
      </c>
      <c r="T20" s="3">
        <v>31.331392288208008</v>
      </c>
      <c r="U20" s="3">
        <v>30.838720321655273</v>
      </c>
      <c r="V20" s="3">
        <v>31.573810577392578</v>
      </c>
      <c r="W20" s="3">
        <v>31.598133087158203</v>
      </c>
      <c r="X20" s="3">
        <v>30.210638046264648</v>
      </c>
      <c r="Y20" s="3">
        <v>32.469028472900391</v>
      </c>
      <c r="Z20" s="3">
        <v>31.903726577758789</v>
      </c>
      <c r="AA20" s="3">
        <v>31.717761993408203</v>
      </c>
      <c r="AB20" s="3">
        <v>31.713897705078125</v>
      </c>
      <c r="AC20" s="3">
        <v>30.470638275146484</v>
      </c>
      <c r="AD20" s="3">
        <v>31.852521896362305</v>
      </c>
      <c r="AE20" s="3">
        <v>30.958524703979492</v>
      </c>
      <c r="AF20" s="3">
        <v>29.949764251708984</v>
      </c>
      <c r="AG20" s="3">
        <v>30.569221496582031</v>
      </c>
      <c r="AH20" s="393"/>
    </row>
    <row r="21" spans="1:35" ht="30" customHeight="1" x14ac:dyDescent="0.2">
      <c r="A21" s="516"/>
      <c r="B21" s="2" t="s">
        <v>62</v>
      </c>
      <c r="C21" s="36" t="s">
        <v>44</v>
      </c>
      <c r="D21" s="3">
        <v>27.743213653564453</v>
      </c>
      <c r="E21" s="3">
        <v>27.212791442871094</v>
      </c>
      <c r="F21" s="3">
        <v>27.266191482543945</v>
      </c>
      <c r="G21" s="3">
        <v>29.376598358154297</v>
      </c>
      <c r="H21" s="3">
        <v>28.476400375366211</v>
      </c>
      <c r="I21" s="3">
        <v>28.798492431640625</v>
      </c>
      <c r="J21" s="3">
        <v>29.109903335571289</v>
      </c>
      <c r="K21" s="3">
        <v>29.077974319458008</v>
      </c>
      <c r="L21" s="3">
        <v>28.973392486572266</v>
      </c>
      <c r="M21" s="3">
        <v>28.926252365112305</v>
      </c>
      <c r="N21" s="3">
        <v>29.234714508056641</v>
      </c>
      <c r="O21" s="3">
        <v>28.932033538818359</v>
      </c>
      <c r="P21" s="3">
        <v>28.240659713745117</v>
      </c>
      <c r="Q21" s="3">
        <v>28.047494888305664</v>
      </c>
      <c r="R21" s="3">
        <v>27.679775238037109</v>
      </c>
      <c r="S21" s="3">
        <v>27.946916580200195</v>
      </c>
      <c r="T21" s="3">
        <v>26.598114013671875</v>
      </c>
      <c r="U21" s="3">
        <v>28.523670196533203</v>
      </c>
      <c r="V21" s="3">
        <v>28.741641998291016</v>
      </c>
      <c r="W21" s="3">
        <v>28.438873291015625</v>
      </c>
      <c r="X21" s="3">
        <v>27.997711181640625</v>
      </c>
      <c r="Y21" s="3">
        <v>28.375341415405273</v>
      </c>
      <c r="Z21" s="3">
        <v>29.516687393188477</v>
      </c>
      <c r="AA21" s="3">
        <v>29.279092788696289</v>
      </c>
      <c r="AB21" s="3">
        <v>28.566848754882813</v>
      </c>
      <c r="AC21" s="3">
        <v>27.993366241455078</v>
      </c>
      <c r="AD21" s="3">
        <v>28.873014450073242</v>
      </c>
      <c r="AE21" s="3">
        <v>27.815893173217773</v>
      </c>
      <c r="AF21" s="3">
        <v>27.359493255615234</v>
      </c>
      <c r="AG21" s="3">
        <v>28.101823806762695</v>
      </c>
      <c r="AH21" s="393"/>
    </row>
    <row r="22" spans="1:35" ht="30" customHeight="1" x14ac:dyDescent="0.2">
      <c r="A22" s="516" t="s">
        <v>172</v>
      </c>
      <c r="B22" s="4" t="s">
        <v>165</v>
      </c>
      <c r="C22" s="36" t="s">
        <v>166</v>
      </c>
      <c r="D22" s="3">
        <f>Totalizer!D12-Totalizer!C12</f>
        <v>608</v>
      </c>
      <c r="E22" s="3">
        <f>Totalizer!E12-Totalizer!D12</f>
        <v>598</v>
      </c>
      <c r="F22" s="3">
        <f>Totalizer!F12-Totalizer!E12</f>
        <v>632</v>
      </c>
      <c r="G22" s="3">
        <f>Totalizer!G12-Totalizer!F12</f>
        <v>628</v>
      </c>
      <c r="H22" s="3">
        <f>Totalizer!H12-Totalizer!G12</f>
        <v>652</v>
      </c>
      <c r="I22" s="3">
        <f>Totalizer!I12-Totalizer!H12</f>
        <v>642</v>
      </c>
      <c r="J22" s="3">
        <f>Totalizer!J12-Totalizer!I12</f>
        <v>657</v>
      </c>
      <c r="K22" s="3">
        <f>Totalizer!K12-Totalizer!J12</f>
        <v>670</v>
      </c>
      <c r="L22" s="3">
        <f>Totalizer!L12-Totalizer!K12</f>
        <v>672</v>
      </c>
      <c r="M22" s="3">
        <f>Totalizer!M12-Totalizer!L12</f>
        <v>657</v>
      </c>
      <c r="N22" s="3">
        <f>Totalizer!N12-Totalizer!M12</f>
        <v>659</v>
      </c>
      <c r="O22" s="3">
        <f>Totalizer!O12-Totalizer!N12</f>
        <v>665</v>
      </c>
      <c r="P22" s="3">
        <f>Totalizer!P12-Totalizer!O12</f>
        <v>638</v>
      </c>
      <c r="Q22" s="3">
        <f>Totalizer!Q12-Totalizer!P12</f>
        <v>646</v>
      </c>
      <c r="R22" s="3">
        <f>Totalizer!R12-Totalizer!Q12</f>
        <v>629</v>
      </c>
      <c r="S22" s="3">
        <f>Totalizer!S12-Totalizer!R12</f>
        <v>653</v>
      </c>
      <c r="T22" s="3">
        <f>Totalizer!T12-Totalizer!S12</f>
        <v>659</v>
      </c>
      <c r="U22" s="3">
        <f>Totalizer!U12-Totalizer!T12</f>
        <v>644</v>
      </c>
      <c r="V22" s="3">
        <f>Totalizer!V12-Totalizer!U12</f>
        <v>178</v>
      </c>
      <c r="W22" s="3">
        <f>Totalizer!W12-Totalizer!V12</f>
        <v>0</v>
      </c>
      <c r="X22" s="3">
        <f>Totalizer!X12-Totalizer!W12</f>
        <v>69</v>
      </c>
      <c r="Y22" s="3">
        <f>Totalizer!Y12-Totalizer!X12</f>
        <v>633</v>
      </c>
      <c r="Z22" s="3">
        <f>Totalizer!Z12-Totalizer!Y12</f>
        <v>680</v>
      </c>
      <c r="AA22" s="3">
        <f>Totalizer!AA12-Totalizer!Z12</f>
        <v>666</v>
      </c>
      <c r="AB22" s="3">
        <f>Totalizer!AB12-Totalizer!AA12</f>
        <v>666</v>
      </c>
      <c r="AC22" s="3">
        <f>Totalizer!AC12-Totalizer!AB12</f>
        <v>631</v>
      </c>
      <c r="AD22" s="3">
        <f>Totalizer!AD12-Totalizer!AC12</f>
        <v>639</v>
      </c>
      <c r="AE22" s="3">
        <f>Totalizer!AE12-Totalizer!AD12</f>
        <v>667</v>
      </c>
      <c r="AF22" s="3">
        <f>Totalizer!AF12-Totalizer!AE12</f>
        <v>663</v>
      </c>
      <c r="AG22" s="3">
        <f>Totalizer!AG12-Totalizer!AF12</f>
        <v>694</v>
      </c>
      <c r="AH22" s="3"/>
      <c r="AI22" s="393"/>
    </row>
    <row r="23" spans="1:35" ht="30" customHeight="1" x14ac:dyDescent="0.2">
      <c r="A23" s="516"/>
      <c r="B23" s="2" t="s">
        <v>61</v>
      </c>
      <c r="C23" s="36" t="s">
        <v>44</v>
      </c>
      <c r="D23" s="3">
        <v>27.468875885009766</v>
      </c>
      <c r="E23" s="3">
        <v>27.579008102416992</v>
      </c>
      <c r="F23" s="3">
        <v>27.929727554321289</v>
      </c>
      <c r="G23" s="3">
        <v>27.777122497558594</v>
      </c>
      <c r="H23" s="3">
        <v>28.662223815917969</v>
      </c>
      <c r="I23" s="3">
        <v>28.462924957275391</v>
      </c>
      <c r="J23" s="3">
        <v>29.433624267578125</v>
      </c>
      <c r="K23" s="3">
        <v>29.177194595336914</v>
      </c>
      <c r="L23" s="3">
        <v>29.117258071899414</v>
      </c>
      <c r="M23" s="3">
        <v>28.948867797851563</v>
      </c>
      <c r="N23" s="3">
        <v>28.420272827148438</v>
      </c>
      <c r="O23" s="3">
        <v>29.484230041503906</v>
      </c>
      <c r="P23" s="3">
        <v>28.072277069091797</v>
      </c>
      <c r="Q23" s="3">
        <v>29.022451400756836</v>
      </c>
      <c r="R23" s="3">
        <v>27.449617385864258</v>
      </c>
      <c r="S23" s="3">
        <v>28.402101516723633</v>
      </c>
      <c r="T23" s="3">
        <v>28.859611511230469</v>
      </c>
      <c r="U23" s="3">
        <v>28.536996841430664</v>
      </c>
      <c r="V23" s="3">
        <v>28.725839614868164</v>
      </c>
      <c r="W23" s="3">
        <v>6.5492346882820129E-2</v>
      </c>
      <c r="X23" s="3">
        <v>28.090028762817383</v>
      </c>
      <c r="Y23" s="3">
        <v>27.884477615356445</v>
      </c>
      <c r="Z23" s="3">
        <v>30.028160095214844</v>
      </c>
      <c r="AA23" s="3">
        <v>30.235849380493164</v>
      </c>
      <c r="AB23" s="3">
        <v>29.346294403076172</v>
      </c>
      <c r="AC23" s="3">
        <v>28.51289176940918</v>
      </c>
      <c r="AD23" s="3">
        <v>27.907312393188477</v>
      </c>
      <c r="AE23" s="3">
        <v>29.317838668823242</v>
      </c>
      <c r="AF23" s="3">
        <v>29.832035064697266</v>
      </c>
      <c r="AG23" s="3">
        <v>31.332416534423828</v>
      </c>
      <c r="AH23" s="393"/>
    </row>
    <row r="24" spans="1:35" ht="30" customHeight="1" x14ac:dyDescent="0.2">
      <c r="A24" s="516"/>
      <c r="B24" s="2" t="s">
        <v>62</v>
      </c>
      <c r="C24" s="36" t="s">
        <v>44</v>
      </c>
      <c r="D24" s="3">
        <v>23.800539016723633</v>
      </c>
      <c r="E24" s="3">
        <v>22.966575622558594</v>
      </c>
      <c r="F24" s="3">
        <v>24.867485046386719</v>
      </c>
      <c r="G24" s="3">
        <v>25.14105224609375</v>
      </c>
      <c r="H24" s="3">
        <v>26.101137161254883</v>
      </c>
      <c r="I24" s="3">
        <v>25.157127380371094</v>
      </c>
      <c r="J24" s="3">
        <v>26.131326675415039</v>
      </c>
      <c r="K24" s="3">
        <v>27.007194519042969</v>
      </c>
      <c r="L24" s="3">
        <v>26.534027099609375</v>
      </c>
      <c r="M24" s="3">
        <v>26.156993865966797</v>
      </c>
      <c r="N24" s="3">
        <v>26.486200332641602</v>
      </c>
      <c r="O24" s="3">
        <v>26.530838012695313</v>
      </c>
      <c r="P24" s="3">
        <v>25.134757995605469</v>
      </c>
      <c r="Q24" s="3">
        <v>25.342781066894531</v>
      </c>
      <c r="R24" s="3">
        <v>24.780139923095703</v>
      </c>
      <c r="S24" s="3">
        <v>25.711606979370117</v>
      </c>
      <c r="T24" s="3">
        <v>26.374292373657227</v>
      </c>
      <c r="U24" s="3">
        <v>25.564125061035156</v>
      </c>
      <c r="V24" s="3">
        <v>-7.4763521552085876E-2</v>
      </c>
      <c r="W24" s="3">
        <v>-1.9190084189176559E-2</v>
      </c>
      <c r="X24" s="3">
        <v>-0.17318020761013031</v>
      </c>
      <c r="Y24" s="3">
        <v>24.931127548217773</v>
      </c>
      <c r="Z24" s="3">
        <v>27.010238647460938</v>
      </c>
      <c r="AA24" s="3">
        <v>26.564933776855469</v>
      </c>
      <c r="AB24" s="3">
        <v>26.214033126831055</v>
      </c>
      <c r="AC24" s="3">
        <v>24.249332427978516</v>
      </c>
      <c r="AD24" s="3">
        <v>24.944976806640625</v>
      </c>
      <c r="AE24" s="3">
        <v>26.27220344543457</v>
      </c>
      <c r="AF24" s="3">
        <v>26.298147201538086</v>
      </c>
      <c r="AG24" s="3">
        <v>26.610322952270508</v>
      </c>
      <c r="AH24" s="393"/>
    </row>
    <row r="25" spans="1:35" ht="30" customHeight="1" x14ac:dyDescent="0.2">
      <c r="A25" s="516" t="s">
        <v>173</v>
      </c>
      <c r="B25" s="4" t="s">
        <v>165</v>
      </c>
      <c r="C25" s="36" t="s">
        <v>166</v>
      </c>
      <c r="D25" s="3">
        <f>Totalizer!D13-Totalizer!C13</f>
        <v>659</v>
      </c>
      <c r="E25" s="3">
        <f>Totalizer!E13-Totalizer!D13</f>
        <v>662</v>
      </c>
      <c r="F25" s="3">
        <f>Totalizer!F13-Totalizer!E13</f>
        <v>681</v>
      </c>
      <c r="G25" s="3">
        <f>Totalizer!G13-Totalizer!F13</f>
        <v>708</v>
      </c>
      <c r="H25" s="3">
        <f>Totalizer!H13-Totalizer!G13</f>
        <v>687</v>
      </c>
      <c r="I25" s="3">
        <f>Totalizer!I13-Totalizer!H13</f>
        <v>691</v>
      </c>
      <c r="J25" s="3">
        <f>Totalizer!J13-Totalizer!I13</f>
        <v>738</v>
      </c>
      <c r="K25" s="3">
        <f>Totalizer!K13-Totalizer!J13</f>
        <v>722</v>
      </c>
      <c r="L25" s="3">
        <f>Totalizer!L13-Totalizer!K13</f>
        <v>727</v>
      </c>
      <c r="M25" s="3">
        <f>Totalizer!M13-Totalizer!L13</f>
        <v>719</v>
      </c>
      <c r="N25" s="3">
        <f>Totalizer!N13-Totalizer!M13</f>
        <v>698</v>
      </c>
      <c r="O25" s="3">
        <f>Totalizer!O13-Totalizer!N13</f>
        <v>718</v>
      </c>
      <c r="P25" s="3">
        <f>Totalizer!P13-Totalizer!O13</f>
        <v>685</v>
      </c>
      <c r="Q25" s="3">
        <f>Totalizer!Q13-Totalizer!P13</f>
        <v>680</v>
      </c>
      <c r="R25" s="3">
        <f>Totalizer!R13-Totalizer!Q13</f>
        <v>713</v>
      </c>
      <c r="S25" s="3">
        <f>Totalizer!S13-Totalizer!R13</f>
        <v>697</v>
      </c>
      <c r="T25" s="3">
        <f>Totalizer!T13-Totalizer!S13</f>
        <v>704</v>
      </c>
      <c r="U25" s="3">
        <f>Totalizer!U13-Totalizer!T13</f>
        <v>721</v>
      </c>
      <c r="V25" s="3">
        <f>Totalizer!V13-Totalizer!U13</f>
        <v>711</v>
      </c>
      <c r="W25" s="3">
        <f>Totalizer!W13-Totalizer!V13</f>
        <v>678</v>
      </c>
      <c r="X25" s="3">
        <f>Totalizer!X13-Totalizer!W13</f>
        <v>644</v>
      </c>
      <c r="Y25" s="3">
        <f>Totalizer!Y13-Totalizer!X13</f>
        <v>667</v>
      </c>
      <c r="Z25" s="3">
        <f>Totalizer!Z13-Totalizer!Y13</f>
        <v>714</v>
      </c>
      <c r="AA25" s="3">
        <f>Totalizer!AA13-Totalizer!Z13</f>
        <v>715</v>
      </c>
      <c r="AB25" s="3">
        <f>Totalizer!AB13-Totalizer!AA13</f>
        <v>728</v>
      </c>
      <c r="AC25" s="3">
        <f>Totalizer!AC13-Totalizer!AB13</f>
        <v>753</v>
      </c>
      <c r="AD25" s="3">
        <f>Totalizer!AD13-Totalizer!AC13</f>
        <v>717</v>
      </c>
      <c r="AE25" s="3">
        <f>Totalizer!AE13-Totalizer!AD13</f>
        <v>730</v>
      </c>
      <c r="AF25" s="3">
        <f>Totalizer!AF13-Totalizer!AE13</f>
        <v>749</v>
      </c>
      <c r="AG25" s="3">
        <f>Totalizer!AG13-Totalizer!AF13</f>
        <v>719</v>
      </c>
      <c r="AH25" s="3"/>
    </row>
    <row r="26" spans="1:35" ht="30" customHeight="1" x14ac:dyDescent="0.2">
      <c r="A26" s="516"/>
      <c r="B26" s="2" t="s">
        <v>61</v>
      </c>
      <c r="C26" s="36" t="s">
        <v>44</v>
      </c>
      <c r="D26" s="3">
        <v>28.423751831054688</v>
      </c>
      <c r="E26" s="3">
        <v>29.141244888305664</v>
      </c>
      <c r="F26" s="3">
        <v>29.763639450073242</v>
      </c>
      <c r="G26" s="3">
        <v>31.753936767578125</v>
      </c>
      <c r="H26" s="3">
        <v>30.747289657592773</v>
      </c>
      <c r="I26" s="3">
        <v>30.801206588745117</v>
      </c>
      <c r="J26" s="3">
        <v>33.210681915283203</v>
      </c>
      <c r="K26" s="3">
        <v>31.653253555297852</v>
      </c>
      <c r="L26" s="3">
        <v>31.840900421142578</v>
      </c>
      <c r="M26" s="3">
        <v>32.489391326904297</v>
      </c>
      <c r="N26" s="3">
        <v>30.423200607299805</v>
      </c>
      <c r="O26" s="3">
        <v>32.338607788085938</v>
      </c>
      <c r="P26" s="3">
        <v>29.802816390991211</v>
      </c>
      <c r="Q26" s="3">
        <v>29.952032089233398</v>
      </c>
      <c r="R26" s="3">
        <v>30.527294158935547</v>
      </c>
      <c r="S26" s="3">
        <v>30.383241653442383</v>
      </c>
      <c r="T26" s="3">
        <v>30.954660415649414</v>
      </c>
      <c r="U26" s="3">
        <v>32.145729064941406</v>
      </c>
      <c r="V26" s="3">
        <v>31.416769027709961</v>
      </c>
      <c r="W26" s="3">
        <v>31.159345626831055</v>
      </c>
      <c r="X26" s="3">
        <v>29.459840774536133</v>
      </c>
      <c r="Y26" s="3">
        <v>31.976137161254883</v>
      </c>
      <c r="Z26" s="3">
        <v>31.24114990234375</v>
      </c>
      <c r="AA26" s="3">
        <v>31.136190414428711</v>
      </c>
      <c r="AB26" s="3">
        <v>31.99992561340332</v>
      </c>
      <c r="AC26" s="3">
        <v>33.033145904541016</v>
      </c>
      <c r="AD26" s="3">
        <v>31.947776794433594</v>
      </c>
      <c r="AE26" s="3">
        <v>32.114189147949219</v>
      </c>
      <c r="AF26" s="3">
        <v>32.865718841552734</v>
      </c>
      <c r="AG26" s="3">
        <v>31.573871612548828</v>
      </c>
      <c r="AH26" s="393"/>
    </row>
    <row r="27" spans="1:35" ht="30" customHeight="1" x14ac:dyDescent="0.2">
      <c r="A27" s="516"/>
      <c r="B27" s="2" t="s">
        <v>62</v>
      </c>
      <c r="C27" s="36" t="s">
        <v>44</v>
      </c>
      <c r="D27" s="3">
        <v>25.833131790161133</v>
      </c>
      <c r="E27" s="3">
        <v>26.627521514892578</v>
      </c>
      <c r="F27" s="3">
        <v>26.721963882446289</v>
      </c>
      <c r="G27" s="3">
        <v>27.274885177612305</v>
      </c>
      <c r="H27" s="3">
        <v>27.253870010375977</v>
      </c>
      <c r="I27" s="3">
        <v>27.339006423950195</v>
      </c>
      <c r="J27" s="3">
        <v>28.970705032348633</v>
      </c>
      <c r="K27" s="3">
        <v>28.416399002075195</v>
      </c>
      <c r="L27" s="3">
        <v>28.881853103637695</v>
      </c>
      <c r="M27" s="3">
        <v>28.200756072998047</v>
      </c>
      <c r="N27" s="3">
        <v>27.944442749023438</v>
      </c>
      <c r="O27" s="3">
        <v>28.496469497680664</v>
      </c>
      <c r="P27" s="3">
        <v>26.977684020996094</v>
      </c>
      <c r="Q27" s="3">
        <v>26.585456848144531</v>
      </c>
      <c r="R27" s="3">
        <v>28.600826263427734</v>
      </c>
      <c r="S27" s="3">
        <v>27.693777084350586</v>
      </c>
      <c r="T27" s="3">
        <v>28.363323211669922</v>
      </c>
      <c r="U27" s="3">
        <v>28.277238845825195</v>
      </c>
      <c r="V27" s="3">
        <v>28.2550048828125</v>
      </c>
      <c r="W27" s="3">
        <v>25.71238899230957</v>
      </c>
      <c r="X27" s="3">
        <v>24.868278503417969</v>
      </c>
      <c r="Y27" s="3">
        <v>25.948041915893555</v>
      </c>
      <c r="Z27" s="3">
        <v>28.167665481567383</v>
      </c>
      <c r="AA27" s="3">
        <v>28.564918518066406</v>
      </c>
      <c r="AB27" s="3">
        <v>28.643831253051758</v>
      </c>
      <c r="AC27" s="3">
        <v>29.918142318725586</v>
      </c>
      <c r="AD27" s="3">
        <v>28.628623962402344</v>
      </c>
      <c r="AE27" s="3">
        <v>28.395843505859375</v>
      </c>
      <c r="AF27" s="3">
        <v>29.412267684936523</v>
      </c>
      <c r="AG27" s="3">
        <v>28.292015075683594</v>
      </c>
      <c r="AH27" s="393"/>
    </row>
    <row r="28" spans="1:35" ht="30" customHeight="1" x14ac:dyDescent="0.2">
      <c r="A28" s="516" t="s">
        <v>174</v>
      </c>
      <c r="B28" s="4" t="s">
        <v>165</v>
      </c>
      <c r="C28" s="36" t="s">
        <v>44</v>
      </c>
      <c r="D28" s="3">
        <f>Totalizer!D14-Totalizer!C14</f>
        <v>624</v>
      </c>
      <c r="E28" s="3">
        <f>Totalizer!E14-Totalizer!D14</f>
        <v>630</v>
      </c>
      <c r="F28" s="3">
        <f>Totalizer!F14-Totalizer!E14</f>
        <v>637</v>
      </c>
      <c r="G28" s="3">
        <f>Totalizer!G14-Totalizer!F14</f>
        <v>654</v>
      </c>
      <c r="H28" s="3">
        <f>Totalizer!H14-Totalizer!G14</f>
        <v>662</v>
      </c>
      <c r="I28" s="3">
        <f>Totalizer!I14-Totalizer!H14</f>
        <v>665</v>
      </c>
      <c r="J28" s="3">
        <f>Totalizer!J14-Totalizer!I14</f>
        <v>689</v>
      </c>
      <c r="K28" s="3">
        <f>Totalizer!K14-Totalizer!J14</f>
        <v>693</v>
      </c>
      <c r="L28" s="3">
        <f>Totalizer!L14-Totalizer!K14</f>
        <v>694</v>
      </c>
      <c r="M28" s="3">
        <f>Totalizer!M14-Totalizer!L14</f>
        <v>689</v>
      </c>
      <c r="N28" s="3">
        <f>Totalizer!N14-Totalizer!M14</f>
        <v>677</v>
      </c>
      <c r="O28" s="3">
        <f>Totalizer!O14-Totalizer!N14</f>
        <v>682</v>
      </c>
      <c r="P28" s="3">
        <f>Totalizer!P14-Totalizer!O14</f>
        <v>660</v>
      </c>
      <c r="Q28" s="3">
        <f>Totalizer!Q14-Totalizer!P14</f>
        <v>653</v>
      </c>
      <c r="R28" s="3">
        <f>Totalizer!R14-Totalizer!Q14</f>
        <v>676</v>
      </c>
      <c r="S28" s="3">
        <f>Totalizer!S14-Totalizer!R14</f>
        <v>673</v>
      </c>
      <c r="T28" s="3">
        <f>Totalizer!T14-Totalizer!S14</f>
        <v>660</v>
      </c>
      <c r="U28" s="3">
        <f>Totalizer!U14-Totalizer!T14</f>
        <v>691</v>
      </c>
      <c r="V28" s="3">
        <f>Totalizer!V14-Totalizer!U14</f>
        <v>682</v>
      </c>
      <c r="W28" s="3">
        <f>Totalizer!W14-Totalizer!V14</f>
        <v>664</v>
      </c>
      <c r="X28" s="3">
        <f>Totalizer!X14-Totalizer!W14</f>
        <v>636</v>
      </c>
      <c r="Y28" s="3">
        <f>Totalizer!Y14-Totalizer!X14</f>
        <v>646</v>
      </c>
      <c r="Z28" s="3">
        <f>Totalizer!Z14-Totalizer!Y14</f>
        <v>681</v>
      </c>
      <c r="AA28" s="3">
        <f>Totalizer!AA14-Totalizer!Z14</f>
        <v>701</v>
      </c>
      <c r="AB28" s="3">
        <f>Totalizer!AB14-Totalizer!AA14</f>
        <v>724</v>
      </c>
      <c r="AC28" s="3">
        <f>Totalizer!AC14-Totalizer!AB14</f>
        <v>722</v>
      </c>
      <c r="AD28" s="3">
        <f>Totalizer!AD14-Totalizer!AC14</f>
        <v>708</v>
      </c>
      <c r="AE28" s="3">
        <f>Totalizer!AE14-Totalizer!AD14</f>
        <v>712</v>
      </c>
      <c r="AF28" s="3">
        <f>Totalizer!AF14-Totalizer!AE14</f>
        <v>713</v>
      </c>
      <c r="AG28" s="3">
        <f>Totalizer!AG14-Totalizer!AF14</f>
        <v>723</v>
      </c>
      <c r="AH28" s="3"/>
      <c r="AI28" s="393"/>
    </row>
    <row r="29" spans="1:35" ht="30" customHeight="1" x14ac:dyDescent="0.2">
      <c r="A29" s="516"/>
      <c r="B29" s="2" t="s">
        <v>61</v>
      </c>
      <c r="C29" s="36" t="s">
        <v>44</v>
      </c>
      <c r="D29" s="3">
        <v>27.227981567382813</v>
      </c>
      <c r="E29" s="3">
        <v>27.501487731933594</v>
      </c>
      <c r="F29" s="3">
        <v>27.943719863891602</v>
      </c>
      <c r="G29" s="3">
        <v>28.673589706420898</v>
      </c>
      <c r="H29" s="3">
        <v>29.427536010742188</v>
      </c>
      <c r="I29" s="3">
        <v>29.188789367675781</v>
      </c>
      <c r="J29" s="3">
        <v>29.745786666870117</v>
      </c>
      <c r="K29" s="3">
        <v>30.381818771362305</v>
      </c>
      <c r="L29" s="3">
        <v>30.989107131958008</v>
      </c>
      <c r="M29" s="3">
        <v>30.783718109130859</v>
      </c>
      <c r="N29" s="3">
        <v>30.102104187011719</v>
      </c>
      <c r="O29" s="3">
        <v>30.397102355957031</v>
      </c>
      <c r="P29" s="3">
        <v>28.637378692626953</v>
      </c>
      <c r="Q29" s="3">
        <v>29.242982864379883</v>
      </c>
      <c r="R29" s="3">
        <v>29.411508560180664</v>
      </c>
      <c r="S29" s="3">
        <v>29.889873504638672</v>
      </c>
      <c r="T29" s="3">
        <v>28.720890045166016</v>
      </c>
      <c r="U29" s="3">
        <v>30.202035903930664</v>
      </c>
      <c r="V29" s="3">
        <v>29.56501579284668</v>
      </c>
      <c r="W29" s="3">
        <v>29.90534782409668</v>
      </c>
      <c r="X29" s="3">
        <v>27.933017730712891</v>
      </c>
      <c r="Y29" s="3">
        <v>29.126041412353516</v>
      </c>
      <c r="Z29" s="3">
        <v>30.07823371887207</v>
      </c>
      <c r="AA29" s="3">
        <v>31.026861190795898</v>
      </c>
      <c r="AB29" s="3">
        <v>31.712123870849609</v>
      </c>
      <c r="AC29" s="3">
        <v>32.138786315917969</v>
      </c>
      <c r="AD29" s="3">
        <v>30.896398544311523</v>
      </c>
      <c r="AE29" s="3">
        <v>31.853176116943359</v>
      </c>
      <c r="AF29" s="3">
        <v>32.036495208740234</v>
      </c>
      <c r="AG29" s="3">
        <v>32.035110473632813</v>
      </c>
      <c r="AH29" s="393"/>
    </row>
    <row r="30" spans="1:35" ht="30" customHeight="1" x14ac:dyDescent="0.2">
      <c r="A30" s="516"/>
      <c r="B30" s="2" t="s">
        <v>62</v>
      </c>
      <c r="C30" s="36" t="s">
        <v>44</v>
      </c>
      <c r="D30" s="3">
        <v>24.970113754272461</v>
      </c>
      <c r="E30" s="3">
        <v>25.0706787109375</v>
      </c>
      <c r="F30" s="3">
        <v>25.043132781982422</v>
      </c>
      <c r="G30" s="3">
        <v>26.00926399230957</v>
      </c>
      <c r="H30" s="3">
        <v>26.118629455566406</v>
      </c>
      <c r="I30" s="3">
        <v>26.770509719848633</v>
      </c>
      <c r="J30" s="3">
        <v>26.940938949584961</v>
      </c>
      <c r="K30" s="3">
        <v>27.303157806396484</v>
      </c>
      <c r="L30" s="3">
        <v>27.724920272827148</v>
      </c>
      <c r="M30" s="3">
        <v>27.539018630981445</v>
      </c>
      <c r="N30" s="3">
        <v>26.69556999206543</v>
      </c>
      <c r="O30" s="3">
        <v>26.844833374023438</v>
      </c>
      <c r="P30" s="3">
        <v>26.16706657409668</v>
      </c>
      <c r="Q30" s="3">
        <v>25.638456344604492</v>
      </c>
      <c r="R30" s="3">
        <v>26.589481353759766</v>
      </c>
      <c r="S30" s="3">
        <v>26.146673202514648</v>
      </c>
      <c r="T30" s="3">
        <v>25.78150749206543</v>
      </c>
      <c r="U30" s="3">
        <v>27.551855087280273</v>
      </c>
      <c r="V30" s="3">
        <v>26.879390716552734</v>
      </c>
      <c r="W30" s="3">
        <v>25.545146942138672</v>
      </c>
      <c r="X30" s="3">
        <v>24.996442794799805</v>
      </c>
      <c r="Y30" s="3">
        <v>25.536649703979492</v>
      </c>
      <c r="Z30" s="3">
        <v>26.021951675415039</v>
      </c>
      <c r="AA30" s="3">
        <v>27.479707717895508</v>
      </c>
      <c r="AB30" s="3">
        <v>28.463924407958984</v>
      </c>
      <c r="AC30" s="3">
        <v>27.263076782226563</v>
      </c>
      <c r="AD30" s="3">
        <v>28.000669479370117</v>
      </c>
      <c r="AE30" s="3">
        <v>27.673496246337891</v>
      </c>
      <c r="AF30" s="3">
        <v>28.388515472412109</v>
      </c>
      <c r="AG30" s="3">
        <v>28.176498413085938</v>
      </c>
      <c r="AH30" s="393"/>
    </row>
    <row r="31" spans="1:35" s="396" customFormat="1" ht="30" customHeight="1" x14ac:dyDescent="0.2">
      <c r="A31" s="516" t="s">
        <v>175</v>
      </c>
      <c r="B31" s="4" t="s">
        <v>165</v>
      </c>
      <c r="C31" s="36" t="s">
        <v>44</v>
      </c>
      <c r="D31" s="3">
        <f>Totalizer!D15-Totalizer!C15</f>
        <v>647</v>
      </c>
      <c r="E31" s="3">
        <f>Totalizer!E15-Totalizer!D15</f>
        <v>654</v>
      </c>
      <c r="F31" s="3">
        <f>Totalizer!F15-Totalizer!E15</f>
        <v>670</v>
      </c>
      <c r="G31" s="3">
        <f>Totalizer!G15-Totalizer!F15</f>
        <v>692</v>
      </c>
      <c r="H31" s="3">
        <f>Totalizer!H15-Totalizer!G15</f>
        <v>686</v>
      </c>
      <c r="I31" s="3">
        <f>Totalizer!I15-Totalizer!H15</f>
        <v>682</v>
      </c>
      <c r="J31" s="3">
        <f>Totalizer!J15-Totalizer!I15</f>
        <v>720</v>
      </c>
      <c r="K31" s="3">
        <f>Totalizer!K15-Totalizer!J15</f>
        <v>710</v>
      </c>
      <c r="L31" s="3">
        <f>Totalizer!L15-Totalizer!K15</f>
        <v>720</v>
      </c>
      <c r="M31" s="3">
        <f>Totalizer!M15-Totalizer!L15</f>
        <v>709</v>
      </c>
      <c r="N31" s="3">
        <f>Totalizer!N15-Totalizer!M15</f>
        <v>701</v>
      </c>
      <c r="O31" s="3">
        <f>Totalizer!O15-Totalizer!N15</f>
        <v>707</v>
      </c>
      <c r="P31" s="3">
        <f>Totalizer!P15-Totalizer!O15</f>
        <v>685</v>
      </c>
      <c r="Q31" s="3">
        <f>Totalizer!Q15-Totalizer!P15</f>
        <v>673</v>
      </c>
      <c r="R31" s="3">
        <f>Totalizer!R15-Totalizer!Q15</f>
        <v>685</v>
      </c>
      <c r="S31" s="3">
        <f>Totalizer!S15-Totalizer!R15</f>
        <v>673</v>
      </c>
      <c r="T31" s="3">
        <f>Totalizer!T15-Totalizer!S15</f>
        <v>696</v>
      </c>
      <c r="U31" s="3">
        <f>Totalizer!U15-Totalizer!T15</f>
        <v>711</v>
      </c>
      <c r="V31" s="3">
        <f>Totalizer!V15-Totalizer!U15</f>
        <v>696</v>
      </c>
      <c r="W31" s="3">
        <f>Totalizer!W15-Totalizer!V15</f>
        <v>660</v>
      </c>
      <c r="X31" s="3">
        <f>Totalizer!X15-Totalizer!W15</f>
        <v>621</v>
      </c>
      <c r="Y31" s="3">
        <f>Totalizer!Y15-Totalizer!X15</f>
        <v>650</v>
      </c>
      <c r="Z31" s="3">
        <f>Totalizer!Z15-Totalizer!Y15</f>
        <v>691</v>
      </c>
      <c r="AA31" s="3">
        <f>Totalizer!AA15-Totalizer!Z15</f>
        <v>705</v>
      </c>
      <c r="AB31" s="3">
        <f>Totalizer!AB15-Totalizer!AA15</f>
        <v>728</v>
      </c>
      <c r="AC31" s="3">
        <f>Totalizer!AC15-Totalizer!AB15</f>
        <v>728</v>
      </c>
      <c r="AD31" s="3">
        <f>Totalizer!AD15-Totalizer!AC15</f>
        <v>718</v>
      </c>
      <c r="AE31" s="3">
        <f>Totalizer!AE15-Totalizer!AD15</f>
        <v>714</v>
      </c>
      <c r="AF31" s="3">
        <f>Totalizer!AF15-Totalizer!AE15</f>
        <v>730</v>
      </c>
      <c r="AG31" s="3">
        <f>Totalizer!AG15-Totalizer!AF15</f>
        <v>727</v>
      </c>
      <c r="AH31" s="3"/>
    </row>
    <row r="32" spans="1:35" ht="30" customHeight="1" x14ac:dyDescent="0.2">
      <c r="A32" s="516"/>
      <c r="B32" s="2" t="s">
        <v>61</v>
      </c>
      <c r="C32" s="36" t="s">
        <v>44</v>
      </c>
      <c r="D32" s="3">
        <v>28.27874755859375</v>
      </c>
      <c r="E32" s="3">
        <v>28.738067626953125</v>
      </c>
      <c r="F32" s="3">
        <v>29.296463012695313</v>
      </c>
      <c r="G32" s="3">
        <v>30.402992248535156</v>
      </c>
      <c r="H32" s="3">
        <v>29.410066604614258</v>
      </c>
      <c r="I32" s="3">
        <v>29.946111679077148</v>
      </c>
      <c r="J32" s="3">
        <v>31.391523361206055</v>
      </c>
      <c r="K32" s="3">
        <v>30.497100830078125</v>
      </c>
      <c r="L32" s="3">
        <v>31.849002838134766</v>
      </c>
      <c r="M32" s="3">
        <v>31.959751129150391</v>
      </c>
      <c r="N32" s="3">
        <v>31.468761444091797</v>
      </c>
      <c r="O32" s="3">
        <v>31.070209503173828</v>
      </c>
      <c r="P32" s="3">
        <v>30.392549514770508</v>
      </c>
      <c r="Q32" s="3">
        <v>29.496692657470703</v>
      </c>
      <c r="R32" s="3">
        <v>30.037483215332031</v>
      </c>
      <c r="S32" s="3">
        <v>29.169486999511719</v>
      </c>
      <c r="T32" s="3">
        <v>30.868169784545898</v>
      </c>
      <c r="U32" s="3">
        <v>30.970317840576172</v>
      </c>
      <c r="V32" s="3">
        <v>29.992456436157227</v>
      </c>
      <c r="W32" s="3">
        <v>29.16444206237793</v>
      </c>
      <c r="X32" s="3">
        <v>27.194553375244141</v>
      </c>
      <c r="Y32" s="3">
        <v>28.709371566772461</v>
      </c>
      <c r="Z32" s="3">
        <v>30.385215759277344</v>
      </c>
      <c r="AA32" s="3">
        <v>31.105747222900391</v>
      </c>
      <c r="AB32" s="3">
        <v>31.416643142700195</v>
      </c>
      <c r="AC32" s="3">
        <v>32.017818450927734</v>
      </c>
      <c r="AD32" s="3">
        <v>30.934638977050781</v>
      </c>
      <c r="AE32" s="3">
        <v>32.873344421386719</v>
      </c>
      <c r="AF32" s="3">
        <v>32.035121917724609</v>
      </c>
      <c r="AG32" s="3">
        <v>31.556919097900391</v>
      </c>
      <c r="AH32" s="393"/>
    </row>
    <row r="33" spans="1:34" ht="30" customHeight="1" x14ac:dyDescent="0.2">
      <c r="A33" s="516"/>
      <c r="B33" s="2" t="s">
        <v>62</v>
      </c>
      <c r="C33" s="36" t="s">
        <v>44</v>
      </c>
      <c r="D33" s="3">
        <v>25.773834228515625</v>
      </c>
      <c r="E33" s="3">
        <v>25.833320617675781</v>
      </c>
      <c r="F33" s="3">
        <v>26.006288528442383</v>
      </c>
      <c r="G33" s="3">
        <v>27.199764251708984</v>
      </c>
      <c r="H33" s="3">
        <v>27.589515686035156</v>
      </c>
      <c r="I33" s="3">
        <v>27.095212936401367</v>
      </c>
      <c r="J33" s="3">
        <v>28.02501106262207</v>
      </c>
      <c r="K33" s="3">
        <v>28.355323791503906</v>
      </c>
      <c r="L33" s="3">
        <v>28.365627288818359</v>
      </c>
      <c r="M33" s="3">
        <v>27.596485137939453</v>
      </c>
      <c r="N33" s="3">
        <v>27.776105880737305</v>
      </c>
      <c r="O33" s="3">
        <v>27.892339706420898</v>
      </c>
      <c r="P33" s="3">
        <v>27.518167495727539</v>
      </c>
      <c r="Q33" s="3">
        <v>26.651565551757813</v>
      </c>
      <c r="R33" s="3">
        <v>26.452930450439453</v>
      </c>
      <c r="S33" s="3">
        <v>26.928289413452148</v>
      </c>
      <c r="T33" s="3">
        <v>27.562139511108398</v>
      </c>
      <c r="U33" s="3">
        <v>28.432689666748047</v>
      </c>
      <c r="V33" s="3">
        <v>27.574104309082031</v>
      </c>
      <c r="W33" s="3">
        <v>25.371440887451172</v>
      </c>
      <c r="X33" s="3">
        <v>24.744237899780273</v>
      </c>
      <c r="Y33" s="3">
        <v>24.239969253540039</v>
      </c>
      <c r="Z33" s="3">
        <v>27.248235702514648</v>
      </c>
      <c r="AA33" s="3">
        <v>28.171632766723633</v>
      </c>
      <c r="AB33" s="3">
        <v>28.540111541748047</v>
      </c>
      <c r="AC33" s="3">
        <v>28.905910491943359</v>
      </c>
      <c r="AD33" s="3">
        <v>28.49574089050293</v>
      </c>
      <c r="AE33" s="3">
        <v>29.054494857788086</v>
      </c>
      <c r="AF33" s="3">
        <v>28.974567413330078</v>
      </c>
      <c r="AG33" s="3">
        <v>28.934080123901367</v>
      </c>
      <c r="AH33" s="393"/>
    </row>
    <row r="34" spans="1:34" ht="30" customHeight="1" x14ac:dyDescent="0.2">
      <c r="A34" s="516" t="s">
        <v>176</v>
      </c>
      <c r="B34" s="4" t="s">
        <v>165</v>
      </c>
      <c r="C34" s="36" t="s">
        <v>44</v>
      </c>
      <c r="D34" s="3">
        <f>Totalizer!D16-Totalizer!C16</f>
        <v>712</v>
      </c>
      <c r="E34" s="3">
        <f>Totalizer!E16-Totalizer!D16</f>
        <v>701</v>
      </c>
      <c r="F34" s="3">
        <f>Totalizer!F16-Totalizer!E16</f>
        <v>712</v>
      </c>
      <c r="G34" s="3">
        <f>Totalizer!G16-Totalizer!F16</f>
        <v>735</v>
      </c>
      <c r="H34" s="3">
        <f>Totalizer!H16-Totalizer!G16</f>
        <v>732</v>
      </c>
      <c r="I34" s="3">
        <f>Totalizer!I16-Totalizer!H16</f>
        <v>722</v>
      </c>
      <c r="J34" s="3">
        <f>Totalizer!J16-Totalizer!I16</f>
        <v>753</v>
      </c>
      <c r="K34" s="3">
        <f>Totalizer!K16-Totalizer!J16</f>
        <v>750</v>
      </c>
      <c r="L34" s="3">
        <f>Totalizer!L16-Totalizer!K16</f>
        <v>758</v>
      </c>
      <c r="M34" s="3">
        <f>Totalizer!M16-Totalizer!L16</f>
        <v>759</v>
      </c>
      <c r="N34" s="3">
        <f>Totalizer!N16-Totalizer!M16</f>
        <v>748</v>
      </c>
      <c r="O34" s="3">
        <f>Totalizer!O16-Totalizer!N16</f>
        <v>753</v>
      </c>
      <c r="P34" s="3">
        <f>Totalizer!P16-Totalizer!O16</f>
        <v>725</v>
      </c>
      <c r="Q34" s="3">
        <f>Totalizer!Q16-Totalizer!P16</f>
        <v>712</v>
      </c>
      <c r="R34" s="3">
        <f>Totalizer!R16-Totalizer!Q16</f>
        <v>732</v>
      </c>
      <c r="S34" s="3">
        <f>Totalizer!S16-Totalizer!R16</f>
        <v>713</v>
      </c>
      <c r="T34" s="3">
        <f>Totalizer!T16-Totalizer!S16</f>
        <v>735</v>
      </c>
      <c r="U34" s="3">
        <f>Totalizer!U16-Totalizer!T16</f>
        <v>733</v>
      </c>
      <c r="V34" s="3">
        <f>Totalizer!V16-Totalizer!U16</f>
        <v>721</v>
      </c>
      <c r="W34" s="3">
        <f>Totalizer!W16-Totalizer!V16</f>
        <v>738</v>
      </c>
      <c r="X34" s="3">
        <f>Totalizer!X16-Totalizer!W16</f>
        <v>729</v>
      </c>
      <c r="Y34" s="3">
        <f>Totalizer!Y16-Totalizer!X16</f>
        <v>736</v>
      </c>
      <c r="Z34" s="3">
        <f>Totalizer!Z16-Totalizer!Y16</f>
        <v>746</v>
      </c>
      <c r="AA34" s="3">
        <f>Totalizer!AA16-Totalizer!Z16</f>
        <v>759</v>
      </c>
      <c r="AB34" s="3">
        <f>Totalizer!AB16-Totalizer!AA16</f>
        <v>753</v>
      </c>
      <c r="AC34" s="3">
        <f>Totalizer!AC16-Totalizer!AB16</f>
        <v>743</v>
      </c>
      <c r="AD34" s="3">
        <f>Totalizer!AD16-Totalizer!AC16</f>
        <v>741</v>
      </c>
      <c r="AE34" s="3">
        <f>Totalizer!AE16-Totalizer!AD16</f>
        <v>751</v>
      </c>
      <c r="AF34" s="3">
        <f>Totalizer!AF16-Totalizer!AE16</f>
        <v>763</v>
      </c>
      <c r="AG34" s="3">
        <f>Totalizer!AG16-Totalizer!AF16</f>
        <v>770</v>
      </c>
      <c r="AH34" s="3"/>
    </row>
    <row r="35" spans="1:34" ht="30" customHeight="1" x14ac:dyDescent="0.2">
      <c r="A35" s="516"/>
      <c r="B35" s="2" t="s">
        <v>61</v>
      </c>
      <c r="C35" s="36" t="s">
        <v>44</v>
      </c>
      <c r="D35" s="3">
        <v>30.381320953369141</v>
      </c>
      <c r="E35" s="3">
        <v>30.045038223266602</v>
      </c>
      <c r="F35" s="3">
        <v>30.783346176147461</v>
      </c>
      <c r="G35" s="3">
        <v>31.310054779052734</v>
      </c>
      <c r="H35" s="3">
        <v>31.424062728881836</v>
      </c>
      <c r="I35" s="3">
        <v>30.509580612182617</v>
      </c>
      <c r="J35" s="3">
        <v>32.341304779052734</v>
      </c>
      <c r="K35" s="3">
        <v>32.089157104492188</v>
      </c>
      <c r="L35" s="3">
        <v>33.304534912109375</v>
      </c>
      <c r="M35" s="3">
        <v>32.255714416503906</v>
      </c>
      <c r="N35" s="3">
        <v>31.921649932861328</v>
      </c>
      <c r="O35" s="3">
        <v>32.483631134033203</v>
      </c>
      <c r="P35" s="3">
        <v>31.456178665161133</v>
      </c>
      <c r="Q35" s="3">
        <v>30.534406661987305</v>
      </c>
      <c r="R35" s="3">
        <v>32.023983001708984</v>
      </c>
      <c r="S35" s="3">
        <v>30.833051681518555</v>
      </c>
      <c r="T35" s="3">
        <v>32.737419128417969</v>
      </c>
      <c r="U35" s="3">
        <v>31.559148788452148</v>
      </c>
      <c r="V35" s="3">
        <v>30.75531005859375</v>
      </c>
      <c r="W35" s="3">
        <v>31.708929061889648</v>
      </c>
      <c r="X35" s="3">
        <v>31.776227951049805</v>
      </c>
      <c r="Y35" s="3">
        <v>32.431911468505859</v>
      </c>
      <c r="Z35" s="3">
        <v>32.3394775390625</v>
      </c>
      <c r="AA35" s="3">
        <v>32.423843383789063</v>
      </c>
      <c r="AB35" s="3">
        <v>32.145793914794922</v>
      </c>
      <c r="AC35" s="3">
        <v>31.787118911743164</v>
      </c>
      <c r="AD35" s="3">
        <v>32.064189910888672</v>
      </c>
      <c r="AE35" s="3">
        <v>32.526500701904297</v>
      </c>
      <c r="AF35" s="3">
        <v>32.760429382324219</v>
      </c>
      <c r="AG35" s="3">
        <v>33.385677337646484</v>
      </c>
      <c r="AH35" s="393"/>
    </row>
    <row r="36" spans="1:34" ht="30" customHeight="1" x14ac:dyDescent="0.2">
      <c r="A36" s="516"/>
      <c r="B36" s="2" t="s">
        <v>62</v>
      </c>
      <c r="C36" s="36" t="s">
        <v>44</v>
      </c>
      <c r="D36" s="3">
        <v>28.826642990112305</v>
      </c>
      <c r="E36" s="3">
        <v>28.30413818359375</v>
      </c>
      <c r="F36" s="3">
        <v>28.788576126098633</v>
      </c>
      <c r="G36" s="3">
        <v>29.786808013916016</v>
      </c>
      <c r="H36" s="3">
        <v>29.697446823120117</v>
      </c>
      <c r="I36" s="3">
        <v>28.900363922119141</v>
      </c>
      <c r="J36" s="3">
        <v>30.532827377319336</v>
      </c>
      <c r="K36" s="3">
        <v>30.625396728515625</v>
      </c>
      <c r="L36" s="3">
        <v>30.228595733642578</v>
      </c>
      <c r="M36" s="3">
        <v>30.275619506835938</v>
      </c>
      <c r="N36" s="3">
        <v>29.974929809570313</v>
      </c>
      <c r="O36" s="3">
        <v>30.298196792602539</v>
      </c>
      <c r="P36" s="3">
        <v>28.900827407836914</v>
      </c>
      <c r="Q36" s="3">
        <v>28.843038558959961</v>
      </c>
      <c r="R36" s="3">
        <v>29.502243041992188</v>
      </c>
      <c r="S36" s="3">
        <v>28.860055923461914</v>
      </c>
      <c r="T36" s="3">
        <v>29.324630737304688</v>
      </c>
      <c r="U36" s="3">
        <v>29.696279525756836</v>
      </c>
      <c r="V36" s="3">
        <v>29.310617446899414</v>
      </c>
      <c r="W36" s="3">
        <v>29.715188980102539</v>
      </c>
      <c r="X36" s="3">
        <v>29.499116897583008</v>
      </c>
      <c r="Y36" s="3">
        <v>29.784868240356445</v>
      </c>
      <c r="Z36" s="3">
        <v>30.113777160644531</v>
      </c>
      <c r="AA36" s="3">
        <v>31.189128875732422</v>
      </c>
      <c r="AB36" s="3">
        <v>30.362226486206055</v>
      </c>
      <c r="AC36" s="3">
        <v>29.64117431640625</v>
      </c>
      <c r="AD36" s="3">
        <v>30.155176162719727</v>
      </c>
      <c r="AE36" s="3">
        <v>29.655303955078125</v>
      </c>
      <c r="AF36" s="3">
        <v>30.976964950561523</v>
      </c>
      <c r="AG36" s="3">
        <v>30.887086868286133</v>
      </c>
      <c r="AH36" s="393"/>
    </row>
    <row r="37" spans="1:34" ht="30" customHeight="1" x14ac:dyDescent="0.2">
      <c r="A37" s="516" t="s">
        <v>177</v>
      </c>
      <c r="B37" s="4" t="s">
        <v>165</v>
      </c>
      <c r="C37" s="36" t="s">
        <v>44</v>
      </c>
      <c r="D37" s="3">
        <f>Totalizer!D17-Totalizer!C17</f>
        <v>658</v>
      </c>
      <c r="E37" s="3">
        <f>Totalizer!E17-Totalizer!D17</f>
        <v>668</v>
      </c>
      <c r="F37" s="3">
        <f>Totalizer!F17-Totalizer!E17</f>
        <v>672</v>
      </c>
      <c r="G37" s="3">
        <f>Totalizer!G17-Totalizer!F17</f>
        <v>678</v>
      </c>
      <c r="H37" s="3">
        <f>Totalizer!H17-Totalizer!G17</f>
        <v>710</v>
      </c>
      <c r="I37" s="3">
        <f>Totalizer!I17-Totalizer!H17</f>
        <v>671</v>
      </c>
      <c r="J37" s="3">
        <f>Totalizer!J17-Totalizer!I17</f>
        <v>701</v>
      </c>
      <c r="K37" s="3">
        <f>Totalizer!K17-Totalizer!J17</f>
        <v>732</v>
      </c>
      <c r="L37" s="3">
        <f>Totalizer!L17-Totalizer!K17</f>
        <v>705</v>
      </c>
      <c r="M37" s="3">
        <f>Totalizer!M17-Totalizer!L17</f>
        <v>719</v>
      </c>
      <c r="N37" s="3">
        <f>Totalizer!N17-Totalizer!M17</f>
        <v>722</v>
      </c>
      <c r="O37" s="3">
        <f>Totalizer!O17-Totalizer!N17</f>
        <v>707</v>
      </c>
      <c r="P37" s="3">
        <f>Totalizer!P17-Totalizer!O17</f>
        <v>710</v>
      </c>
      <c r="Q37" s="3">
        <f>Totalizer!Q17-Totalizer!P17</f>
        <v>670</v>
      </c>
      <c r="R37" s="3">
        <f>Totalizer!R17-Totalizer!Q17</f>
        <v>690</v>
      </c>
      <c r="S37" s="3">
        <f>Totalizer!S17-Totalizer!R17</f>
        <v>688</v>
      </c>
      <c r="T37" s="3">
        <f>Totalizer!T17-Totalizer!S17</f>
        <v>669</v>
      </c>
      <c r="U37" s="3">
        <f>Totalizer!U17-Totalizer!T17</f>
        <v>703</v>
      </c>
      <c r="V37" s="3">
        <f>Totalizer!V17-Totalizer!U17</f>
        <v>702</v>
      </c>
      <c r="W37" s="3">
        <f>Totalizer!W17-Totalizer!V17</f>
        <v>681</v>
      </c>
      <c r="X37" s="3">
        <f>Totalizer!X17-Totalizer!W17</f>
        <v>714</v>
      </c>
      <c r="Y37" s="3">
        <f>Totalizer!Y17-Totalizer!X17</f>
        <v>706</v>
      </c>
      <c r="Z37" s="3">
        <f>Totalizer!Z17-Totalizer!Y17</f>
        <v>690</v>
      </c>
      <c r="AA37" s="3">
        <f>Totalizer!AA17-Totalizer!Z17</f>
        <v>728</v>
      </c>
      <c r="AB37" s="3">
        <f>Totalizer!AB17-Totalizer!AA17</f>
        <v>738</v>
      </c>
      <c r="AC37" s="3">
        <f>Totalizer!AC17-Totalizer!AB17</f>
        <v>729</v>
      </c>
      <c r="AD37" s="3">
        <f>Totalizer!AD17-Totalizer!AC17</f>
        <v>737</v>
      </c>
      <c r="AE37" s="3">
        <f>Totalizer!AE17-Totalizer!AD17</f>
        <v>712</v>
      </c>
      <c r="AF37" s="3">
        <f>Totalizer!AF17-Totalizer!AE17</f>
        <v>739</v>
      </c>
      <c r="AG37" s="3">
        <f>Totalizer!AG17-Totalizer!AF17</f>
        <v>730</v>
      </c>
      <c r="AH37" s="3"/>
    </row>
    <row r="38" spans="1:34" ht="30" customHeight="1" x14ac:dyDescent="0.2">
      <c r="A38" s="516"/>
      <c r="B38" s="2" t="s">
        <v>61</v>
      </c>
      <c r="C38" s="36" t="s">
        <v>44</v>
      </c>
      <c r="D38" s="3">
        <v>28.8094482421875</v>
      </c>
      <c r="E38" s="3">
        <v>29.639999389648438</v>
      </c>
      <c r="F38" s="3">
        <v>29.469112396240234</v>
      </c>
      <c r="G38" s="3">
        <v>30.841894149780273</v>
      </c>
      <c r="H38" s="3">
        <v>30.371904373168945</v>
      </c>
      <c r="I38" s="3">
        <v>29.617115020751953</v>
      </c>
      <c r="J38" s="3">
        <v>31.90904426574707</v>
      </c>
      <c r="K38" s="3">
        <v>32.130931854248047</v>
      </c>
      <c r="L38" s="3">
        <v>30.438379287719727</v>
      </c>
      <c r="M38" s="3">
        <v>31.826393127441406</v>
      </c>
      <c r="N38" s="3">
        <v>31.16984748840332</v>
      </c>
      <c r="O38" s="3">
        <v>30.999248504638672</v>
      </c>
      <c r="P38" s="3">
        <v>30.90521240234375</v>
      </c>
      <c r="Q38" s="3">
        <v>29.413299560546875</v>
      </c>
      <c r="R38" s="3">
        <v>29.784879684448242</v>
      </c>
      <c r="S38" s="3">
        <v>30.495630264282227</v>
      </c>
      <c r="T38" s="3">
        <v>29.787755966186523</v>
      </c>
      <c r="U38" s="3">
        <v>31.221464157104492</v>
      </c>
      <c r="V38" s="3">
        <v>29.390701293945313</v>
      </c>
      <c r="W38" s="3">
        <v>30.178379058837891</v>
      </c>
      <c r="X38" s="3">
        <v>30.904417037963867</v>
      </c>
      <c r="Y38" s="3">
        <v>32.530540466308594</v>
      </c>
      <c r="Z38" s="3">
        <v>31.357870101928711</v>
      </c>
      <c r="AA38" s="3">
        <v>31.860300064086914</v>
      </c>
      <c r="AB38" s="3">
        <v>32.335102081298828</v>
      </c>
      <c r="AC38" s="3">
        <v>32.516239166259766</v>
      </c>
      <c r="AD38" s="3">
        <v>31.917919158935547</v>
      </c>
      <c r="AE38" s="3">
        <v>31.658151626586914</v>
      </c>
      <c r="AF38" s="3">
        <v>32.505542755126953</v>
      </c>
      <c r="AG38" s="3">
        <v>31.427350997924805</v>
      </c>
      <c r="AH38" s="393"/>
    </row>
    <row r="39" spans="1:34" ht="30" customHeight="1" x14ac:dyDescent="0.2">
      <c r="A39" s="516"/>
      <c r="B39" s="2" t="s">
        <v>62</v>
      </c>
      <c r="C39" s="36" t="s">
        <v>44</v>
      </c>
      <c r="D39" s="3">
        <v>25.666225433349609</v>
      </c>
      <c r="E39" s="3">
        <v>26.441492080688477</v>
      </c>
      <c r="F39" s="3">
        <v>26.576665878295898</v>
      </c>
      <c r="G39" s="3">
        <v>27.552928924560547</v>
      </c>
      <c r="H39" s="3">
        <v>27.493099212646484</v>
      </c>
      <c r="I39" s="3">
        <v>26.426198959350586</v>
      </c>
      <c r="J39" s="3">
        <v>28.724836349487305</v>
      </c>
      <c r="K39" s="3">
        <v>29.158647537231445</v>
      </c>
      <c r="L39" s="3">
        <v>27.751291275024414</v>
      </c>
      <c r="M39" s="3">
        <v>28.987970352172852</v>
      </c>
      <c r="N39" s="3">
        <v>28.051822662353516</v>
      </c>
      <c r="O39" s="3">
        <v>27.936807632446289</v>
      </c>
      <c r="P39" s="3">
        <v>27.089536666870117</v>
      </c>
      <c r="Q39" s="3">
        <v>26.751310348510742</v>
      </c>
      <c r="R39" s="3">
        <v>27.173831939697266</v>
      </c>
      <c r="S39" s="3">
        <v>27.153095245361328</v>
      </c>
      <c r="T39" s="3">
        <v>27.047430038452148</v>
      </c>
      <c r="U39" s="3">
        <v>28.632503509521484</v>
      </c>
      <c r="V39" s="3">
        <v>27.177528381347656</v>
      </c>
      <c r="W39" s="3">
        <v>27.647237777709961</v>
      </c>
      <c r="X39" s="3">
        <v>28.434669494628906</v>
      </c>
      <c r="Y39" s="3">
        <v>27.931772232055664</v>
      </c>
      <c r="Z39" s="3">
        <v>27.808481216430664</v>
      </c>
      <c r="AA39" s="3">
        <v>29.368705749511719</v>
      </c>
      <c r="AB39" s="3">
        <v>28.520160675048828</v>
      </c>
      <c r="AC39" s="3">
        <v>29.699680328369141</v>
      </c>
      <c r="AD39" s="3">
        <v>28.134832382202148</v>
      </c>
      <c r="AE39" s="3">
        <v>28.344944000244141</v>
      </c>
      <c r="AF39" s="3">
        <v>28.067218780517578</v>
      </c>
      <c r="AG39" s="3">
        <v>28.437475204467773</v>
      </c>
      <c r="AH39" s="393"/>
    </row>
    <row r="40" spans="1:34" ht="30" customHeight="1" x14ac:dyDescent="0.2">
      <c r="A40" s="517" t="s">
        <v>178</v>
      </c>
      <c r="B40" s="4" t="s">
        <v>165</v>
      </c>
      <c r="C40" s="36" t="s">
        <v>44</v>
      </c>
      <c r="D40" s="3">
        <f>Totalizer!D18-Totalizer!C18</f>
        <v>661</v>
      </c>
      <c r="E40" s="3">
        <f>Totalizer!E18-Totalizer!D18</f>
        <v>673</v>
      </c>
      <c r="F40" s="3">
        <f>Totalizer!F18-Totalizer!E18</f>
        <v>688</v>
      </c>
      <c r="G40" s="3">
        <f>Totalizer!G18-Totalizer!F18</f>
        <v>698</v>
      </c>
      <c r="H40" s="3">
        <f>Totalizer!H18-Totalizer!G18</f>
        <v>703</v>
      </c>
      <c r="I40" s="3">
        <f>Totalizer!I18-Totalizer!H18</f>
        <v>660</v>
      </c>
      <c r="J40" s="3">
        <f>Totalizer!J18-Totalizer!I18</f>
        <v>621</v>
      </c>
      <c r="K40" s="3">
        <f>Totalizer!K18-Totalizer!J18</f>
        <v>609</v>
      </c>
      <c r="L40" s="3">
        <f>Totalizer!L18-Totalizer!K18</f>
        <v>679</v>
      </c>
      <c r="M40" s="3">
        <f>Totalizer!M18-Totalizer!L18</f>
        <v>692</v>
      </c>
      <c r="N40" s="3">
        <f>Totalizer!N18-Totalizer!M18</f>
        <v>669</v>
      </c>
      <c r="O40" s="3">
        <f>Totalizer!O18-Totalizer!N18</f>
        <v>711</v>
      </c>
      <c r="P40" s="3">
        <f>Totalizer!P18-Totalizer!O18</f>
        <v>685</v>
      </c>
      <c r="Q40" s="3">
        <f>Totalizer!Q18-Totalizer!P18</f>
        <v>691</v>
      </c>
      <c r="R40" s="3">
        <f>Totalizer!R18-Totalizer!Q18</f>
        <v>689</v>
      </c>
      <c r="S40" s="3">
        <f>Totalizer!S18-Totalizer!R18</f>
        <v>709</v>
      </c>
      <c r="T40" s="3">
        <f>Totalizer!T18-Totalizer!S18</f>
        <v>691</v>
      </c>
      <c r="U40" s="3">
        <f>Totalizer!U18-Totalizer!T18</f>
        <v>688</v>
      </c>
      <c r="V40" s="3">
        <f>Totalizer!V18-Totalizer!U18</f>
        <v>697</v>
      </c>
      <c r="W40" s="3">
        <f>Totalizer!W18-Totalizer!V18</f>
        <v>711</v>
      </c>
      <c r="X40" s="3">
        <f>Totalizer!X18-Totalizer!W18</f>
        <v>693</v>
      </c>
      <c r="Y40" s="3">
        <f>Totalizer!Y18-Totalizer!X18</f>
        <v>704</v>
      </c>
      <c r="Z40" s="3">
        <f>Totalizer!Z18-Totalizer!Y18</f>
        <v>701</v>
      </c>
      <c r="AA40" s="3">
        <f>Totalizer!AA18-Totalizer!Z18</f>
        <v>714</v>
      </c>
      <c r="AB40" s="3">
        <f>Totalizer!AB18-Totalizer!AA18</f>
        <v>735</v>
      </c>
      <c r="AC40" s="3">
        <f>Totalizer!AC18-Totalizer!AB18</f>
        <v>728</v>
      </c>
      <c r="AD40" s="3">
        <f>Totalizer!AD18-Totalizer!AC18</f>
        <v>735</v>
      </c>
      <c r="AE40" s="3">
        <f>Totalizer!AE18-Totalizer!AD18</f>
        <v>742</v>
      </c>
      <c r="AF40" s="3">
        <f>Totalizer!AF18-Totalizer!AE18</f>
        <v>730</v>
      </c>
      <c r="AG40" s="3">
        <f>Totalizer!AG18-Totalizer!AF18</f>
        <v>748</v>
      </c>
      <c r="AH40" s="3"/>
    </row>
    <row r="41" spans="1:34" ht="30" customHeight="1" x14ac:dyDescent="0.2">
      <c r="A41" s="517"/>
      <c r="B41" s="2" t="s">
        <v>61</v>
      </c>
      <c r="C41" s="36" t="s">
        <v>44</v>
      </c>
      <c r="D41" s="3">
        <v>29.22559928894043</v>
      </c>
      <c r="E41" s="3">
        <v>27.656650543212891</v>
      </c>
      <c r="F41" s="3">
        <v>29.583953857421875</v>
      </c>
      <c r="G41" s="3">
        <v>31.475954055786133</v>
      </c>
      <c r="H41" s="3">
        <v>30.375553131103516</v>
      </c>
      <c r="I41" s="3">
        <v>28.610095977783203</v>
      </c>
      <c r="J41" s="3">
        <v>28.227384567260742</v>
      </c>
      <c r="K41" s="3">
        <v>26.102807998657227</v>
      </c>
      <c r="L41" s="3">
        <v>29.862331390380859</v>
      </c>
      <c r="M41" s="3">
        <v>30.305538177490234</v>
      </c>
      <c r="N41" s="3">
        <v>29.424362182617188</v>
      </c>
      <c r="O41" s="3">
        <v>30.525859832763672</v>
      </c>
      <c r="P41" s="3">
        <v>29.673055648803711</v>
      </c>
      <c r="Q41" s="3">
        <v>30.247211456298828</v>
      </c>
      <c r="R41" s="3">
        <v>29.581277847290039</v>
      </c>
      <c r="S41" s="3">
        <v>28.982776641845703</v>
      </c>
      <c r="T41" s="3">
        <v>30.172346115112305</v>
      </c>
      <c r="U41" s="3">
        <v>29.604724884033203</v>
      </c>
      <c r="V41" s="3">
        <v>30.63154411315918</v>
      </c>
      <c r="W41" s="3">
        <v>31.783309936523438</v>
      </c>
      <c r="X41" s="3">
        <v>29.345979690551758</v>
      </c>
      <c r="Y41" s="3">
        <v>31.116426467895508</v>
      </c>
      <c r="Z41" s="3">
        <v>30.394102096557617</v>
      </c>
      <c r="AA41" s="3">
        <v>31.786111831665039</v>
      </c>
      <c r="AB41" s="3">
        <v>31.517486572265625</v>
      </c>
      <c r="AC41" s="91">
        <v>31.961200714111328</v>
      </c>
      <c r="AD41" s="91">
        <v>32.47235107421875</v>
      </c>
      <c r="AE41" s="3">
        <v>31.984865188598633</v>
      </c>
      <c r="AF41" s="3">
        <v>32.171161651611328</v>
      </c>
      <c r="AG41" s="3">
        <v>32.648921966552734</v>
      </c>
      <c r="AH41" s="393"/>
    </row>
    <row r="42" spans="1:34" ht="30" customHeight="1" x14ac:dyDescent="0.2">
      <c r="A42" s="517"/>
      <c r="B42" s="2" t="s">
        <v>62</v>
      </c>
      <c r="C42" s="36" t="s">
        <v>44</v>
      </c>
      <c r="D42" s="3">
        <v>26.413759231567383</v>
      </c>
      <c r="E42" s="3">
        <v>25.809144973754883</v>
      </c>
      <c r="F42" s="3">
        <v>27.826908111572266</v>
      </c>
      <c r="G42" s="3">
        <v>27.713047027587891</v>
      </c>
      <c r="H42" s="3">
        <v>27.724519729614258</v>
      </c>
      <c r="I42" s="3">
        <v>26.194293975830078</v>
      </c>
      <c r="J42" s="3">
        <v>22.596141815185547</v>
      </c>
      <c r="K42" s="3">
        <v>23.380701065063477</v>
      </c>
      <c r="L42" s="3">
        <v>26.469768524169922</v>
      </c>
      <c r="M42" s="3">
        <v>27.821878433227539</v>
      </c>
      <c r="N42" s="3">
        <v>27.043210983276367</v>
      </c>
      <c r="O42" s="3">
        <v>27.575643539428711</v>
      </c>
      <c r="P42" s="3">
        <v>26.990541458129883</v>
      </c>
      <c r="Q42" s="3">
        <v>27.7918701171875</v>
      </c>
      <c r="R42" s="3">
        <v>27.281866073608398</v>
      </c>
      <c r="S42" s="3">
        <v>26.701591491699219</v>
      </c>
      <c r="T42" s="3">
        <v>28.1416015625</v>
      </c>
      <c r="U42" s="3">
        <v>27.328357696533203</v>
      </c>
      <c r="V42" s="3">
        <v>27.853179931640625</v>
      </c>
      <c r="W42" s="3">
        <v>28.235244750976563</v>
      </c>
      <c r="X42" s="3">
        <v>27.600955963134766</v>
      </c>
      <c r="Y42" s="3">
        <v>27.814958572387695</v>
      </c>
      <c r="Z42" s="3">
        <v>28.442115783691406</v>
      </c>
      <c r="AA42" s="3">
        <v>27.941617965698242</v>
      </c>
      <c r="AB42" s="3">
        <v>29.172588348388672</v>
      </c>
      <c r="AC42" s="91">
        <v>29.006963729858398</v>
      </c>
      <c r="AD42" s="91">
        <v>29.71394157409668</v>
      </c>
      <c r="AE42" s="3">
        <v>29.616914749145508</v>
      </c>
      <c r="AF42" s="3">
        <v>28.692686080932617</v>
      </c>
      <c r="AG42" s="3">
        <v>30.012613296508789</v>
      </c>
      <c r="AH42" s="393"/>
    </row>
    <row r="43" spans="1:34" ht="30" customHeight="1" x14ac:dyDescent="0.2">
      <c r="A43" s="517" t="s">
        <v>179</v>
      </c>
      <c r="B43" s="4" t="s">
        <v>165</v>
      </c>
      <c r="C43" s="36" t="s">
        <v>44</v>
      </c>
      <c r="D43" s="3">
        <f>Totalizer!D19-Totalizer!C19</f>
        <v>655</v>
      </c>
      <c r="E43" s="3">
        <f>Totalizer!E19-Totalizer!D19</f>
        <v>646</v>
      </c>
      <c r="F43" s="3">
        <f>Totalizer!F19-Totalizer!E19</f>
        <v>662</v>
      </c>
      <c r="G43" s="3">
        <f>Totalizer!G19-Totalizer!F19</f>
        <v>687</v>
      </c>
      <c r="H43" s="3">
        <f>Totalizer!H19-Totalizer!G19</f>
        <v>686</v>
      </c>
      <c r="I43" s="3">
        <f>Totalizer!I19-Totalizer!H19</f>
        <v>662</v>
      </c>
      <c r="J43" s="3">
        <f>Totalizer!J19-Totalizer!I19</f>
        <v>627</v>
      </c>
      <c r="K43" s="3">
        <f>Totalizer!K19-Totalizer!J19</f>
        <v>588</v>
      </c>
      <c r="L43" s="3">
        <f>Totalizer!L19-Totalizer!K19</f>
        <v>668</v>
      </c>
      <c r="M43" s="3">
        <f>Totalizer!M19-Totalizer!L19</f>
        <v>679</v>
      </c>
      <c r="N43" s="3">
        <f>Totalizer!N19-Totalizer!M19</f>
        <v>660</v>
      </c>
      <c r="O43" s="3">
        <f>Totalizer!O19-Totalizer!N19</f>
        <v>707</v>
      </c>
      <c r="P43" s="3">
        <f>Totalizer!P19-Totalizer!O19</f>
        <v>674</v>
      </c>
      <c r="Q43" s="3">
        <f>Totalizer!Q19-Totalizer!P19</f>
        <v>686</v>
      </c>
      <c r="R43" s="3">
        <f>Totalizer!R19-Totalizer!Q19</f>
        <v>678</v>
      </c>
      <c r="S43" s="3">
        <f>Totalizer!S19-Totalizer!R19</f>
        <v>671</v>
      </c>
      <c r="T43" s="3">
        <f>Totalizer!T19-Totalizer!S19</f>
        <v>682</v>
      </c>
      <c r="U43" s="3">
        <f>Totalizer!U19-Totalizer!T19</f>
        <v>696</v>
      </c>
      <c r="V43" s="3">
        <f>Totalizer!V19-Totalizer!U19</f>
        <v>694</v>
      </c>
      <c r="W43" s="3">
        <f>Totalizer!W19-Totalizer!V19</f>
        <v>715</v>
      </c>
      <c r="X43" s="3">
        <f>Totalizer!X19-Totalizer!W19</f>
        <v>717</v>
      </c>
      <c r="Y43" s="3">
        <f>Totalizer!Y19-Totalizer!X19</f>
        <v>695</v>
      </c>
      <c r="Z43" s="3">
        <f>Totalizer!Z19-Totalizer!Y19</f>
        <v>710</v>
      </c>
      <c r="AA43" s="3">
        <f>Totalizer!AA19-Totalizer!Z19</f>
        <v>719</v>
      </c>
      <c r="AB43" s="3">
        <f>Totalizer!AB19-Totalizer!AA19</f>
        <v>723</v>
      </c>
      <c r="AC43" s="3">
        <f>Totalizer!AC19-Totalizer!AB19</f>
        <v>732</v>
      </c>
      <c r="AD43" s="3">
        <f>Totalizer!AD19-Totalizer!AC19</f>
        <v>726</v>
      </c>
      <c r="AE43" s="3">
        <f>Totalizer!AE19-Totalizer!AD19</f>
        <v>734</v>
      </c>
      <c r="AF43" s="3">
        <f>Totalizer!AF19-Totalizer!AE19</f>
        <v>720</v>
      </c>
      <c r="AG43" s="3">
        <f>Totalizer!AG19-Totalizer!AF19</f>
        <v>744</v>
      </c>
      <c r="AH43" s="3"/>
    </row>
    <row r="44" spans="1:34" ht="30" customHeight="1" x14ac:dyDescent="0.2">
      <c r="A44" s="517"/>
      <c r="B44" s="2" t="s">
        <v>61</v>
      </c>
      <c r="C44" s="36" t="s">
        <v>44</v>
      </c>
      <c r="D44" s="3">
        <v>29.22559928894043</v>
      </c>
      <c r="E44" s="3">
        <v>27.656650543212891</v>
      </c>
      <c r="F44" s="3">
        <v>29.217414855957031</v>
      </c>
      <c r="G44" s="3">
        <v>30.642070770263672</v>
      </c>
      <c r="H44" s="3">
        <v>29.718271255493164</v>
      </c>
      <c r="I44" s="3">
        <v>28.939876556396484</v>
      </c>
      <c r="J44" s="3">
        <v>28.227384567260742</v>
      </c>
      <c r="K44" s="3">
        <v>26.102807998657227</v>
      </c>
      <c r="L44" s="3">
        <v>29.862331390380859</v>
      </c>
      <c r="M44" s="3">
        <v>29.8909912109375</v>
      </c>
      <c r="N44" s="3">
        <v>28.952037811279297</v>
      </c>
      <c r="O44" s="3">
        <v>29.515647888183594</v>
      </c>
      <c r="P44" s="3">
        <v>29.661401748657227</v>
      </c>
      <c r="Q44" s="3">
        <v>30.241455078125</v>
      </c>
      <c r="R44" s="3">
        <v>29.581277847290039</v>
      </c>
      <c r="S44" s="3">
        <v>28.982776641845703</v>
      </c>
      <c r="T44" s="3">
        <v>29.883094787597656</v>
      </c>
      <c r="U44" s="3">
        <v>29.764793395996094</v>
      </c>
      <c r="V44" s="3">
        <v>30.209621429443359</v>
      </c>
      <c r="W44" s="3">
        <v>31.576112747192383</v>
      </c>
      <c r="X44" s="3">
        <v>31.564981460571289</v>
      </c>
      <c r="Y44" s="3">
        <v>31.116426467895508</v>
      </c>
      <c r="Z44" s="3">
        <v>30.999847412109375</v>
      </c>
      <c r="AA44" s="3">
        <v>30.949073791503906</v>
      </c>
      <c r="AB44" s="3">
        <v>31.517486572265625</v>
      </c>
      <c r="AC44" s="91">
        <v>31.961200714111328</v>
      </c>
      <c r="AD44" s="91">
        <v>31.974353790283203</v>
      </c>
      <c r="AE44" s="3">
        <v>32.282382965087891</v>
      </c>
      <c r="AF44" s="3">
        <v>32.171161651611328</v>
      </c>
      <c r="AG44" s="3">
        <v>32.460563659667969</v>
      </c>
      <c r="AH44" s="393"/>
    </row>
    <row r="45" spans="1:34" ht="30" customHeight="1" x14ac:dyDescent="0.2">
      <c r="A45" s="517"/>
      <c r="B45" s="2" t="s">
        <v>62</v>
      </c>
      <c r="C45" s="36" t="s">
        <v>44</v>
      </c>
      <c r="D45" s="3">
        <v>26.413759231567383</v>
      </c>
      <c r="E45" s="3">
        <v>25.809144973754883</v>
      </c>
      <c r="F45" s="3">
        <v>26.191976547241211</v>
      </c>
      <c r="G45" s="3">
        <v>27.225957870483398</v>
      </c>
      <c r="H45" s="3">
        <v>27.138078689575195</v>
      </c>
      <c r="I45" s="3">
        <v>26.710779190063477</v>
      </c>
      <c r="J45" s="3">
        <v>22.596141815185547</v>
      </c>
      <c r="K45" s="3">
        <v>23.380701065063477</v>
      </c>
      <c r="L45" s="3">
        <v>26.469768524169922</v>
      </c>
      <c r="M45" s="3">
        <v>27.242902755737305</v>
      </c>
      <c r="N45" s="3">
        <v>26.766056060791016</v>
      </c>
      <c r="O45" s="3">
        <v>27.982561111450195</v>
      </c>
      <c r="P45" s="3">
        <v>26.795629501342773</v>
      </c>
      <c r="Q45" s="3">
        <v>27.841102600097656</v>
      </c>
      <c r="R45" s="3">
        <v>27.281866073608398</v>
      </c>
      <c r="S45" s="3">
        <v>26.701591491699219</v>
      </c>
      <c r="T45" s="3">
        <v>27.752317428588867</v>
      </c>
      <c r="U45" s="3">
        <v>27.531671524047852</v>
      </c>
      <c r="V45" s="3">
        <v>28.188251495361328</v>
      </c>
      <c r="W45" s="3">
        <v>28.15711784362793</v>
      </c>
      <c r="X45" s="3">
        <v>28.386838912963867</v>
      </c>
      <c r="Y45" s="3">
        <v>27.814958572387695</v>
      </c>
      <c r="Z45" s="3">
        <v>28.221298217773438</v>
      </c>
      <c r="AA45" s="3">
        <v>28.887886047363281</v>
      </c>
      <c r="AB45" s="3">
        <v>29.172588348388672</v>
      </c>
      <c r="AC45" s="91">
        <v>29.006963729858398</v>
      </c>
      <c r="AD45" s="91">
        <v>29.807767868041992</v>
      </c>
      <c r="AE45" s="3">
        <v>29.046712875366211</v>
      </c>
      <c r="AF45" s="3">
        <v>28.692686080932617</v>
      </c>
      <c r="AG45" s="3">
        <v>29.563816070556641</v>
      </c>
      <c r="AH45" s="393"/>
    </row>
    <row r="46" spans="1:34" ht="30" customHeight="1" x14ac:dyDescent="0.2">
      <c r="A46" s="517" t="s">
        <v>180</v>
      </c>
      <c r="B46" s="4" t="s">
        <v>165</v>
      </c>
      <c r="C46" s="36" t="s">
        <v>44</v>
      </c>
      <c r="D46" s="3">
        <f>Totalizer!D20-Totalizer!C20</f>
        <v>636</v>
      </c>
      <c r="E46" s="3">
        <f>Totalizer!E20-Totalizer!D20</f>
        <v>629</v>
      </c>
      <c r="F46" s="3">
        <f>Totalizer!F20-Totalizer!E20</f>
        <v>654</v>
      </c>
      <c r="G46" s="3">
        <f>Totalizer!G20-Totalizer!F20</f>
        <v>670</v>
      </c>
      <c r="H46" s="3">
        <f>Totalizer!H20-Totalizer!G20</f>
        <v>660</v>
      </c>
      <c r="I46" s="3">
        <f>Totalizer!I20-Totalizer!H20</f>
        <v>639</v>
      </c>
      <c r="J46" s="3">
        <f>Totalizer!J20-Totalizer!I20</f>
        <v>614</v>
      </c>
      <c r="K46" s="3">
        <f>Totalizer!K20-Totalizer!J20</f>
        <v>595</v>
      </c>
      <c r="L46" s="3">
        <f>Totalizer!L20-Totalizer!K20</f>
        <v>654</v>
      </c>
      <c r="M46" s="3">
        <f>Totalizer!M20-Totalizer!L20</f>
        <v>649</v>
      </c>
      <c r="N46" s="3">
        <f>Totalizer!N20-Totalizer!M20</f>
        <v>630</v>
      </c>
      <c r="O46" s="3">
        <f>Totalizer!O20-Totalizer!N20</f>
        <v>683</v>
      </c>
      <c r="P46" s="3">
        <f>Totalizer!P20-Totalizer!O20</f>
        <v>654</v>
      </c>
      <c r="Q46" s="3">
        <f>Totalizer!Q20-Totalizer!P20</f>
        <v>643</v>
      </c>
      <c r="R46" s="3">
        <f>Totalizer!R20-Totalizer!Q20</f>
        <v>657</v>
      </c>
      <c r="S46" s="3">
        <f>Totalizer!S20-Totalizer!R20</f>
        <v>658</v>
      </c>
      <c r="T46" s="3">
        <f>Totalizer!T20-Totalizer!S20</f>
        <v>657</v>
      </c>
      <c r="U46" s="3">
        <f>Totalizer!U20-Totalizer!T20</f>
        <v>680</v>
      </c>
      <c r="V46" s="3">
        <f>Totalizer!V20-Totalizer!U20</f>
        <v>662</v>
      </c>
      <c r="W46" s="3">
        <f>Totalizer!W20-Totalizer!V20</f>
        <v>685</v>
      </c>
      <c r="X46" s="3">
        <f>Totalizer!X20-Totalizer!W20</f>
        <v>679</v>
      </c>
      <c r="Y46" s="3">
        <f>Totalizer!Y20-Totalizer!X20</f>
        <v>669</v>
      </c>
      <c r="Z46" s="3">
        <f>Totalizer!Z20-Totalizer!Y20</f>
        <v>678</v>
      </c>
      <c r="AA46" s="3">
        <f>Totalizer!AA20-Totalizer!Z20</f>
        <v>690</v>
      </c>
      <c r="AB46" s="3">
        <f>Totalizer!AB20-Totalizer!AA20</f>
        <v>690</v>
      </c>
      <c r="AC46" s="3">
        <f>Totalizer!AC20-Totalizer!AB20</f>
        <v>693</v>
      </c>
      <c r="AD46" s="3">
        <f>Totalizer!AD20-Totalizer!AC20</f>
        <v>680</v>
      </c>
      <c r="AE46" s="3">
        <f>Totalizer!AE20-Totalizer!AD20</f>
        <v>679</v>
      </c>
      <c r="AF46" s="3">
        <f>Totalizer!AF20-Totalizer!AE20</f>
        <v>700</v>
      </c>
      <c r="AG46" s="3">
        <f>Totalizer!AG20-Totalizer!AF20</f>
        <v>703</v>
      </c>
      <c r="AH46" s="3"/>
    </row>
    <row r="47" spans="1:34" ht="30" customHeight="1" x14ac:dyDescent="0.2">
      <c r="A47" s="517"/>
      <c r="B47" s="2" t="s">
        <v>61</v>
      </c>
      <c r="C47" s="36" t="s">
        <v>44</v>
      </c>
      <c r="D47" s="3">
        <v>28.330596923828125</v>
      </c>
      <c r="E47" s="3">
        <v>27.573604583740234</v>
      </c>
      <c r="F47" s="3">
        <v>28.871833801269531</v>
      </c>
      <c r="G47" s="3">
        <v>29.554412841796875</v>
      </c>
      <c r="H47" s="3">
        <v>29.055027008056641</v>
      </c>
      <c r="I47" s="3">
        <v>28.498882293701172</v>
      </c>
      <c r="J47" s="3">
        <v>28.637577056884766</v>
      </c>
      <c r="K47" s="3">
        <v>27.04881477355957</v>
      </c>
      <c r="L47" s="3">
        <v>28.943080902099609</v>
      </c>
      <c r="M47" s="3">
        <v>28.175275802612305</v>
      </c>
      <c r="N47" s="3">
        <v>27.344673156738281</v>
      </c>
      <c r="O47" s="3">
        <v>29.451332092285156</v>
      </c>
      <c r="P47" s="3">
        <v>28.392271041870117</v>
      </c>
      <c r="Q47" s="3">
        <v>28.314291000366211</v>
      </c>
      <c r="R47" s="3">
        <v>29.593387603759766</v>
      </c>
      <c r="S47" s="3">
        <v>28.59974479675293</v>
      </c>
      <c r="T47" s="3">
        <v>28.678915023803711</v>
      </c>
      <c r="U47" s="3">
        <v>29.225278854370117</v>
      </c>
      <c r="V47" s="3">
        <v>29.197790145874023</v>
      </c>
      <c r="W47" s="3">
        <v>29.799459457397461</v>
      </c>
      <c r="X47" s="3">
        <v>29.073806762695313</v>
      </c>
      <c r="Y47" s="3">
        <v>29.633556365966797</v>
      </c>
      <c r="Z47" s="3">
        <v>29.757833480834961</v>
      </c>
      <c r="AA47" s="3">
        <v>29.919984817504883</v>
      </c>
      <c r="AB47" s="3">
        <v>30.04875373840332</v>
      </c>
      <c r="AC47" s="91">
        <v>29.861961364746094</v>
      </c>
      <c r="AD47" s="91">
        <v>30.263326644897461</v>
      </c>
      <c r="AE47" s="3">
        <v>28.936468124389648</v>
      </c>
      <c r="AF47" s="3">
        <v>31.37278938293457</v>
      </c>
      <c r="AG47" s="3">
        <v>31.163850784301758</v>
      </c>
      <c r="AH47" s="393"/>
    </row>
    <row r="48" spans="1:34" ht="30" customHeight="1" x14ac:dyDescent="0.2">
      <c r="A48" s="517"/>
      <c r="B48" s="2" t="s">
        <v>62</v>
      </c>
      <c r="C48" s="36" t="s">
        <v>44</v>
      </c>
      <c r="D48" s="3">
        <v>25.421337127685547</v>
      </c>
      <c r="E48" s="3">
        <v>24.9468994140625</v>
      </c>
      <c r="F48" s="3">
        <v>25.869728088378906</v>
      </c>
      <c r="G48" s="3">
        <v>26.64887809753418</v>
      </c>
      <c r="H48" s="3">
        <v>26.388057708740234</v>
      </c>
      <c r="I48" s="3">
        <v>25.474042892456055</v>
      </c>
      <c r="J48" s="3">
        <v>22.572532653808594</v>
      </c>
      <c r="K48" s="3">
        <v>22.548112869262695</v>
      </c>
      <c r="L48" s="3">
        <v>25.579124450683594</v>
      </c>
      <c r="M48" s="3">
        <v>26.063760757446289</v>
      </c>
      <c r="N48" s="3">
        <v>25.732311248779297</v>
      </c>
      <c r="O48" s="3">
        <v>26.230121612548828</v>
      </c>
      <c r="P48" s="3">
        <v>25.699977874755859</v>
      </c>
      <c r="Q48" s="3">
        <v>25.141290664672852</v>
      </c>
      <c r="R48" s="3">
        <v>25.902933120727539</v>
      </c>
      <c r="S48" s="3">
        <v>25.52412223815918</v>
      </c>
      <c r="T48" s="3">
        <v>26.481290817260742</v>
      </c>
      <c r="U48" s="3">
        <v>27.165266036987305</v>
      </c>
      <c r="V48" s="3">
        <v>26.745159149169922</v>
      </c>
      <c r="W48" s="3">
        <v>27.168338775634766</v>
      </c>
      <c r="X48" s="3">
        <v>26.817523956298828</v>
      </c>
      <c r="Y48" s="3">
        <v>26.797311782836914</v>
      </c>
      <c r="Z48" s="3">
        <v>27.340497970581055</v>
      </c>
      <c r="AA48" s="3">
        <v>27.531591415405273</v>
      </c>
      <c r="AB48" s="3">
        <v>27.560831069946289</v>
      </c>
      <c r="AC48" s="91">
        <v>27.807535171508789</v>
      </c>
      <c r="AD48" s="91">
        <v>27.595500946044922</v>
      </c>
      <c r="AE48" s="3">
        <v>26.832780838012695</v>
      </c>
      <c r="AF48" s="3">
        <v>28.363166809082031</v>
      </c>
      <c r="AG48" s="3">
        <v>27.76862907409668</v>
      </c>
      <c r="AH48" s="393"/>
    </row>
    <row r="49" spans="1:38" ht="30" customHeight="1" x14ac:dyDescent="0.2">
      <c r="A49" s="517" t="s">
        <v>181</v>
      </c>
      <c r="B49" s="4" t="s">
        <v>165</v>
      </c>
      <c r="C49" s="36" t="s">
        <v>44</v>
      </c>
      <c r="D49" s="3">
        <f>Totalizer!D21-Totalizer!C21</f>
        <v>641</v>
      </c>
      <c r="E49" s="3">
        <f>Totalizer!E21-Totalizer!D21</f>
        <v>656</v>
      </c>
      <c r="F49" s="3">
        <f>Totalizer!F21-Totalizer!E21</f>
        <v>670</v>
      </c>
      <c r="G49" s="3">
        <f>Totalizer!G21-Totalizer!F21</f>
        <v>674</v>
      </c>
      <c r="H49" s="3">
        <f>Totalizer!H21-Totalizer!G21</f>
        <v>687</v>
      </c>
      <c r="I49" s="3">
        <f>Totalizer!I21-Totalizer!H21</f>
        <v>660</v>
      </c>
      <c r="J49" s="3">
        <f>Totalizer!J21-Totalizer!I21</f>
        <v>613</v>
      </c>
      <c r="K49" s="3">
        <f>Totalizer!K21-Totalizer!J21</f>
        <v>573</v>
      </c>
      <c r="L49" s="3">
        <f>Totalizer!L21-Totalizer!K21</f>
        <v>647</v>
      </c>
      <c r="M49" s="3">
        <f>Totalizer!M21-Totalizer!L21</f>
        <v>643</v>
      </c>
      <c r="N49" s="3">
        <f>Totalizer!N21-Totalizer!M21</f>
        <v>636</v>
      </c>
      <c r="O49" s="3">
        <f>Totalizer!O21-Totalizer!N21</f>
        <v>691</v>
      </c>
      <c r="P49" s="3">
        <f>Totalizer!P21-Totalizer!O21</f>
        <v>656</v>
      </c>
      <c r="Q49" s="3">
        <f>Totalizer!Q21-Totalizer!P21</f>
        <v>659</v>
      </c>
      <c r="R49" s="3">
        <f>Totalizer!R21-Totalizer!Q21</f>
        <v>671</v>
      </c>
      <c r="S49" s="3">
        <f>Totalizer!S21-Totalizer!R21</f>
        <v>661</v>
      </c>
      <c r="T49" s="3">
        <f>Totalizer!T21-Totalizer!S21</f>
        <v>676</v>
      </c>
      <c r="U49" s="3">
        <f>Totalizer!U21-Totalizer!T21</f>
        <v>689</v>
      </c>
      <c r="V49" s="3">
        <f>Totalizer!V21-Totalizer!U21</f>
        <v>660</v>
      </c>
      <c r="W49" s="3">
        <f>Totalizer!W21-Totalizer!V21</f>
        <v>683</v>
      </c>
      <c r="X49" s="3">
        <f>Totalizer!X21-Totalizer!W21</f>
        <v>695</v>
      </c>
      <c r="Y49" s="3">
        <f>Totalizer!Y21-Totalizer!X21</f>
        <v>666</v>
      </c>
      <c r="Z49" s="3">
        <f>Totalizer!Z21-Totalizer!Y21</f>
        <v>688</v>
      </c>
      <c r="AA49" s="3">
        <f>Totalizer!AA21-Totalizer!Z21</f>
        <v>694</v>
      </c>
      <c r="AB49" s="3">
        <f>Totalizer!AB21-Totalizer!AA21</f>
        <v>716</v>
      </c>
      <c r="AC49" s="3">
        <f>Totalizer!AC21-Totalizer!AB21</f>
        <v>724</v>
      </c>
      <c r="AD49" s="3">
        <f>Totalizer!AD21-Totalizer!AC21</f>
        <v>707</v>
      </c>
      <c r="AE49" s="3">
        <f>Totalizer!AE21-Totalizer!AD21</f>
        <v>715</v>
      </c>
      <c r="AF49" s="3">
        <f>Totalizer!AF21-Totalizer!AE21</f>
        <v>690</v>
      </c>
      <c r="AG49" s="3">
        <f>Totalizer!AG21-Totalizer!AF21</f>
        <v>694</v>
      </c>
      <c r="AH49" s="3"/>
    </row>
    <row r="50" spans="1:38" ht="30" customHeight="1" x14ac:dyDescent="0.2">
      <c r="A50" s="517"/>
      <c r="B50" s="2" t="s">
        <v>61</v>
      </c>
      <c r="C50" s="36" t="s">
        <v>44</v>
      </c>
      <c r="D50" s="3">
        <v>28.210956573486328</v>
      </c>
      <c r="E50" s="3">
        <v>28.300575256347656</v>
      </c>
      <c r="F50" s="3">
        <v>28.790319442749023</v>
      </c>
      <c r="G50" s="3">
        <v>30.012819290161133</v>
      </c>
      <c r="H50" s="3">
        <v>30.241151809692383</v>
      </c>
      <c r="I50" s="3">
        <v>28.945089340209961</v>
      </c>
      <c r="J50" s="3">
        <v>28.557840347290039</v>
      </c>
      <c r="K50" s="3">
        <v>27.378837585449219</v>
      </c>
      <c r="L50" s="3">
        <v>28.344856262207031</v>
      </c>
      <c r="M50" s="3">
        <v>28.199222564697266</v>
      </c>
      <c r="N50" s="3">
        <v>29.212043762207031</v>
      </c>
      <c r="O50" s="3">
        <v>29.936067581176758</v>
      </c>
      <c r="P50" s="3">
        <v>28.163097381591797</v>
      </c>
      <c r="Q50" s="3">
        <v>29.282182693481445</v>
      </c>
      <c r="R50" s="3">
        <v>29.591350555419922</v>
      </c>
      <c r="S50" s="3">
        <v>29.191434860229492</v>
      </c>
      <c r="T50" s="3">
        <v>29.458576202392578</v>
      </c>
      <c r="U50" s="3">
        <v>29.261861801147461</v>
      </c>
      <c r="V50" s="3">
        <v>29.480070114135742</v>
      </c>
      <c r="W50" s="3">
        <v>30.229373931884766</v>
      </c>
      <c r="X50" s="3">
        <v>31.575918197631836</v>
      </c>
      <c r="Y50" s="3">
        <v>34.929790496826172</v>
      </c>
      <c r="Z50" s="3">
        <v>30.361928939819336</v>
      </c>
      <c r="AA50" s="3">
        <v>30.167539596557617</v>
      </c>
      <c r="AB50" s="3">
        <v>31.213678359985352</v>
      </c>
      <c r="AC50" s="3">
        <v>31.686594009399414</v>
      </c>
      <c r="AD50" s="3">
        <v>31.029209136962891</v>
      </c>
      <c r="AE50" s="3">
        <v>30.604211807250977</v>
      </c>
      <c r="AF50" s="3">
        <v>30.200307846069336</v>
      </c>
      <c r="AG50" s="3">
        <v>30.244586944580078</v>
      </c>
      <c r="AH50" s="393"/>
    </row>
    <row r="51" spans="1:38" ht="30" customHeight="1" x14ac:dyDescent="0.2">
      <c r="A51" s="517"/>
      <c r="B51" s="2" t="s">
        <v>62</v>
      </c>
      <c r="C51" s="36" t="s">
        <v>44</v>
      </c>
      <c r="D51" s="3">
        <v>25.809978485107422</v>
      </c>
      <c r="E51" s="3">
        <v>26.062992095947266</v>
      </c>
      <c r="F51" s="3">
        <v>25.896429061889648</v>
      </c>
      <c r="G51" s="3">
        <v>27.110546112060547</v>
      </c>
      <c r="H51" s="3">
        <v>27.177085876464844</v>
      </c>
      <c r="I51" s="3">
        <v>25.955585479736328</v>
      </c>
      <c r="J51" s="3">
        <v>23.368869781494141</v>
      </c>
      <c r="K51" s="3">
        <v>22.449892044067383</v>
      </c>
      <c r="L51" s="239">
        <v>24.922618865966797</v>
      </c>
      <c r="M51" s="3">
        <v>26.109830856323242</v>
      </c>
      <c r="N51" s="3">
        <v>25.555931091308594</v>
      </c>
      <c r="O51" s="3">
        <v>27.05933952331543</v>
      </c>
      <c r="P51" s="3">
        <v>26.302309036254883</v>
      </c>
      <c r="Q51" s="3">
        <v>26.229091644287109</v>
      </c>
      <c r="R51" s="3">
        <v>26.935489654541016</v>
      </c>
      <c r="S51" s="3">
        <v>26.591392517089844</v>
      </c>
      <c r="T51" s="3">
        <v>27.010702133178711</v>
      </c>
      <c r="U51" s="3">
        <v>27.246824264526367</v>
      </c>
      <c r="V51" s="3">
        <v>26.359308242797852</v>
      </c>
      <c r="W51" s="3">
        <v>27.208391189575195</v>
      </c>
      <c r="X51" s="3">
        <v>27.305654525756836</v>
      </c>
      <c r="Y51" s="3">
        <v>26.75701904296875</v>
      </c>
      <c r="Z51" s="3">
        <v>27.465633392333984</v>
      </c>
      <c r="AA51" s="3">
        <v>27.755102157592773</v>
      </c>
      <c r="AB51" s="3">
        <v>29.207237243652344</v>
      </c>
      <c r="AC51" s="3">
        <v>28.837434768676758</v>
      </c>
      <c r="AD51" s="3">
        <v>28.520666122436523</v>
      </c>
      <c r="AE51" s="3">
        <v>28.195642471313477</v>
      </c>
      <c r="AF51" s="3">
        <v>27.277894973754883</v>
      </c>
      <c r="AG51" s="3">
        <v>27.507688522338867</v>
      </c>
      <c r="AH51" s="393"/>
    </row>
    <row r="52" spans="1:38" ht="9.75" customHeight="1" x14ac:dyDescent="0.2">
      <c r="A52" s="56"/>
      <c r="B52" s="56"/>
      <c r="C52" s="56"/>
      <c r="D52" s="56"/>
      <c r="E52" s="56"/>
      <c r="F52" s="56"/>
      <c r="G52" s="56"/>
      <c r="H52" s="56"/>
      <c r="I52" s="57"/>
      <c r="J52" s="56"/>
      <c r="K52" s="56"/>
      <c r="L52" s="56"/>
      <c r="M52" s="56"/>
      <c r="N52" s="56"/>
      <c r="O52" s="56"/>
      <c r="P52" s="56"/>
      <c r="Q52" s="56"/>
      <c r="R52" s="56"/>
      <c r="S52" s="56"/>
      <c r="T52" s="56"/>
      <c r="U52" s="56"/>
      <c r="V52" s="56"/>
      <c r="W52" s="56"/>
      <c r="X52" s="57"/>
      <c r="Y52" s="56"/>
      <c r="Z52" s="56"/>
      <c r="AA52" s="56"/>
      <c r="AB52" s="56"/>
      <c r="AC52" s="93"/>
      <c r="AD52" s="56"/>
      <c r="AE52" s="56"/>
      <c r="AF52" s="56"/>
      <c r="AG52" s="92"/>
      <c r="AH52" s="397"/>
    </row>
    <row r="53" spans="1:38" ht="27" customHeight="1" x14ac:dyDescent="0.2">
      <c r="A53" s="518" t="s">
        <v>494</v>
      </c>
      <c r="B53" s="2" t="s">
        <v>489</v>
      </c>
      <c r="C53" s="27" t="s">
        <v>182</v>
      </c>
      <c r="D53" s="28">
        <v>6</v>
      </c>
      <c r="E53" s="28">
        <v>6</v>
      </c>
      <c r="F53" s="28">
        <v>6</v>
      </c>
      <c r="G53" s="28">
        <v>6</v>
      </c>
      <c r="H53" s="28">
        <v>6</v>
      </c>
      <c r="I53" s="28">
        <v>6</v>
      </c>
      <c r="J53" s="28">
        <v>6</v>
      </c>
      <c r="K53" s="28">
        <v>6</v>
      </c>
      <c r="L53" s="28">
        <v>6</v>
      </c>
      <c r="M53" s="28">
        <v>6</v>
      </c>
      <c r="N53" s="28">
        <v>6</v>
      </c>
      <c r="O53" s="28">
        <v>6</v>
      </c>
      <c r="P53" s="28">
        <v>6</v>
      </c>
      <c r="Q53" s="28">
        <v>6</v>
      </c>
      <c r="R53" s="28">
        <v>6</v>
      </c>
      <c r="S53" s="28">
        <v>6</v>
      </c>
      <c r="T53" s="28">
        <v>6</v>
      </c>
      <c r="U53" s="28">
        <v>6</v>
      </c>
      <c r="V53" s="28">
        <v>6</v>
      </c>
      <c r="W53" s="28">
        <v>6</v>
      </c>
      <c r="X53" s="28">
        <v>6</v>
      </c>
      <c r="Y53" s="28">
        <v>6</v>
      </c>
      <c r="Z53" s="28">
        <v>6</v>
      </c>
      <c r="AA53" s="28">
        <v>6</v>
      </c>
      <c r="AB53" s="28">
        <v>6</v>
      </c>
      <c r="AC53" s="28">
        <v>4</v>
      </c>
      <c r="AD53" s="28">
        <v>4</v>
      </c>
      <c r="AE53" s="28">
        <v>4</v>
      </c>
      <c r="AF53" s="28">
        <v>4</v>
      </c>
      <c r="AG53" s="28">
        <v>6</v>
      </c>
      <c r="AH53" s="28"/>
    </row>
    <row r="54" spans="1:38" ht="29.25" customHeight="1" x14ac:dyDescent="0.2">
      <c r="A54" s="519"/>
      <c r="B54" s="2" t="s">
        <v>183</v>
      </c>
      <c r="C54" s="27" t="s">
        <v>182</v>
      </c>
      <c r="D54" s="28">
        <v>0</v>
      </c>
      <c r="E54" s="28">
        <v>0</v>
      </c>
      <c r="F54" s="28">
        <v>0</v>
      </c>
      <c r="G54" s="28">
        <v>0</v>
      </c>
      <c r="H54" s="28">
        <v>0</v>
      </c>
      <c r="I54" s="28">
        <v>0</v>
      </c>
      <c r="J54" s="28">
        <v>0</v>
      </c>
      <c r="K54" s="28">
        <v>0</v>
      </c>
      <c r="L54" s="28">
        <v>0</v>
      </c>
      <c r="M54" s="28">
        <v>0</v>
      </c>
      <c r="N54" s="28">
        <v>0</v>
      </c>
      <c r="O54" s="28">
        <v>0</v>
      </c>
      <c r="P54" s="28">
        <v>0</v>
      </c>
      <c r="Q54" s="28">
        <v>0</v>
      </c>
      <c r="R54" s="28">
        <v>0</v>
      </c>
      <c r="S54" s="28">
        <v>0</v>
      </c>
      <c r="T54" s="28">
        <v>0</v>
      </c>
      <c r="U54" s="28">
        <v>0</v>
      </c>
      <c r="V54" s="28">
        <v>0</v>
      </c>
      <c r="W54" s="28">
        <v>0</v>
      </c>
      <c r="X54" s="28">
        <v>0</v>
      </c>
      <c r="Y54" s="28">
        <v>0</v>
      </c>
      <c r="Z54" s="28">
        <v>0</v>
      </c>
      <c r="AA54" s="28">
        <v>0</v>
      </c>
      <c r="AB54" s="28">
        <v>0</v>
      </c>
      <c r="AC54" s="28">
        <v>2</v>
      </c>
      <c r="AD54" s="28">
        <v>2</v>
      </c>
      <c r="AE54" s="28">
        <v>2</v>
      </c>
      <c r="AF54" s="28">
        <v>2</v>
      </c>
      <c r="AG54" s="28">
        <v>0</v>
      </c>
      <c r="AH54" s="28"/>
    </row>
    <row r="55" spans="1:38" ht="39.75" customHeight="1" x14ac:dyDescent="0.2">
      <c r="A55" s="519"/>
      <c r="B55" s="41" t="s">
        <v>184</v>
      </c>
      <c r="C55" s="27" t="s">
        <v>52</v>
      </c>
      <c r="D55" s="50">
        <v>0</v>
      </c>
      <c r="E55" s="50">
        <v>0</v>
      </c>
      <c r="F55" s="50">
        <v>0</v>
      </c>
      <c r="G55" s="50">
        <v>0</v>
      </c>
      <c r="H55" s="50">
        <v>0</v>
      </c>
      <c r="I55" s="50">
        <v>0</v>
      </c>
      <c r="J55" s="50">
        <v>0</v>
      </c>
      <c r="K55" s="50">
        <v>0</v>
      </c>
      <c r="L55" s="50">
        <v>0</v>
      </c>
      <c r="M55" s="50">
        <v>0</v>
      </c>
      <c r="N55" s="50">
        <v>0</v>
      </c>
      <c r="O55" s="50">
        <v>0</v>
      </c>
      <c r="P55" s="50">
        <v>0</v>
      </c>
      <c r="Q55" s="50">
        <v>0</v>
      </c>
      <c r="R55" s="50">
        <v>0</v>
      </c>
      <c r="S55" s="50">
        <v>0</v>
      </c>
      <c r="T55" s="50">
        <v>0</v>
      </c>
      <c r="U55" s="50">
        <v>0</v>
      </c>
      <c r="V55" s="50">
        <v>0</v>
      </c>
      <c r="W55" s="50">
        <v>0</v>
      </c>
      <c r="X55" s="50">
        <v>0</v>
      </c>
      <c r="Y55" s="50">
        <v>0</v>
      </c>
      <c r="Z55" s="50">
        <v>0</v>
      </c>
      <c r="AA55" s="50">
        <v>0</v>
      </c>
      <c r="AB55" s="50">
        <v>0</v>
      </c>
      <c r="AC55" s="50">
        <v>3</v>
      </c>
      <c r="AD55" s="50">
        <v>0</v>
      </c>
      <c r="AE55" s="50">
        <v>0</v>
      </c>
      <c r="AF55" s="50">
        <v>15.92</v>
      </c>
      <c r="AG55" s="50">
        <v>0</v>
      </c>
      <c r="AH55" s="50"/>
    </row>
    <row r="56" spans="1:38" s="399" customFormat="1" ht="38.25" customHeight="1" x14ac:dyDescent="0.2">
      <c r="A56" s="519"/>
      <c r="B56" s="76" t="s">
        <v>185</v>
      </c>
      <c r="C56" s="77" t="s">
        <v>186</v>
      </c>
      <c r="D56" s="78">
        <f t="shared" ref="D56:E56" si="0">D53+(D54*D55)/24</f>
        <v>6</v>
      </c>
      <c r="E56" s="78">
        <f t="shared" si="0"/>
        <v>6</v>
      </c>
      <c r="F56" s="78">
        <f t="shared" ref="F56:G56" si="1">F53+(F54*F55)/24</f>
        <v>6</v>
      </c>
      <c r="G56" s="78">
        <f t="shared" si="1"/>
        <v>6</v>
      </c>
      <c r="H56" s="78">
        <f t="shared" ref="H56:I56" si="2">H53+(H54*H55)/24</f>
        <v>6</v>
      </c>
      <c r="I56" s="78">
        <f t="shared" si="2"/>
        <v>6</v>
      </c>
      <c r="J56" s="78">
        <f t="shared" ref="J56:K56" si="3">J53+(J54*J55)/24</f>
        <v>6</v>
      </c>
      <c r="K56" s="78">
        <f t="shared" si="3"/>
        <v>6</v>
      </c>
      <c r="L56" s="78">
        <f t="shared" ref="L56:M56" si="4">L53+(L54*L55)/24</f>
        <v>6</v>
      </c>
      <c r="M56" s="78">
        <f t="shared" si="4"/>
        <v>6</v>
      </c>
      <c r="N56" s="78">
        <f t="shared" ref="N56:P56" si="5">N53+(N54*N55)/24</f>
        <v>6</v>
      </c>
      <c r="O56" s="78">
        <f t="shared" si="5"/>
        <v>6</v>
      </c>
      <c r="P56" s="78">
        <f t="shared" si="5"/>
        <v>6</v>
      </c>
      <c r="Q56" s="78">
        <f t="shared" ref="Q56:R56" si="6">Q53+(Q54*Q55)/24</f>
        <v>6</v>
      </c>
      <c r="R56" s="78">
        <f t="shared" si="6"/>
        <v>6</v>
      </c>
      <c r="S56" s="78">
        <f t="shared" ref="S56:T56" si="7">S53+(S54*S55)/24</f>
        <v>6</v>
      </c>
      <c r="T56" s="78">
        <f t="shared" si="7"/>
        <v>6</v>
      </c>
      <c r="U56" s="78">
        <f t="shared" ref="U56:V56" si="8">U53+(U54*U55)/24</f>
        <v>6</v>
      </c>
      <c r="V56" s="78">
        <f t="shared" si="8"/>
        <v>6</v>
      </c>
      <c r="W56" s="78">
        <f t="shared" ref="W56:X56" si="9">W53+(W54*W55)/24</f>
        <v>6</v>
      </c>
      <c r="X56" s="78">
        <f t="shared" si="9"/>
        <v>6</v>
      </c>
      <c r="Y56" s="78">
        <f t="shared" ref="Y56:Z56" si="10">Y53+(Y54*Y55)/24</f>
        <v>6</v>
      </c>
      <c r="Z56" s="78">
        <f t="shared" si="10"/>
        <v>6</v>
      </c>
      <c r="AA56" s="78">
        <f t="shared" ref="AA56:AB56" si="11">AA53+(AA54*AA55)/24</f>
        <v>6</v>
      </c>
      <c r="AB56" s="78">
        <f t="shared" si="11"/>
        <v>6</v>
      </c>
      <c r="AC56" s="78">
        <f t="shared" ref="AC56:AF56" si="12">AC53+(AC54*AC55)/24</f>
        <v>4.25</v>
      </c>
      <c r="AD56" s="78">
        <f t="shared" si="12"/>
        <v>4</v>
      </c>
      <c r="AE56" s="78">
        <f t="shared" si="12"/>
        <v>4</v>
      </c>
      <c r="AF56" s="78">
        <f t="shared" si="12"/>
        <v>5.3266666666666662</v>
      </c>
      <c r="AG56" s="78">
        <f t="shared" ref="AG56" si="13">AG53+(AG54*AG55)/24</f>
        <v>6</v>
      </c>
      <c r="AH56" s="78"/>
      <c r="AI56" s="398"/>
      <c r="AJ56" s="398"/>
      <c r="AK56" s="398"/>
      <c r="AL56" s="398"/>
    </row>
    <row r="57" spans="1:38" x14ac:dyDescent="0.2">
      <c r="A57" s="56"/>
      <c r="B57" s="56"/>
      <c r="C57" s="56"/>
      <c r="D57" s="56"/>
      <c r="E57" s="56"/>
      <c r="F57" s="56"/>
      <c r="G57" s="56"/>
      <c r="H57" s="56"/>
      <c r="I57" s="56"/>
      <c r="J57" s="56"/>
      <c r="K57" s="56"/>
      <c r="L57" s="56"/>
      <c r="M57" s="56"/>
      <c r="N57" s="381"/>
      <c r="O57" s="56"/>
      <c r="P57" s="56"/>
      <c r="Q57" s="56">
        <v>0</v>
      </c>
      <c r="R57" s="56"/>
      <c r="S57" s="56"/>
      <c r="T57" s="56"/>
      <c r="U57" s="56"/>
      <c r="V57" s="56"/>
      <c r="W57" s="56"/>
      <c r="X57" s="56"/>
      <c r="Y57" s="56"/>
      <c r="Z57" s="56"/>
      <c r="AA57" s="56"/>
      <c r="AB57" s="56"/>
      <c r="AC57" s="56"/>
      <c r="AD57" s="56"/>
      <c r="AE57" s="56"/>
      <c r="AF57" s="56"/>
      <c r="AG57" s="92"/>
    </row>
    <row r="58" spans="1:38" ht="27" customHeight="1" x14ac:dyDescent="0.2">
      <c r="A58" s="520" t="s">
        <v>495</v>
      </c>
      <c r="B58" s="2" t="s">
        <v>490</v>
      </c>
      <c r="C58" s="27" t="s">
        <v>182</v>
      </c>
      <c r="D58" s="28">
        <v>6</v>
      </c>
      <c r="E58" s="28">
        <v>6</v>
      </c>
      <c r="F58" s="28">
        <v>6</v>
      </c>
      <c r="G58" s="28">
        <v>6</v>
      </c>
      <c r="H58" s="28">
        <v>6</v>
      </c>
      <c r="I58" s="28">
        <v>6</v>
      </c>
      <c r="J58" s="28">
        <v>6</v>
      </c>
      <c r="K58" s="28">
        <v>6</v>
      </c>
      <c r="L58" s="28">
        <v>6</v>
      </c>
      <c r="M58" s="28">
        <v>6</v>
      </c>
      <c r="N58" s="28">
        <v>6</v>
      </c>
      <c r="O58" s="28">
        <v>6</v>
      </c>
      <c r="P58" s="28">
        <v>6</v>
      </c>
      <c r="Q58" s="28">
        <v>6</v>
      </c>
      <c r="R58" s="28">
        <v>6</v>
      </c>
      <c r="S58" s="28">
        <v>6</v>
      </c>
      <c r="T58" s="28">
        <v>6</v>
      </c>
      <c r="U58" s="28">
        <v>6</v>
      </c>
      <c r="V58" s="28">
        <v>5</v>
      </c>
      <c r="W58" s="28">
        <v>5</v>
      </c>
      <c r="X58" s="28">
        <v>5</v>
      </c>
      <c r="Y58" s="28">
        <v>6</v>
      </c>
      <c r="Z58" s="28">
        <v>6</v>
      </c>
      <c r="AA58" s="28">
        <v>6</v>
      </c>
      <c r="AB58" s="28">
        <v>6</v>
      </c>
      <c r="AC58" s="28">
        <v>6</v>
      </c>
      <c r="AD58" s="28">
        <v>6</v>
      </c>
      <c r="AE58" s="28">
        <v>6</v>
      </c>
      <c r="AF58" s="28">
        <v>6</v>
      </c>
      <c r="AG58" s="28">
        <v>6</v>
      </c>
      <c r="AH58" s="28"/>
    </row>
    <row r="59" spans="1:38" ht="29.25" customHeight="1" x14ac:dyDescent="0.2">
      <c r="A59" s="521"/>
      <c r="B59" s="2" t="s">
        <v>183</v>
      </c>
      <c r="C59" s="27" t="s">
        <v>182</v>
      </c>
      <c r="D59" s="28">
        <v>0</v>
      </c>
      <c r="E59" s="28">
        <v>0</v>
      </c>
      <c r="F59" s="28">
        <v>0</v>
      </c>
      <c r="G59" s="28">
        <v>0</v>
      </c>
      <c r="H59" s="28">
        <v>0</v>
      </c>
      <c r="I59" s="28">
        <v>0</v>
      </c>
      <c r="J59" s="28">
        <v>0</v>
      </c>
      <c r="K59" s="28">
        <v>0</v>
      </c>
      <c r="L59" s="28">
        <v>0</v>
      </c>
      <c r="M59" s="28">
        <v>0</v>
      </c>
      <c r="N59" s="28">
        <v>0</v>
      </c>
      <c r="O59" s="28">
        <v>0</v>
      </c>
      <c r="P59" s="28">
        <v>0</v>
      </c>
      <c r="Q59" s="28">
        <v>0</v>
      </c>
      <c r="R59" s="28">
        <v>0</v>
      </c>
      <c r="S59" s="28">
        <v>0</v>
      </c>
      <c r="T59" s="28">
        <v>0</v>
      </c>
      <c r="U59" s="28">
        <v>0</v>
      </c>
      <c r="V59" s="28">
        <v>1</v>
      </c>
      <c r="W59" s="28">
        <v>1</v>
      </c>
      <c r="X59" s="28">
        <v>1</v>
      </c>
      <c r="Y59" s="28">
        <v>0</v>
      </c>
      <c r="Z59" s="28">
        <v>0</v>
      </c>
      <c r="AA59" s="28">
        <v>0</v>
      </c>
      <c r="AB59" s="28">
        <v>0</v>
      </c>
      <c r="AC59" s="28">
        <v>0</v>
      </c>
      <c r="AD59" s="28">
        <v>0</v>
      </c>
      <c r="AE59" s="28">
        <v>0</v>
      </c>
      <c r="AF59" s="28">
        <v>0</v>
      </c>
      <c r="AG59" s="28">
        <v>0</v>
      </c>
      <c r="AH59" s="28"/>
    </row>
    <row r="60" spans="1:38" ht="39.75" customHeight="1" x14ac:dyDescent="0.2">
      <c r="A60" s="521"/>
      <c r="B60" s="41" t="s">
        <v>184</v>
      </c>
      <c r="C60" s="27" t="s">
        <v>52</v>
      </c>
      <c r="D60" s="50">
        <v>0</v>
      </c>
      <c r="E60" s="50">
        <v>0</v>
      </c>
      <c r="F60" s="50">
        <v>0</v>
      </c>
      <c r="G60" s="50">
        <v>0</v>
      </c>
      <c r="H60" s="50">
        <v>0</v>
      </c>
      <c r="I60" s="50">
        <v>0</v>
      </c>
      <c r="J60" s="50">
        <v>0</v>
      </c>
      <c r="K60" s="50">
        <v>0</v>
      </c>
      <c r="L60" s="50">
        <v>0</v>
      </c>
      <c r="M60" s="50">
        <v>0</v>
      </c>
      <c r="N60" s="50">
        <v>0</v>
      </c>
      <c r="O60" s="50">
        <v>0</v>
      </c>
      <c r="P60" s="50">
        <v>0</v>
      </c>
      <c r="Q60" s="50">
        <v>0</v>
      </c>
      <c r="R60" s="50">
        <v>0</v>
      </c>
      <c r="S60" s="50">
        <v>0</v>
      </c>
      <c r="T60" s="50">
        <v>0</v>
      </c>
      <c r="U60" s="50">
        <v>0</v>
      </c>
      <c r="V60" s="50">
        <v>6.5</v>
      </c>
      <c r="W60" s="50">
        <v>0</v>
      </c>
      <c r="X60" s="50">
        <v>2.63</v>
      </c>
      <c r="Y60" s="50">
        <v>0</v>
      </c>
      <c r="Z60" s="50">
        <v>0</v>
      </c>
      <c r="AA60" s="50">
        <v>0</v>
      </c>
      <c r="AB60" s="50">
        <v>0</v>
      </c>
      <c r="AC60" s="50">
        <v>0</v>
      </c>
      <c r="AD60" s="50">
        <v>0</v>
      </c>
      <c r="AE60" s="50">
        <v>0</v>
      </c>
      <c r="AF60" s="50">
        <v>0</v>
      </c>
      <c r="AG60" s="50">
        <v>0</v>
      </c>
      <c r="AH60" s="50"/>
    </row>
    <row r="61" spans="1:38" s="399" customFormat="1" ht="38.25" customHeight="1" x14ac:dyDescent="0.2">
      <c r="A61" s="521"/>
      <c r="B61" s="76" t="s">
        <v>185</v>
      </c>
      <c r="C61" s="77" t="s">
        <v>186</v>
      </c>
      <c r="D61" s="78">
        <f t="shared" ref="D61:E61" si="14">D58+(D59*D60)/24</f>
        <v>6</v>
      </c>
      <c r="E61" s="78">
        <f t="shared" si="14"/>
        <v>6</v>
      </c>
      <c r="F61" s="78">
        <f t="shared" ref="F61:G61" si="15">F58+(F59*F60)/24</f>
        <v>6</v>
      </c>
      <c r="G61" s="78">
        <f t="shared" si="15"/>
        <v>6</v>
      </c>
      <c r="H61" s="78">
        <f t="shared" ref="H61:I61" si="16">H58+(H59*H60)/24</f>
        <v>6</v>
      </c>
      <c r="I61" s="78">
        <f t="shared" si="16"/>
        <v>6</v>
      </c>
      <c r="J61" s="78">
        <f t="shared" ref="J61:K61" si="17">J58+(J59*J60)/24</f>
        <v>6</v>
      </c>
      <c r="K61" s="78">
        <f t="shared" si="17"/>
        <v>6</v>
      </c>
      <c r="L61" s="78">
        <f t="shared" ref="L61:M61" si="18">L58+(L59*L60)/24</f>
        <v>6</v>
      </c>
      <c r="M61" s="78">
        <f t="shared" si="18"/>
        <v>6</v>
      </c>
      <c r="N61" s="78">
        <f t="shared" ref="N61:O61" si="19">N58+(N59*N60)/24</f>
        <v>6</v>
      </c>
      <c r="O61" s="78">
        <f t="shared" si="19"/>
        <v>6</v>
      </c>
      <c r="P61" s="78">
        <f t="shared" ref="P61:Q61" si="20">P58+(P59*P60)/24</f>
        <v>6</v>
      </c>
      <c r="Q61" s="78">
        <f t="shared" si="20"/>
        <v>6</v>
      </c>
      <c r="R61" s="78">
        <f t="shared" ref="R61:S61" si="21">R58+(R59*R60)/24</f>
        <v>6</v>
      </c>
      <c r="S61" s="78">
        <f t="shared" si="21"/>
        <v>6</v>
      </c>
      <c r="T61" s="78">
        <f t="shared" ref="T61:Y61" si="22">T58+(T59*T60)/24</f>
        <v>6</v>
      </c>
      <c r="U61" s="78">
        <f t="shared" si="22"/>
        <v>6</v>
      </c>
      <c r="V61" s="78">
        <f t="shared" si="22"/>
        <v>5.270833333333333</v>
      </c>
      <c r="W61" s="78">
        <f t="shared" si="22"/>
        <v>5</v>
      </c>
      <c r="X61" s="78">
        <f t="shared" si="22"/>
        <v>5.1095833333333331</v>
      </c>
      <c r="Y61" s="78">
        <f t="shared" si="22"/>
        <v>6</v>
      </c>
      <c r="Z61" s="78">
        <f t="shared" ref="Z61:AA61" si="23">Z58+(Z59*Z60)/24</f>
        <v>6</v>
      </c>
      <c r="AA61" s="78">
        <f t="shared" si="23"/>
        <v>6</v>
      </c>
      <c r="AB61" s="78">
        <f t="shared" ref="AB61:AC61" si="24">AB58+(AB59*AB60)/24</f>
        <v>6</v>
      </c>
      <c r="AC61" s="78">
        <f t="shared" si="24"/>
        <v>6</v>
      </c>
      <c r="AD61" s="78">
        <f t="shared" ref="AD61:AE61" si="25">AD58+(AD59*AD60)/24</f>
        <v>6</v>
      </c>
      <c r="AE61" s="78">
        <f t="shared" si="25"/>
        <v>6</v>
      </c>
      <c r="AF61" s="78">
        <f t="shared" ref="AF61:AG61" si="26">AF58+(AF59*AF60)/24</f>
        <v>6</v>
      </c>
      <c r="AG61" s="78">
        <f t="shared" si="26"/>
        <v>6</v>
      </c>
      <c r="AH61" s="78"/>
      <c r="AI61" s="398"/>
      <c r="AJ61" s="398"/>
      <c r="AK61" s="398"/>
      <c r="AL61" s="398"/>
    </row>
    <row r="62" spans="1:38" x14ac:dyDescent="0.2">
      <c r="A62" s="382"/>
      <c r="B62" s="383" t="s">
        <v>187</v>
      </c>
      <c r="C62" s="381">
        <f>$E4</f>
        <v>670</v>
      </c>
      <c r="D62" s="381">
        <f>$E7</f>
        <v>661</v>
      </c>
      <c r="E62" s="381">
        <f>$E10</f>
        <v>638</v>
      </c>
      <c r="F62" s="381">
        <f>$E13</f>
        <v>628</v>
      </c>
      <c r="G62" s="381">
        <f>$E34</f>
        <v>701</v>
      </c>
      <c r="H62" s="381">
        <f>$E37</f>
        <v>668</v>
      </c>
      <c r="I62" s="381">
        <f>$E16</f>
        <v>653</v>
      </c>
      <c r="J62" s="381">
        <v>26</v>
      </c>
      <c r="K62" s="381">
        <v>25</v>
      </c>
      <c r="L62" s="381">
        <f>$E25</f>
        <v>662</v>
      </c>
      <c r="M62" s="381">
        <f>$E28</f>
        <v>630</v>
      </c>
      <c r="N62" s="381">
        <f>$E31</f>
        <v>654</v>
      </c>
      <c r="O62" s="381">
        <v>30.400520324707031</v>
      </c>
      <c r="P62" s="381">
        <f>$E43</f>
        <v>646</v>
      </c>
      <c r="Q62" s="381">
        <v>26</v>
      </c>
      <c r="R62" s="381">
        <f>$E49</f>
        <v>656</v>
      </c>
      <c r="S62" s="56"/>
      <c r="T62" s="56"/>
      <c r="U62" s="384"/>
      <c r="V62" s="92"/>
      <c r="W62" s="56"/>
      <c r="X62" s="56"/>
      <c r="Y62" s="56"/>
      <c r="Z62" s="56"/>
      <c r="AA62" s="56"/>
      <c r="AB62" s="56">
        <f>24-AB61</f>
        <v>18</v>
      </c>
      <c r="AC62" s="56"/>
      <c r="AD62" s="56"/>
      <c r="AE62" s="56"/>
      <c r="AF62" s="56"/>
      <c r="AG62" s="92"/>
    </row>
    <row r="63" spans="1:38" ht="27" customHeight="1" x14ac:dyDescent="0.2">
      <c r="A63" s="509" t="s">
        <v>496</v>
      </c>
      <c r="B63" s="2" t="s">
        <v>491</v>
      </c>
      <c r="C63" s="27" t="s">
        <v>182</v>
      </c>
      <c r="D63" s="28">
        <v>4</v>
      </c>
      <c r="E63" s="28">
        <v>4</v>
      </c>
      <c r="F63" s="28">
        <v>4</v>
      </c>
      <c r="G63" s="28">
        <v>4</v>
      </c>
      <c r="H63" s="28">
        <v>4</v>
      </c>
      <c r="I63" s="28">
        <v>4</v>
      </c>
      <c r="J63" s="28">
        <v>4</v>
      </c>
      <c r="K63" s="28">
        <v>4</v>
      </c>
      <c r="L63" s="28">
        <v>4</v>
      </c>
      <c r="M63" s="28">
        <v>4</v>
      </c>
      <c r="N63" s="28">
        <v>4</v>
      </c>
      <c r="O63" s="28">
        <v>4</v>
      </c>
      <c r="P63" s="28">
        <v>4</v>
      </c>
      <c r="Q63" s="28">
        <v>4</v>
      </c>
      <c r="R63" s="28">
        <v>4</v>
      </c>
      <c r="S63" s="28">
        <v>4</v>
      </c>
      <c r="T63" s="28">
        <v>4</v>
      </c>
      <c r="U63" s="28">
        <v>4</v>
      </c>
      <c r="V63" s="28">
        <v>4</v>
      </c>
      <c r="W63" s="28">
        <v>4</v>
      </c>
      <c r="X63" s="28">
        <v>4</v>
      </c>
      <c r="Y63" s="28">
        <v>4</v>
      </c>
      <c r="Z63" s="28">
        <v>4</v>
      </c>
      <c r="AA63" s="28">
        <v>4</v>
      </c>
      <c r="AB63" s="28">
        <v>4</v>
      </c>
      <c r="AC63" s="28">
        <v>4</v>
      </c>
      <c r="AD63" s="28">
        <v>4</v>
      </c>
      <c r="AE63" s="28">
        <v>4</v>
      </c>
      <c r="AF63" s="28">
        <v>4</v>
      </c>
      <c r="AG63" s="28">
        <v>4</v>
      </c>
      <c r="AH63" s="28"/>
    </row>
    <row r="64" spans="1:38" ht="29.25" customHeight="1" x14ac:dyDescent="0.2">
      <c r="A64" s="510"/>
      <c r="B64" s="2" t="s">
        <v>183</v>
      </c>
      <c r="C64" s="27" t="s">
        <v>182</v>
      </c>
      <c r="D64" s="28">
        <v>0</v>
      </c>
      <c r="E64" s="28">
        <v>0</v>
      </c>
      <c r="F64" s="28">
        <v>0</v>
      </c>
      <c r="G64" s="28">
        <v>0</v>
      </c>
      <c r="H64" s="28">
        <v>0</v>
      </c>
      <c r="I64" s="28">
        <v>0</v>
      </c>
      <c r="J64" s="28">
        <v>0</v>
      </c>
      <c r="K64" s="28">
        <v>0</v>
      </c>
      <c r="L64" s="28">
        <v>0</v>
      </c>
      <c r="M64" s="28">
        <v>0</v>
      </c>
      <c r="N64" s="28">
        <v>0</v>
      </c>
      <c r="O64" s="28">
        <v>0</v>
      </c>
      <c r="P64" s="28">
        <v>0</v>
      </c>
      <c r="Q64" s="28">
        <v>0</v>
      </c>
      <c r="R64" s="28">
        <v>0</v>
      </c>
      <c r="S64" s="28">
        <v>0</v>
      </c>
      <c r="T64" s="28">
        <v>0</v>
      </c>
      <c r="U64" s="28">
        <v>0</v>
      </c>
      <c r="V64" s="28">
        <v>0</v>
      </c>
      <c r="W64" s="28">
        <v>0</v>
      </c>
      <c r="X64" s="28">
        <v>0</v>
      </c>
      <c r="Y64" s="28">
        <v>0</v>
      </c>
      <c r="Z64" s="28">
        <v>0</v>
      </c>
      <c r="AA64" s="28">
        <v>0</v>
      </c>
      <c r="AB64" s="28">
        <v>0</v>
      </c>
      <c r="AC64" s="28">
        <v>0</v>
      </c>
      <c r="AD64" s="28">
        <v>0</v>
      </c>
      <c r="AE64" s="28">
        <v>0</v>
      </c>
      <c r="AF64" s="28">
        <v>0</v>
      </c>
      <c r="AG64" s="28">
        <v>0</v>
      </c>
      <c r="AH64" s="28"/>
    </row>
    <row r="65" spans="1:38" ht="39.75" customHeight="1" x14ac:dyDescent="0.2">
      <c r="A65" s="510"/>
      <c r="B65" s="41" t="s">
        <v>184</v>
      </c>
      <c r="C65" s="27" t="s">
        <v>52</v>
      </c>
      <c r="D65" s="50">
        <v>0</v>
      </c>
      <c r="E65" s="50">
        <v>0</v>
      </c>
      <c r="F65" s="50">
        <v>0</v>
      </c>
      <c r="G65" s="50">
        <v>0</v>
      </c>
      <c r="H65" s="50">
        <v>0</v>
      </c>
      <c r="I65" s="50">
        <v>0</v>
      </c>
      <c r="J65" s="50">
        <v>0</v>
      </c>
      <c r="K65" s="50">
        <v>0</v>
      </c>
      <c r="L65" s="50">
        <v>0</v>
      </c>
      <c r="M65" s="50">
        <v>0</v>
      </c>
      <c r="N65" s="50">
        <v>0</v>
      </c>
      <c r="O65" s="50">
        <v>0</v>
      </c>
      <c r="P65" s="50">
        <v>0</v>
      </c>
      <c r="Q65" s="50">
        <v>0</v>
      </c>
      <c r="R65" s="50">
        <v>0</v>
      </c>
      <c r="S65" s="50">
        <v>0</v>
      </c>
      <c r="T65" s="50">
        <v>0</v>
      </c>
      <c r="U65" s="50">
        <v>0</v>
      </c>
      <c r="V65" s="50">
        <v>0</v>
      </c>
      <c r="W65" s="50">
        <v>0</v>
      </c>
      <c r="X65" s="50">
        <v>0</v>
      </c>
      <c r="Y65" s="50">
        <v>0</v>
      </c>
      <c r="Z65" s="50">
        <v>0</v>
      </c>
      <c r="AA65" s="50">
        <v>0</v>
      </c>
      <c r="AB65" s="50">
        <v>0</v>
      </c>
      <c r="AC65" s="50">
        <v>0</v>
      </c>
      <c r="AD65" s="50">
        <v>0</v>
      </c>
      <c r="AE65" s="50">
        <v>0</v>
      </c>
      <c r="AF65" s="50">
        <v>0</v>
      </c>
      <c r="AG65" s="50">
        <v>0</v>
      </c>
      <c r="AH65" s="50"/>
    </row>
    <row r="66" spans="1:38" s="399" customFormat="1" ht="38.25" customHeight="1" x14ac:dyDescent="0.2">
      <c r="A66" s="510"/>
      <c r="B66" s="76" t="s">
        <v>185</v>
      </c>
      <c r="C66" s="77" t="s">
        <v>186</v>
      </c>
      <c r="D66" s="78">
        <f t="shared" ref="D66:E66" si="27">D63+(D64*D65)/24</f>
        <v>4</v>
      </c>
      <c r="E66" s="78">
        <f t="shared" si="27"/>
        <v>4</v>
      </c>
      <c r="F66" s="78">
        <f t="shared" ref="F66:G66" si="28">F63+(F64*F65)/24</f>
        <v>4</v>
      </c>
      <c r="G66" s="78">
        <f t="shared" si="28"/>
        <v>4</v>
      </c>
      <c r="H66" s="78">
        <f t="shared" ref="H66:I66" si="29">H63+(H64*H65)/24</f>
        <v>4</v>
      </c>
      <c r="I66" s="78">
        <f t="shared" si="29"/>
        <v>4</v>
      </c>
      <c r="J66" s="78">
        <f t="shared" ref="J66:K66" si="30">J63+(J64*J65)/24</f>
        <v>4</v>
      </c>
      <c r="K66" s="78">
        <f t="shared" si="30"/>
        <v>4</v>
      </c>
      <c r="L66" s="78">
        <f t="shared" ref="L66:M66" si="31">L63+(L64*L65)/24</f>
        <v>4</v>
      </c>
      <c r="M66" s="78">
        <f t="shared" si="31"/>
        <v>4</v>
      </c>
      <c r="N66" s="78">
        <f t="shared" ref="N66:O66" si="32">N63+(N64*N65)/24</f>
        <v>4</v>
      </c>
      <c r="O66" s="78">
        <f t="shared" si="32"/>
        <v>4</v>
      </c>
      <c r="P66" s="78">
        <f t="shared" ref="P66:Q66" si="33">P63+(P64*P65)/24</f>
        <v>4</v>
      </c>
      <c r="Q66" s="78">
        <f t="shared" si="33"/>
        <v>4</v>
      </c>
      <c r="R66" s="78">
        <f t="shared" ref="R66:S66" si="34">R63+(R64*R65)/24</f>
        <v>4</v>
      </c>
      <c r="S66" s="78">
        <f t="shared" si="34"/>
        <v>4</v>
      </c>
      <c r="T66" s="78">
        <f t="shared" ref="T66:U66" si="35">T63+(T64*T65)/24</f>
        <v>4</v>
      </c>
      <c r="U66" s="78">
        <f t="shared" si="35"/>
        <v>4</v>
      </c>
      <c r="V66" s="78">
        <f t="shared" ref="V66:W66" si="36">V63+(V64*V65)/24</f>
        <v>4</v>
      </c>
      <c r="W66" s="78">
        <f t="shared" si="36"/>
        <v>4</v>
      </c>
      <c r="X66" s="78">
        <f t="shared" ref="X66:Y66" si="37">X63+(X64*X65)/24</f>
        <v>4</v>
      </c>
      <c r="Y66" s="78">
        <f t="shared" si="37"/>
        <v>4</v>
      </c>
      <c r="Z66" s="78">
        <f t="shared" ref="Z66:AA66" si="38">Z63+(Z64*Z65)/24</f>
        <v>4</v>
      </c>
      <c r="AA66" s="78">
        <f t="shared" si="38"/>
        <v>4</v>
      </c>
      <c r="AB66" s="78">
        <f t="shared" ref="AB66:AC66" si="39">AB63+(AB64*AB65)/24</f>
        <v>4</v>
      </c>
      <c r="AC66" s="78">
        <f t="shared" si="39"/>
        <v>4</v>
      </c>
      <c r="AD66" s="78">
        <f t="shared" ref="AD66:AE66" si="40">AD63+(AD64*AD65)/24</f>
        <v>4</v>
      </c>
      <c r="AE66" s="78">
        <f t="shared" si="40"/>
        <v>4</v>
      </c>
      <c r="AF66" s="78">
        <f t="shared" ref="AF66:AG66" si="41">AF63+(AF64*AF65)/24</f>
        <v>4</v>
      </c>
      <c r="AG66" s="78">
        <f t="shared" si="41"/>
        <v>4</v>
      </c>
      <c r="AH66" s="78"/>
      <c r="AI66" s="398"/>
      <c r="AJ66" s="398"/>
      <c r="AK66" s="398"/>
      <c r="AL66" s="398"/>
    </row>
    <row r="67" spans="1:38" x14ac:dyDescent="0.2">
      <c r="A67" s="382"/>
      <c r="B67" s="383" t="s">
        <v>188</v>
      </c>
      <c r="C67" s="381">
        <f>$J4</f>
        <v>692</v>
      </c>
      <c r="D67" s="381">
        <f>$J7</f>
        <v>688</v>
      </c>
      <c r="E67" s="381">
        <f>$J10</f>
        <v>685</v>
      </c>
      <c r="F67" s="381">
        <f>$J13</f>
        <v>691</v>
      </c>
      <c r="G67" s="381">
        <f>$J34</f>
        <v>753</v>
      </c>
      <c r="H67" s="381">
        <f>$J37</f>
        <v>701</v>
      </c>
      <c r="I67" s="381">
        <f>$J16</f>
        <v>697</v>
      </c>
      <c r="J67" s="381"/>
      <c r="K67" s="381"/>
      <c r="L67" s="381">
        <f>$J25</f>
        <v>738</v>
      </c>
      <c r="M67" s="381">
        <f>$J28</f>
        <v>689</v>
      </c>
      <c r="N67" s="381">
        <f>$J31</f>
        <v>720</v>
      </c>
      <c r="O67" s="381">
        <f>$J40</f>
        <v>621</v>
      </c>
      <c r="P67" s="381">
        <f>$J43</f>
        <v>627</v>
      </c>
      <c r="Q67" s="381"/>
      <c r="R67" s="381">
        <f>$J49</f>
        <v>613</v>
      </c>
      <c r="S67" s="56"/>
      <c r="T67" s="56"/>
      <c r="U67" s="384"/>
      <c r="V67" s="92"/>
      <c r="W67" s="56"/>
      <c r="X67" s="56"/>
      <c r="Y67" s="56"/>
      <c r="Z67" s="56"/>
      <c r="AA67" s="56"/>
      <c r="AB67" s="56"/>
      <c r="AC67" s="56"/>
      <c r="AD67" s="56"/>
      <c r="AE67" s="56"/>
      <c r="AF67" s="56"/>
      <c r="AG67" s="92"/>
    </row>
    <row r="68" spans="1:38" ht="27" customHeight="1" x14ac:dyDescent="0.2">
      <c r="A68" s="509" t="s">
        <v>498</v>
      </c>
      <c r="B68" s="2" t="s">
        <v>493</v>
      </c>
      <c r="C68" s="27" t="s">
        <v>182</v>
      </c>
      <c r="D68" s="28">
        <f t="shared" ref="D68:I68" si="42">D53+D58+D63</f>
        <v>16</v>
      </c>
      <c r="E68" s="28">
        <f t="shared" si="42"/>
        <v>16</v>
      </c>
      <c r="F68" s="28">
        <f t="shared" si="42"/>
        <v>16</v>
      </c>
      <c r="G68" s="28">
        <f t="shared" si="42"/>
        <v>16</v>
      </c>
      <c r="H68" s="28">
        <f t="shared" si="42"/>
        <v>16</v>
      </c>
      <c r="I68" s="28">
        <f t="shared" si="42"/>
        <v>16</v>
      </c>
      <c r="J68" s="28">
        <f t="shared" ref="J68:K68" si="43">J53+J58+J63</f>
        <v>16</v>
      </c>
      <c r="K68" s="28">
        <f t="shared" si="43"/>
        <v>16</v>
      </c>
      <c r="L68" s="28">
        <f t="shared" ref="L68:M68" si="44">L53+L58+L63</f>
        <v>16</v>
      </c>
      <c r="M68" s="28">
        <f t="shared" si="44"/>
        <v>16</v>
      </c>
      <c r="N68" s="28">
        <f t="shared" ref="N68:O68" si="45">N53+N58+N63</f>
        <v>16</v>
      </c>
      <c r="O68" s="28">
        <f t="shared" si="45"/>
        <v>16</v>
      </c>
      <c r="P68" s="28">
        <f t="shared" ref="P68:Q68" si="46">P53+P58+P63</f>
        <v>16</v>
      </c>
      <c r="Q68" s="28">
        <f t="shared" si="46"/>
        <v>16</v>
      </c>
      <c r="R68" s="28">
        <f t="shared" ref="R68:S68" si="47">R53+R58+R63</f>
        <v>16</v>
      </c>
      <c r="S68" s="28">
        <f t="shared" si="47"/>
        <v>16</v>
      </c>
      <c r="T68" s="28">
        <f t="shared" ref="T68:U68" si="48">T53+T58+T63</f>
        <v>16</v>
      </c>
      <c r="U68" s="28">
        <f t="shared" si="48"/>
        <v>16</v>
      </c>
      <c r="V68" s="28">
        <f t="shared" ref="V68:W68" si="49">V53+V58+V63</f>
        <v>15</v>
      </c>
      <c r="W68" s="28">
        <f t="shared" si="49"/>
        <v>15</v>
      </c>
      <c r="X68" s="28">
        <f t="shared" ref="X68:Y68" si="50">X53+X58+X63</f>
        <v>15</v>
      </c>
      <c r="Y68" s="28">
        <f t="shared" si="50"/>
        <v>16</v>
      </c>
      <c r="Z68" s="28">
        <f t="shared" ref="Z68:AA68" si="51">Z53+Z58+Z63</f>
        <v>16</v>
      </c>
      <c r="AA68" s="28">
        <f t="shared" si="51"/>
        <v>16</v>
      </c>
      <c r="AB68" s="28">
        <f t="shared" ref="AB68:AC68" si="52">AB53+AB58+AB63</f>
        <v>16</v>
      </c>
      <c r="AC68" s="28">
        <f t="shared" si="52"/>
        <v>14</v>
      </c>
      <c r="AD68" s="28">
        <f t="shared" ref="AD68:AE68" si="53">AD53+AD58+AD63</f>
        <v>14</v>
      </c>
      <c r="AE68" s="28">
        <f t="shared" si="53"/>
        <v>14</v>
      </c>
      <c r="AF68" s="28">
        <f t="shared" ref="AF68:AG68" si="54">AF53+AF58+AF63</f>
        <v>14</v>
      </c>
      <c r="AG68" s="28">
        <f t="shared" si="54"/>
        <v>16</v>
      </c>
      <c r="AH68" s="28"/>
    </row>
    <row r="69" spans="1:38" ht="29.25" customHeight="1" x14ac:dyDescent="0.2">
      <c r="A69" s="510"/>
      <c r="B69" s="2" t="s">
        <v>183</v>
      </c>
      <c r="C69" s="27" t="s">
        <v>182</v>
      </c>
      <c r="D69" s="28">
        <f>D54+D59+D64</f>
        <v>0</v>
      </c>
      <c r="E69" s="28">
        <v>0</v>
      </c>
      <c r="F69" s="28">
        <v>0</v>
      </c>
      <c r="G69" s="28">
        <v>0</v>
      </c>
      <c r="H69" s="28">
        <v>0</v>
      </c>
      <c r="I69" s="28">
        <v>0</v>
      </c>
      <c r="J69" s="28">
        <v>0</v>
      </c>
      <c r="K69" s="28">
        <v>0</v>
      </c>
      <c r="L69" s="28">
        <v>0</v>
      </c>
      <c r="M69" s="28">
        <v>0</v>
      </c>
      <c r="N69" s="28">
        <v>0</v>
      </c>
      <c r="O69" s="28">
        <v>0</v>
      </c>
      <c r="P69" s="28">
        <v>0</v>
      </c>
      <c r="Q69" s="28">
        <v>0</v>
      </c>
      <c r="R69" s="28">
        <v>0</v>
      </c>
      <c r="S69" s="28">
        <v>0</v>
      </c>
      <c r="T69" s="28">
        <v>0</v>
      </c>
      <c r="U69" s="28">
        <v>0</v>
      </c>
      <c r="V69" s="28">
        <v>1</v>
      </c>
      <c r="W69" s="28">
        <v>1</v>
      </c>
      <c r="X69" s="28">
        <v>1</v>
      </c>
      <c r="Y69" s="28">
        <v>0</v>
      </c>
      <c r="Z69" s="28">
        <v>0</v>
      </c>
      <c r="AA69" s="28">
        <v>0</v>
      </c>
      <c r="AB69" s="28">
        <v>0</v>
      </c>
      <c r="AC69" s="28">
        <v>2</v>
      </c>
      <c r="AD69" s="28">
        <v>2</v>
      </c>
      <c r="AE69" s="28">
        <v>2</v>
      </c>
      <c r="AF69" s="28">
        <v>2</v>
      </c>
      <c r="AG69" s="28">
        <v>0</v>
      </c>
      <c r="AH69" s="28"/>
    </row>
    <row r="70" spans="1:38" ht="39.75" customHeight="1" x14ac:dyDescent="0.2">
      <c r="A70" s="510"/>
      <c r="B70" s="41" t="s">
        <v>184</v>
      </c>
      <c r="C70" s="27" t="s">
        <v>52</v>
      </c>
      <c r="D70" s="50">
        <f>(D65+D60+D55)/3</f>
        <v>0</v>
      </c>
      <c r="E70" s="50">
        <f t="shared" ref="E70:J70" si="55">(E65*4+E60*6+E55*6)/16</f>
        <v>0</v>
      </c>
      <c r="F70" s="50">
        <f t="shared" si="55"/>
        <v>0</v>
      </c>
      <c r="G70" s="50">
        <f t="shared" si="55"/>
        <v>0</v>
      </c>
      <c r="H70" s="50">
        <f t="shared" si="55"/>
        <v>0</v>
      </c>
      <c r="I70" s="50">
        <f t="shared" si="55"/>
        <v>0</v>
      </c>
      <c r="J70" s="50">
        <f t="shared" si="55"/>
        <v>0</v>
      </c>
      <c r="K70" s="50">
        <f t="shared" ref="K70:L70" si="56">(K65*4+K60*6+K55*6)/16</f>
        <v>0</v>
      </c>
      <c r="L70" s="50">
        <f t="shared" si="56"/>
        <v>0</v>
      </c>
      <c r="M70" s="50">
        <f t="shared" ref="M70:N70" si="57">(M65*4+M60*6+M55*6)/16</f>
        <v>0</v>
      </c>
      <c r="N70" s="50">
        <f t="shared" si="57"/>
        <v>0</v>
      </c>
      <c r="O70" s="50">
        <f t="shared" ref="O70:P70" si="58">(O65*4+O60*6+O55*6)/16</f>
        <v>0</v>
      </c>
      <c r="P70" s="50">
        <f t="shared" si="58"/>
        <v>0</v>
      </c>
      <c r="Q70" s="50">
        <f t="shared" ref="Q70:R70" si="59">(Q65*4+Q60*6+Q55*6)/16</f>
        <v>0</v>
      </c>
      <c r="R70" s="50">
        <f t="shared" si="59"/>
        <v>0</v>
      </c>
      <c r="S70" s="50">
        <f t="shared" ref="S70:T70" si="60">(S65*4+S60*6+S55*6)/16</f>
        <v>0</v>
      </c>
      <c r="T70" s="50">
        <f t="shared" si="60"/>
        <v>0</v>
      </c>
      <c r="U70" s="50">
        <f t="shared" ref="U70" si="61">(U65*4+U60*6+U55*6)/16</f>
        <v>0</v>
      </c>
      <c r="V70" s="50">
        <f t="shared" ref="V70:AF70" si="62">V65+V60+V55</f>
        <v>6.5</v>
      </c>
      <c r="W70" s="50">
        <f t="shared" si="62"/>
        <v>0</v>
      </c>
      <c r="X70" s="50">
        <f t="shared" si="62"/>
        <v>2.63</v>
      </c>
      <c r="Y70" s="50">
        <f t="shared" si="62"/>
        <v>0</v>
      </c>
      <c r="Z70" s="50">
        <f t="shared" si="62"/>
        <v>0</v>
      </c>
      <c r="AA70" s="50">
        <f t="shared" si="62"/>
        <v>0</v>
      </c>
      <c r="AB70" s="50">
        <f t="shared" si="62"/>
        <v>0</v>
      </c>
      <c r="AC70" s="50">
        <f t="shared" si="62"/>
        <v>3</v>
      </c>
      <c r="AD70" s="50">
        <f t="shared" si="62"/>
        <v>0</v>
      </c>
      <c r="AE70" s="50">
        <f t="shared" si="62"/>
        <v>0</v>
      </c>
      <c r="AF70" s="50">
        <f t="shared" si="62"/>
        <v>15.92</v>
      </c>
      <c r="AG70" s="50">
        <f t="shared" ref="AG70" si="63">AG65+AG60+AG55</f>
        <v>0</v>
      </c>
      <c r="AH70" s="50"/>
    </row>
    <row r="71" spans="1:38" s="399" customFormat="1" ht="38.25" customHeight="1" x14ac:dyDescent="0.2">
      <c r="A71" s="510"/>
      <c r="B71" s="76" t="s">
        <v>185</v>
      </c>
      <c r="C71" s="77" t="s">
        <v>186</v>
      </c>
      <c r="D71" s="78">
        <f t="shared" ref="D71" si="64">D68+(D69*D70)/24</f>
        <v>16</v>
      </c>
      <c r="E71" s="78">
        <f t="shared" ref="E71:K71" si="65">E68+(E69*E70)/24</f>
        <v>16</v>
      </c>
      <c r="F71" s="78">
        <f t="shared" si="65"/>
        <v>16</v>
      </c>
      <c r="G71" s="78">
        <f t="shared" si="65"/>
        <v>16</v>
      </c>
      <c r="H71" s="78">
        <f t="shared" si="65"/>
        <v>16</v>
      </c>
      <c r="I71" s="78">
        <f t="shared" si="65"/>
        <v>16</v>
      </c>
      <c r="J71" s="78">
        <f t="shared" si="65"/>
        <v>16</v>
      </c>
      <c r="K71" s="78">
        <f t="shared" si="65"/>
        <v>16</v>
      </c>
      <c r="L71" s="78">
        <f t="shared" ref="L71:M71" si="66">L68+(L69*L70)/24</f>
        <v>16</v>
      </c>
      <c r="M71" s="78">
        <f t="shared" si="66"/>
        <v>16</v>
      </c>
      <c r="N71" s="78">
        <f t="shared" ref="N71:O71" si="67">N68+(N69*N70)/24</f>
        <v>16</v>
      </c>
      <c r="O71" s="78">
        <f t="shared" si="67"/>
        <v>16</v>
      </c>
      <c r="P71" s="78">
        <f t="shared" ref="P71:Q71" si="68">P68+(P69*P70)/24</f>
        <v>16</v>
      </c>
      <c r="Q71" s="78">
        <f t="shared" si="68"/>
        <v>16</v>
      </c>
      <c r="R71" s="78">
        <f t="shared" ref="R71:S71" si="69">R68+(R69*R70)/24</f>
        <v>16</v>
      </c>
      <c r="S71" s="78">
        <f t="shared" si="69"/>
        <v>16</v>
      </c>
      <c r="T71" s="78">
        <f t="shared" ref="T71:U71" si="70">T68+(T69*T70)/24</f>
        <v>16</v>
      </c>
      <c r="U71" s="78">
        <f t="shared" si="70"/>
        <v>16</v>
      </c>
      <c r="V71" s="78">
        <f t="shared" ref="V71:AA71" si="71">V68+(V69*V70)/24</f>
        <v>15.270833333333334</v>
      </c>
      <c r="W71" s="78">
        <f t="shared" si="71"/>
        <v>15</v>
      </c>
      <c r="X71" s="78">
        <f t="shared" si="71"/>
        <v>15.109583333333333</v>
      </c>
      <c r="Y71" s="78">
        <f t="shared" si="71"/>
        <v>16</v>
      </c>
      <c r="Z71" s="78">
        <f t="shared" si="71"/>
        <v>16</v>
      </c>
      <c r="AA71" s="78">
        <f t="shared" si="71"/>
        <v>16</v>
      </c>
      <c r="AB71" s="78">
        <f t="shared" ref="AB71:AF71" si="72">AB68+(AB69*AB70)/24</f>
        <v>16</v>
      </c>
      <c r="AC71" s="78">
        <f t="shared" si="72"/>
        <v>14.25</v>
      </c>
      <c r="AD71" s="78">
        <f t="shared" si="72"/>
        <v>14</v>
      </c>
      <c r="AE71" s="78">
        <f t="shared" si="72"/>
        <v>14</v>
      </c>
      <c r="AF71" s="78">
        <f t="shared" si="72"/>
        <v>15.326666666666666</v>
      </c>
      <c r="AG71" s="78">
        <f t="shared" ref="AG71" si="73">AG68+(AG69*AG70)/24</f>
        <v>16</v>
      </c>
      <c r="AH71" s="78"/>
      <c r="AI71" s="398"/>
      <c r="AJ71" s="398"/>
      <c r="AK71" s="398"/>
      <c r="AL71" s="398"/>
    </row>
    <row r="72" spans="1:38" x14ac:dyDescent="0.2">
      <c r="A72" s="60"/>
      <c r="B72" s="95"/>
      <c r="C72" s="58"/>
      <c r="D72" s="58"/>
      <c r="E72" s="58"/>
      <c r="F72" s="58"/>
      <c r="G72" s="58"/>
      <c r="H72" s="58"/>
      <c r="I72" s="58"/>
      <c r="J72" s="58"/>
      <c r="K72" s="58"/>
      <c r="L72" s="58"/>
      <c r="M72" s="58"/>
      <c r="N72" s="58"/>
      <c r="O72" s="58"/>
      <c r="P72" s="58"/>
      <c r="Q72" s="58"/>
      <c r="R72" s="58"/>
    </row>
    <row r="73" spans="1:38" x14ac:dyDescent="0.2">
      <c r="A73" s="60"/>
      <c r="B73" s="95"/>
      <c r="C73" s="58"/>
      <c r="D73" s="58"/>
      <c r="E73" s="58"/>
      <c r="F73" s="58"/>
      <c r="G73" s="58"/>
      <c r="H73" s="58"/>
      <c r="I73" s="58"/>
      <c r="J73" s="58"/>
      <c r="K73" s="58"/>
      <c r="L73" s="58"/>
      <c r="M73" s="58"/>
      <c r="N73" s="58"/>
      <c r="O73" s="58"/>
      <c r="P73" s="58"/>
      <c r="Q73" s="58"/>
      <c r="R73" s="58"/>
    </row>
    <row r="74" spans="1:38" x14ac:dyDescent="0.2">
      <c r="A74" s="60"/>
      <c r="B74" s="95"/>
      <c r="C74" s="58"/>
      <c r="D74" s="58"/>
      <c r="E74" s="58"/>
      <c r="F74" s="58"/>
      <c r="G74" s="58"/>
      <c r="H74" s="58"/>
      <c r="I74" s="58"/>
      <c r="J74" s="58"/>
      <c r="K74" s="58"/>
      <c r="L74" s="58"/>
      <c r="M74" s="58"/>
      <c r="N74" s="58"/>
      <c r="O74" s="58"/>
      <c r="P74" s="58"/>
      <c r="Q74" s="58"/>
      <c r="R74" s="58"/>
    </row>
    <row r="75" spans="1:38" x14ac:dyDescent="0.2">
      <c r="A75" s="60"/>
      <c r="B75" s="95"/>
      <c r="C75" s="58"/>
      <c r="D75" s="58"/>
      <c r="E75" s="58"/>
      <c r="F75" s="58"/>
      <c r="G75" s="58"/>
      <c r="H75" s="58"/>
      <c r="I75" s="58"/>
      <c r="J75" s="58"/>
      <c r="K75" s="58"/>
      <c r="L75" s="58"/>
      <c r="M75" s="58"/>
      <c r="N75" s="58"/>
      <c r="O75" s="58"/>
      <c r="P75" s="58"/>
      <c r="Q75" s="58"/>
      <c r="R75" s="58"/>
    </row>
    <row r="76" spans="1:38" x14ac:dyDescent="0.2">
      <c r="A76" s="62"/>
      <c r="B76" s="95"/>
      <c r="C76" s="58"/>
      <c r="D76" s="58"/>
      <c r="E76" s="58"/>
      <c r="F76" s="58"/>
      <c r="G76" s="58"/>
      <c r="H76" s="58"/>
      <c r="I76" s="58"/>
      <c r="J76" s="58"/>
      <c r="K76" s="58"/>
      <c r="L76" s="58"/>
      <c r="M76" s="58"/>
      <c r="N76" s="58"/>
      <c r="O76" s="58"/>
      <c r="P76" s="58"/>
      <c r="Q76" s="58"/>
      <c r="R76" s="58"/>
    </row>
    <row r="77" spans="1:38" x14ac:dyDescent="0.2">
      <c r="B77" s="95"/>
      <c r="C77" s="58"/>
      <c r="D77" s="58"/>
      <c r="E77" s="58"/>
      <c r="F77" s="58"/>
      <c r="G77" s="58"/>
      <c r="H77" s="58"/>
      <c r="I77" s="58"/>
      <c r="J77" s="58"/>
      <c r="K77" s="58"/>
      <c r="L77" s="58"/>
      <c r="M77" s="58"/>
      <c r="N77" s="58"/>
      <c r="O77" s="58"/>
      <c r="P77" s="58"/>
      <c r="Q77" s="58"/>
      <c r="R77" s="58"/>
    </row>
    <row r="78" spans="1:38" x14ac:dyDescent="0.2">
      <c r="A78" s="60"/>
      <c r="B78" s="95"/>
      <c r="C78" s="58"/>
      <c r="D78" s="58"/>
      <c r="E78" s="58"/>
      <c r="F78" s="58"/>
      <c r="G78" s="58"/>
      <c r="H78" s="58"/>
      <c r="I78" s="58"/>
      <c r="J78" s="58"/>
      <c r="K78" s="58"/>
      <c r="L78" s="58"/>
      <c r="M78" s="58"/>
      <c r="N78" s="58"/>
      <c r="O78" s="58"/>
      <c r="P78" s="58"/>
      <c r="Q78" s="58"/>
      <c r="R78" s="58"/>
    </row>
    <row r="79" spans="1:38" x14ac:dyDescent="0.2">
      <c r="B79" s="95"/>
      <c r="C79" s="58"/>
      <c r="D79" s="58"/>
      <c r="E79" s="58"/>
      <c r="F79" s="58"/>
      <c r="G79" s="58"/>
      <c r="H79" s="58"/>
      <c r="I79" s="58"/>
      <c r="J79" s="58"/>
      <c r="K79" s="58"/>
      <c r="L79" s="58"/>
      <c r="M79" s="58"/>
      <c r="N79" s="58"/>
      <c r="O79" s="58"/>
      <c r="P79" s="58"/>
      <c r="Q79" s="58"/>
      <c r="R79" s="58"/>
    </row>
    <row r="80" spans="1:38" x14ac:dyDescent="0.2">
      <c r="B80" s="95"/>
      <c r="C80" s="58"/>
      <c r="D80" s="58"/>
      <c r="E80" s="58"/>
      <c r="F80" s="58"/>
      <c r="G80" s="58"/>
      <c r="H80" s="58"/>
      <c r="I80" s="58"/>
      <c r="J80" s="58"/>
      <c r="K80" s="58"/>
      <c r="L80" s="58"/>
      <c r="M80" s="58"/>
      <c r="N80" s="58"/>
      <c r="O80" s="58"/>
      <c r="P80" s="58"/>
      <c r="Q80" s="58"/>
      <c r="R80" s="58"/>
    </row>
    <row r="81" spans="2:18" x14ac:dyDescent="0.2">
      <c r="B81" s="95"/>
      <c r="C81" s="58"/>
      <c r="D81" s="58"/>
      <c r="E81" s="58"/>
      <c r="F81" s="58"/>
      <c r="G81" s="58"/>
      <c r="H81" s="58"/>
      <c r="I81" s="58"/>
      <c r="J81" s="58"/>
      <c r="K81" s="58"/>
      <c r="L81" s="58"/>
      <c r="M81" s="58"/>
      <c r="N81" s="58"/>
      <c r="O81" s="58"/>
      <c r="P81" s="58"/>
      <c r="Q81" s="58"/>
      <c r="R81" s="58"/>
    </row>
    <row r="82" spans="2:18" x14ac:dyDescent="0.2">
      <c r="B82" s="95"/>
      <c r="C82" s="58"/>
      <c r="D82" s="58"/>
      <c r="E82" s="58"/>
      <c r="F82" s="58"/>
      <c r="G82" s="58"/>
      <c r="H82" s="58"/>
      <c r="I82" s="58"/>
      <c r="J82" s="58"/>
      <c r="K82" s="58"/>
      <c r="L82" s="58"/>
      <c r="M82" s="58"/>
      <c r="N82" s="58"/>
      <c r="O82" s="58"/>
      <c r="P82" s="58"/>
      <c r="Q82" s="58"/>
      <c r="R82" s="58"/>
    </row>
    <row r="83" spans="2:18" x14ac:dyDescent="0.2">
      <c r="B83" s="95"/>
      <c r="C83" s="58"/>
      <c r="D83" s="58"/>
      <c r="E83" s="58"/>
      <c r="F83" s="58"/>
      <c r="G83" s="58"/>
      <c r="H83" s="58"/>
      <c r="I83" s="58"/>
      <c r="J83" s="58"/>
      <c r="K83" s="58"/>
      <c r="L83" s="58"/>
      <c r="M83" s="58"/>
      <c r="N83" s="58"/>
      <c r="O83" s="58"/>
      <c r="P83" s="58"/>
      <c r="Q83" s="58"/>
      <c r="R83" s="58"/>
    </row>
    <row r="84" spans="2:18" x14ac:dyDescent="0.2">
      <c r="B84" s="95"/>
      <c r="C84" s="58"/>
      <c r="D84" s="58"/>
      <c r="E84" s="58"/>
      <c r="F84" s="58"/>
      <c r="G84" s="58"/>
      <c r="H84" s="58"/>
      <c r="I84" s="58"/>
      <c r="J84" s="58"/>
      <c r="K84" s="58"/>
      <c r="L84" s="58"/>
      <c r="M84" s="58"/>
      <c r="N84" s="58"/>
      <c r="O84" s="58"/>
      <c r="P84" s="58"/>
      <c r="Q84" s="58"/>
      <c r="R84" s="58"/>
    </row>
    <row r="85" spans="2:18" x14ac:dyDescent="0.2">
      <c r="B85" s="95"/>
      <c r="C85" s="58"/>
      <c r="D85" s="58"/>
      <c r="E85" s="58"/>
      <c r="F85" s="58"/>
      <c r="G85" s="58"/>
      <c r="H85" s="58"/>
      <c r="I85" s="58"/>
      <c r="J85" s="58"/>
      <c r="K85" s="58"/>
      <c r="L85" s="58"/>
      <c r="M85" s="58"/>
      <c r="N85" s="58"/>
      <c r="O85" s="58"/>
      <c r="P85" s="58"/>
      <c r="Q85" s="58"/>
      <c r="R85" s="58"/>
    </row>
    <row r="86" spans="2:18" x14ac:dyDescent="0.2">
      <c r="B86" s="95"/>
      <c r="C86" s="58"/>
      <c r="D86" s="58"/>
      <c r="E86" s="58"/>
      <c r="F86" s="58"/>
      <c r="G86" s="58"/>
      <c r="H86" s="58"/>
      <c r="I86" s="58"/>
      <c r="J86" s="58"/>
      <c r="K86" s="58"/>
      <c r="L86" s="58"/>
      <c r="M86" s="58"/>
      <c r="N86" s="58"/>
      <c r="O86" s="58"/>
      <c r="P86" s="58"/>
      <c r="Q86" s="58"/>
      <c r="R86" s="58"/>
    </row>
    <row r="87" spans="2:18" x14ac:dyDescent="0.2">
      <c r="B87" s="95"/>
      <c r="C87" s="58"/>
      <c r="D87" s="58"/>
      <c r="E87" s="58"/>
      <c r="F87" s="58"/>
      <c r="G87" s="58"/>
      <c r="H87" s="58"/>
      <c r="I87" s="58"/>
      <c r="J87" s="58"/>
      <c r="K87" s="58"/>
      <c r="L87" s="58"/>
      <c r="M87" s="58"/>
      <c r="N87" s="58"/>
      <c r="O87" s="58"/>
      <c r="P87" s="58"/>
      <c r="Q87" s="58"/>
      <c r="R87" s="58"/>
    </row>
    <row r="88" spans="2:18" x14ac:dyDescent="0.2">
      <c r="B88" s="95"/>
      <c r="C88" s="58"/>
      <c r="D88" s="58"/>
      <c r="E88" s="58"/>
      <c r="F88" s="58"/>
      <c r="G88" s="58"/>
      <c r="H88" s="58"/>
      <c r="I88" s="58"/>
      <c r="J88" s="58"/>
      <c r="K88" s="58"/>
      <c r="L88" s="58"/>
      <c r="M88" s="58"/>
      <c r="N88" s="58"/>
      <c r="O88" s="58"/>
      <c r="P88" s="58"/>
      <c r="Q88" s="58"/>
      <c r="R88" s="58"/>
    </row>
    <row r="89" spans="2:18" x14ac:dyDescent="0.2">
      <c r="B89" s="95"/>
      <c r="C89" s="58"/>
      <c r="D89" s="58"/>
      <c r="E89" s="58"/>
      <c r="F89" s="58"/>
      <c r="G89" s="58"/>
      <c r="H89" s="58"/>
      <c r="I89" s="58"/>
      <c r="J89" s="58"/>
      <c r="K89" s="58"/>
      <c r="L89" s="58"/>
      <c r="M89" s="58"/>
      <c r="N89" s="58"/>
      <c r="O89" s="58"/>
      <c r="P89" s="58"/>
      <c r="Q89" s="58"/>
      <c r="R89" s="58"/>
    </row>
    <row r="90" spans="2:18" x14ac:dyDescent="0.2">
      <c r="B90" s="95"/>
      <c r="C90" s="58"/>
      <c r="D90" s="58"/>
      <c r="E90" s="58"/>
      <c r="F90" s="58"/>
      <c r="G90" s="58"/>
      <c r="H90" s="58"/>
      <c r="I90" s="58"/>
      <c r="J90" s="58"/>
      <c r="K90" s="58"/>
      <c r="L90" s="58"/>
      <c r="M90" s="58"/>
      <c r="N90" s="58"/>
      <c r="O90" s="58"/>
      <c r="P90" s="58"/>
      <c r="Q90" s="58"/>
      <c r="R90" s="58"/>
    </row>
    <row r="91" spans="2:18" x14ac:dyDescent="0.2">
      <c r="B91" s="95"/>
      <c r="C91" s="58"/>
      <c r="D91" s="58"/>
      <c r="E91" s="58"/>
      <c r="F91" s="58"/>
      <c r="G91" s="58"/>
      <c r="H91" s="58"/>
      <c r="I91" s="58"/>
      <c r="J91" s="58"/>
      <c r="K91" s="58"/>
      <c r="L91" s="58"/>
      <c r="M91" s="58"/>
      <c r="N91" s="58"/>
      <c r="O91" s="58"/>
      <c r="P91" s="58"/>
      <c r="Q91" s="58"/>
      <c r="R91" s="58"/>
    </row>
    <row r="95" spans="2:18" x14ac:dyDescent="0.2">
      <c r="L95" s="35">
        <v>27</v>
      </c>
    </row>
    <row r="96" spans="2:18" x14ac:dyDescent="0.2">
      <c r="L96" s="35">
        <v>22</v>
      </c>
    </row>
    <row r="108" spans="12:12" x14ac:dyDescent="0.2">
      <c r="L108" s="35">
        <v>27</v>
      </c>
    </row>
    <row r="109" spans="12:12" x14ac:dyDescent="0.2">
      <c r="L109" s="35">
        <v>23</v>
      </c>
    </row>
    <row r="121" spans="12:12" x14ac:dyDescent="0.2">
      <c r="L121" s="35">
        <v>27</v>
      </c>
    </row>
    <row r="122" spans="12:12" x14ac:dyDescent="0.2">
      <c r="L122" s="35">
        <v>24</v>
      </c>
    </row>
    <row r="134" spans="12:12" x14ac:dyDescent="0.2">
      <c r="L134" s="35">
        <v>27</v>
      </c>
    </row>
    <row r="135" spans="12:12" x14ac:dyDescent="0.2">
      <c r="L135" s="35">
        <v>23</v>
      </c>
    </row>
    <row r="147" spans="12:12" x14ac:dyDescent="0.2">
      <c r="L147" s="35">
        <v>25</v>
      </c>
    </row>
    <row r="148" spans="12:12" x14ac:dyDescent="0.2">
      <c r="L148" s="35">
        <v>16</v>
      </c>
    </row>
    <row r="160" spans="12:12" x14ac:dyDescent="0.2">
      <c r="L160" s="35">
        <v>23</v>
      </c>
    </row>
    <row r="161" spans="12:12" x14ac:dyDescent="0.2">
      <c r="L161" s="35">
        <v>16</v>
      </c>
    </row>
    <row r="173" spans="12:12" x14ac:dyDescent="0.2">
      <c r="L173" s="35">
        <v>23</v>
      </c>
    </row>
    <row r="174" spans="12:12" x14ac:dyDescent="0.2">
      <c r="L174" s="35">
        <v>16</v>
      </c>
    </row>
    <row r="186" spans="12:12" x14ac:dyDescent="0.2">
      <c r="L186" s="35">
        <v>22</v>
      </c>
    </row>
    <row r="187" spans="12:12" x14ac:dyDescent="0.2">
      <c r="L187" s="35">
        <v>16</v>
      </c>
    </row>
    <row r="199" spans="12:12" x14ac:dyDescent="0.2">
      <c r="L199" s="35">
        <v>28</v>
      </c>
    </row>
    <row r="200" spans="12:12" x14ac:dyDescent="0.2">
      <c r="L200" s="35">
        <v>24</v>
      </c>
    </row>
    <row r="212" spans="12:12" x14ac:dyDescent="0.2">
      <c r="L212" s="35">
        <v>27</v>
      </c>
    </row>
    <row r="213" spans="12:12" x14ac:dyDescent="0.2">
      <c r="L213" s="35">
        <v>25</v>
      </c>
    </row>
    <row r="225" spans="12:12" x14ac:dyDescent="0.2">
      <c r="L225" s="35">
        <v>27</v>
      </c>
    </row>
    <row r="226" spans="12:12" x14ac:dyDescent="0.2">
      <c r="L226" s="35">
        <v>25</v>
      </c>
    </row>
    <row r="238" spans="12:12" x14ac:dyDescent="0.2">
      <c r="L238" s="35">
        <v>25</v>
      </c>
    </row>
    <row r="239" spans="12:12" x14ac:dyDescent="0.2">
      <c r="L239" s="35">
        <v>10</v>
      </c>
    </row>
    <row r="251" spans="12:12" x14ac:dyDescent="0.2">
      <c r="L251" s="35">
        <v>15</v>
      </c>
    </row>
    <row r="252" spans="12:12" x14ac:dyDescent="0.2">
      <c r="L252" s="35">
        <v>11</v>
      </c>
    </row>
    <row r="264" spans="12:12" x14ac:dyDescent="0.2">
      <c r="L264" s="35">
        <v>27</v>
      </c>
    </row>
    <row r="265" spans="12:12" x14ac:dyDescent="0.2">
      <c r="L265" s="35">
        <v>25</v>
      </c>
    </row>
    <row r="277" spans="12:12" x14ac:dyDescent="0.2">
      <c r="L277" s="35">
        <v>28</v>
      </c>
    </row>
    <row r="278" spans="12:12" x14ac:dyDescent="0.2">
      <c r="L278" s="35">
        <v>10</v>
      </c>
    </row>
    <row r="290" spans="12:12" x14ac:dyDescent="0.2">
      <c r="L290" s="35">
        <v>27</v>
      </c>
    </row>
    <row r="291" spans="12:12" x14ac:dyDescent="0.2">
      <c r="L291" s="35">
        <v>22</v>
      </c>
    </row>
  </sheetData>
  <mergeCells count="24">
    <mergeCell ref="AH3:BK3"/>
    <mergeCell ref="A25:A27"/>
    <mergeCell ref="A28:A30"/>
    <mergeCell ref="A46:A48"/>
    <mergeCell ref="A49:A51"/>
    <mergeCell ref="A10:A12"/>
    <mergeCell ref="A19:A21"/>
    <mergeCell ref="A13:A15"/>
    <mergeCell ref="A16:A18"/>
    <mergeCell ref="A31:A33"/>
    <mergeCell ref="A68:A71"/>
    <mergeCell ref="A1:B1"/>
    <mergeCell ref="A3:AG3"/>
    <mergeCell ref="A2:B2"/>
    <mergeCell ref="A34:A36"/>
    <mergeCell ref="A43:A45"/>
    <mergeCell ref="A37:A39"/>
    <mergeCell ref="A4:A6"/>
    <mergeCell ref="A7:A9"/>
    <mergeCell ref="A22:A24"/>
    <mergeCell ref="A40:A42"/>
    <mergeCell ref="A53:A56"/>
    <mergeCell ref="A58:A61"/>
    <mergeCell ref="A63:A66"/>
  </mergeCells>
  <phoneticPr fontId="24" type="noConversion"/>
  <printOptions horizontalCentered="1" verticalCentered="1"/>
  <pageMargins left="0" right="0" top="0" bottom="0" header="0" footer="0"/>
  <pageSetup paperSize="9" scale="15" fitToHeight="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K33"/>
  <sheetViews>
    <sheetView zoomScale="80" zoomScaleNormal="80" workbookViewId="0">
      <pane ySplit="1" topLeftCell="A28" activePane="bottomLeft" state="frozen"/>
      <selection activeCell="G54" activeCellId="3" sqref="E49:F49 I54 I49 G54"/>
      <selection pane="bottomLeft" activeCell="G31" sqref="G31"/>
    </sheetView>
  </sheetViews>
  <sheetFormatPr defaultColWidth="9.140625" defaultRowHeight="12.75" x14ac:dyDescent="0.2"/>
  <cols>
    <col min="1" max="1" width="11.140625" style="5" customWidth="1"/>
    <col min="2" max="2" width="19.42578125" style="5" customWidth="1"/>
    <col min="3" max="3" width="21" style="5" customWidth="1"/>
    <col min="4" max="6" width="19.42578125" style="5" customWidth="1"/>
    <col min="7" max="7" width="84.140625" style="5" customWidth="1"/>
    <col min="8" max="8" width="10.28515625" style="5" bestFit="1" customWidth="1"/>
    <col min="9" max="16384" width="9.140625" style="5"/>
  </cols>
  <sheetData>
    <row r="1" spans="1:10" s="54" customFormat="1" ht="64.5" customHeight="1" x14ac:dyDescent="0.2">
      <c r="A1" s="75" t="s">
        <v>189</v>
      </c>
      <c r="B1" s="75" t="s">
        <v>190</v>
      </c>
      <c r="C1" s="75" t="s">
        <v>191</v>
      </c>
      <c r="D1" s="75" t="s">
        <v>192</v>
      </c>
      <c r="E1" s="75" t="s">
        <v>193</v>
      </c>
      <c r="F1" s="75" t="s">
        <v>194</v>
      </c>
      <c r="G1" s="75" t="s">
        <v>195</v>
      </c>
      <c r="H1" s="54" t="s">
        <v>196</v>
      </c>
      <c r="J1" s="54" t="s">
        <v>197</v>
      </c>
    </row>
    <row r="2" spans="1:10" ht="49.5" customHeight="1" x14ac:dyDescent="0.2">
      <c r="A2" s="25">
        <v>45444</v>
      </c>
      <c r="B2" s="24">
        <f>16*24*7/1000</f>
        <v>2.6880000000000002</v>
      </c>
      <c r="C2" s="24">
        <f>STATION!C$35*24*7*0.16/1000</f>
        <v>2.6880000000000002</v>
      </c>
      <c r="D2" s="24">
        <f>STATION!C$5</f>
        <v>2.6059970000000003</v>
      </c>
      <c r="E2" s="24">
        <f>B2-D2</f>
        <v>8.2002999999999826E-2</v>
      </c>
      <c r="F2" s="24">
        <f>C2-D2</f>
        <v>8.2002999999999826E-2</v>
      </c>
      <c r="G2" s="252"/>
      <c r="H2" s="279">
        <f>F2*3.31*10</f>
        <v>2.7142992999999942</v>
      </c>
      <c r="J2" s="279">
        <f t="shared" ref="J2:J11" si="0">F2*1000/24</f>
        <v>3.4167916666666596</v>
      </c>
    </row>
    <row r="3" spans="1:10" ht="42.95" customHeight="1" x14ac:dyDescent="0.2">
      <c r="A3" s="25">
        <v>45445</v>
      </c>
      <c r="B3" s="24">
        <f t="shared" ref="B3:B32" si="1">16*24*7/1000</f>
        <v>2.6880000000000002</v>
      </c>
      <c r="C3" s="24">
        <f>STATION!D$35*24*7*0.16/1000</f>
        <v>2.6880000000000002</v>
      </c>
      <c r="D3" s="24">
        <f>STATION!D$5</f>
        <v>2.5813680000000003</v>
      </c>
      <c r="E3" s="24">
        <f>B3-D3</f>
        <v>0.10663199999999984</v>
      </c>
      <c r="F3" s="24">
        <f>C3-D3</f>
        <v>0.10663199999999984</v>
      </c>
      <c r="G3" s="252"/>
      <c r="H3" s="279">
        <f>F3*3.3*10</f>
        <v>3.5188559999999947</v>
      </c>
      <c r="J3" s="279">
        <f>F3*1000/24</f>
        <v>4.4429999999999934</v>
      </c>
    </row>
    <row r="4" spans="1:10" ht="44.25" customHeight="1" x14ac:dyDescent="0.2">
      <c r="A4" s="25">
        <v>45446</v>
      </c>
      <c r="B4" s="24">
        <f t="shared" si="1"/>
        <v>2.6880000000000002</v>
      </c>
      <c r="C4" s="24">
        <f>STATION!E$35*24*7*0.16/1000</f>
        <v>2.6880000000000002</v>
      </c>
      <c r="D4" s="24">
        <f>STATION!E$5</f>
        <v>2.662166</v>
      </c>
      <c r="E4" s="24">
        <f>B4-D4</f>
        <v>2.5834000000000135E-2</v>
      </c>
      <c r="F4" s="24">
        <f>C4-D4</f>
        <v>2.5834000000000135E-2</v>
      </c>
      <c r="G4" s="252"/>
      <c r="H4" s="279">
        <f>F4*3.27*10</f>
        <v>0.8447718000000044</v>
      </c>
      <c r="I4" s="270"/>
      <c r="J4" s="279">
        <f t="shared" si="0"/>
        <v>1.0764166666666724</v>
      </c>
    </row>
    <row r="5" spans="1:10" ht="44.25" customHeight="1" x14ac:dyDescent="0.2">
      <c r="A5" s="25">
        <v>45447</v>
      </c>
      <c r="B5" s="24">
        <f t="shared" si="1"/>
        <v>2.6880000000000002</v>
      </c>
      <c r="C5" s="24">
        <f>STATION!F$35*24*7*0.16/1000</f>
        <v>2.6880000000000002</v>
      </c>
      <c r="D5" s="24">
        <f>STATION!F$5</f>
        <v>2.7521193750000004</v>
      </c>
      <c r="E5" s="24">
        <f t="shared" ref="E5:E6" si="2">B5-D5</f>
        <v>-6.4119375000000201E-2</v>
      </c>
      <c r="F5" s="24">
        <f t="shared" ref="F5:F6" si="3">C5-D5</f>
        <v>-6.4119375000000201E-2</v>
      </c>
      <c r="G5" s="252"/>
      <c r="H5" s="279">
        <f>F5*3.3*10</f>
        <v>-2.1159393750000066</v>
      </c>
      <c r="I5" s="79"/>
      <c r="J5" s="279">
        <f t="shared" si="0"/>
        <v>-2.6716406250000087</v>
      </c>
    </row>
    <row r="6" spans="1:10" ht="46.5" customHeight="1" x14ac:dyDescent="0.2">
      <c r="A6" s="25">
        <v>45448</v>
      </c>
      <c r="B6" s="24">
        <f t="shared" si="1"/>
        <v>2.6880000000000002</v>
      </c>
      <c r="C6" s="24">
        <f>STATION!G$35*24*7*0.16/1000</f>
        <v>2.6880000000000002</v>
      </c>
      <c r="D6" s="24">
        <f>STATION!G$5</f>
        <v>2.7507635624999995</v>
      </c>
      <c r="E6" s="24">
        <f t="shared" si="2"/>
        <v>-6.276356249999937E-2</v>
      </c>
      <c r="F6" s="24">
        <f t="shared" si="3"/>
        <v>-6.276356249999937E-2</v>
      </c>
      <c r="G6" s="252"/>
      <c r="H6" s="279">
        <f>F6*3.31*10</f>
        <v>-2.0774739187499791</v>
      </c>
      <c r="J6" s="279">
        <f t="shared" si="0"/>
        <v>-2.6151484374999736</v>
      </c>
    </row>
    <row r="7" spans="1:10" ht="52.5" customHeight="1" x14ac:dyDescent="0.2">
      <c r="A7" s="25">
        <v>45449</v>
      </c>
      <c r="B7" s="24">
        <f t="shared" si="1"/>
        <v>2.6880000000000002</v>
      </c>
      <c r="C7" s="24">
        <f>STATION!G$35*24*7*0.16/1000</f>
        <v>2.6880000000000002</v>
      </c>
      <c r="D7" s="24">
        <f>STATION!H$5</f>
        <v>2.6852830000000001</v>
      </c>
      <c r="E7" s="24">
        <f t="shared" ref="E7" si="4">B7-D7</f>
        <v>2.7170000000000805E-3</v>
      </c>
      <c r="F7" s="24">
        <f t="shared" ref="F7" si="5">C7-D7</f>
        <v>2.7170000000000805E-3</v>
      </c>
      <c r="G7" s="252"/>
      <c r="H7" s="279">
        <f>F7*3.32*10</f>
        <v>9.0204400000002669E-2</v>
      </c>
      <c r="J7" s="279">
        <f t="shared" si="0"/>
        <v>0.11320833333333669</v>
      </c>
    </row>
    <row r="8" spans="1:10" ht="44.25" customHeight="1" x14ac:dyDescent="0.2">
      <c r="A8" s="25">
        <v>45450</v>
      </c>
      <c r="B8" s="24">
        <f t="shared" si="1"/>
        <v>2.6880000000000002</v>
      </c>
      <c r="C8" s="24">
        <f>STATION!I$35*24*7*0.16/1000</f>
        <v>2.6880000000000002</v>
      </c>
      <c r="D8" s="24" t="e">
        <f>STATION!#REF!</f>
        <v>#REF!</v>
      </c>
      <c r="E8" s="24" t="e">
        <f t="shared" ref="E8" si="6">B8-D8</f>
        <v>#REF!</v>
      </c>
      <c r="F8" s="24" t="e">
        <f t="shared" ref="F8" si="7">C8-D8</f>
        <v>#REF!</v>
      </c>
      <c r="G8" s="252" t="s">
        <v>537</v>
      </c>
      <c r="H8" s="279" t="e">
        <f>F8*3.3*10</f>
        <v>#REF!</v>
      </c>
      <c r="J8" s="279" t="e">
        <f t="shared" si="0"/>
        <v>#REF!</v>
      </c>
    </row>
    <row r="9" spans="1:10" ht="57.75" customHeight="1" x14ac:dyDescent="0.2">
      <c r="A9" s="25">
        <v>45451</v>
      </c>
      <c r="B9" s="24">
        <f t="shared" si="1"/>
        <v>2.6880000000000002</v>
      </c>
      <c r="C9" s="24">
        <f>STATION!J$35*24*7*0.16/1000</f>
        <v>2.6880000000000002</v>
      </c>
      <c r="D9" s="24">
        <f>STATION!I$5</f>
        <v>2.7590200000000005</v>
      </c>
      <c r="E9" s="24">
        <f t="shared" ref="E9:E10" si="8">B9-D9</f>
        <v>-7.1020000000000305E-2</v>
      </c>
      <c r="F9" s="24">
        <f t="shared" ref="F9:F10" si="9">C9-D9</f>
        <v>-7.1020000000000305E-2</v>
      </c>
      <c r="G9" s="252"/>
      <c r="H9" s="279">
        <f>F9*3.33*10</f>
        <v>-2.3649660000000101</v>
      </c>
      <c r="J9" s="279">
        <f t="shared" si="0"/>
        <v>-2.9591666666666794</v>
      </c>
    </row>
    <row r="10" spans="1:10" ht="52.5" customHeight="1" x14ac:dyDescent="0.2">
      <c r="A10" s="25">
        <v>45452</v>
      </c>
      <c r="B10" s="24">
        <f t="shared" si="1"/>
        <v>2.6880000000000002</v>
      </c>
      <c r="C10" s="24">
        <f>STATION!K$35*24*7*0.16/1000</f>
        <v>2.6880000000000002</v>
      </c>
      <c r="D10" s="24">
        <f>STATION!K$5</f>
        <v>2.7768579999999998</v>
      </c>
      <c r="E10" s="24">
        <f t="shared" si="8"/>
        <v>-8.8857999999999659E-2</v>
      </c>
      <c r="F10" s="24">
        <f t="shared" si="9"/>
        <v>-8.8857999999999659E-2</v>
      </c>
      <c r="G10" s="252"/>
      <c r="H10" s="279">
        <f>F10*3.3*10</f>
        <v>-2.9323139999999888</v>
      </c>
      <c r="J10" s="279">
        <f>F10*1000/24</f>
        <v>-3.7024166666666525</v>
      </c>
    </row>
    <row r="11" spans="1:10" ht="47.25" customHeight="1" x14ac:dyDescent="0.2">
      <c r="A11" s="25">
        <v>45453</v>
      </c>
      <c r="B11" s="24">
        <f t="shared" si="1"/>
        <v>2.6880000000000002</v>
      </c>
      <c r="C11" s="24">
        <f>STATION!L$35*24*7*0.16/1000</f>
        <v>2.6880000000000002</v>
      </c>
      <c r="D11" s="24">
        <f>STATION!L$5</f>
        <v>2.79556</v>
      </c>
      <c r="E11" s="24">
        <f t="shared" ref="E11" si="10">B11-D11</f>
        <v>-0.10755999999999988</v>
      </c>
      <c r="F11" s="24">
        <f t="shared" ref="F11" si="11">C11-D11</f>
        <v>-0.10755999999999988</v>
      </c>
      <c r="G11" s="252" t="s">
        <v>544</v>
      </c>
      <c r="H11" s="279">
        <f>F11*3.26*10</f>
        <v>-3.5064559999999956</v>
      </c>
      <c r="J11" s="279">
        <f t="shared" si="0"/>
        <v>-4.4816666666666611</v>
      </c>
    </row>
    <row r="12" spans="1:10" ht="51" customHeight="1" x14ac:dyDescent="0.2">
      <c r="A12" s="25">
        <v>45454</v>
      </c>
      <c r="B12" s="24">
        <f t="shared" si="1"/>
        <v>2.6880000000000002</v>
      </c>
      <c r="C12" s="24">
        <f>STATION!M$35*24*7*0.16/1000</f>
        <v>2.6880000000000002</v>
      </c>
      <c r="D12" s="24">
        <f>STATION!M$5</f>
        <v>2.7191356250000003</v>
      </c>
      <c r="E12" s="24">
        <f t="shared" ref="E12" si="12">B12-D12</f>
        <v>-3.1135625000000111E-2</v>
      </c>
      <c r="F12" s="24">
        <f t="shared" ref="F12" si="13">C12-D12</f>
        <v>-3.1135625000000111E-2</v>
      </c>
      <c r="G12" s="252"/>
      <c r="H12" s="279">
        <f>F12*3.22*10</f>
        <v>-1.0025671250000037</v>
      </c>
      <c r="J12" s="279">
        <f>F12*1000/24</f>
        <v>-1.297317708333338</v>
      </c>
    </row>
    <row r="13" spans="1:10" ht="49.5" customHeight="1" x14ac:dyDescent="0.2">
      <c r="A13" s="25">
        <v>45455</v>
      </c>
      <c r="B13" s="24">
        <f t="shared" si="1"/>
        <v>2.6880000000000002</v>
      </c>
      <c r="C13" s="24">
        <f>STATION!N$35*24*7*0.16/1000</f>
        <v>2.6880000000000002</v>
      </c>
      <c r="D13" s="24">
        <f>STATION!N$5</f>
        <v>2.7748227499999993</v>
      </c>
      <c r="E13" s="24">
        <f t="shared" ref="E13" si="14">B13-D13</f>
        <v>-8.6822749999999171E-2</v>
      </c>
      <c r="F13" s="24">
        <f t="shared" ref="F13" si="15">C13-D13</f>
        <v>-8.6822749999999171E-2</v>
      </c>
      <c r="G13" s="252"/>
      <c r="H13" s="279">
        <f>F13*3.21*10</f>
        <v>-2.787010274999973</v>
      </c>
      <c r="I13" s="265"/>
      <c r="J13" s="279">
        <f>F13*1000/24</f>
        <v>-3.6176145833332991</v>
      </c>
    </row>
    <row r="14" spans="1:10" ht="44.25" customHeight="1" x14ac:dyDescent="0.2">
      <c r="A14" s="25">
        <v>45456</v>
      </c>
      <c r="B14" s="24">
        <f t="shared" si="1"/>
        <v>2.6880000000000002</v>
      </c>
      <c r="C14" s="24">
        <f>STATION!O$35*24*7*0.16/1000</f>
        <v>2.6880000000000002</v>
      </c>
      <c r="D14" s="24">
        <f>STATION!O$5</f>
        <v>2.7006700000000001</v>
      </c>
      <c r="E14" s="24">
        <f t="shared" ref="E14" si="16">B14-D14</f>
        <v>-1.2669999999999959E-2</v>
      </c>
      <c r="F14" s="24">
        <f t="shared" ref="F14" si="17">C14-D14</f>
        <v>-1.2669999999999959E-2</v>
      </c>
      <c r="G14" s="252"/>
      <c r="H14" s="279">
        <f>F14*3.28*10</f>
        <v>-0.41557599999999861</v>
      </c>
      <c r="J14" s="279">
        <f>F14*1000/24</f>
        <v>-0.52791666666666492</v>
      </c>
    </row>
    <row r="15" spans="1:10" ht="62.25" customHeight="1" x14ac:dyDescent="0.2">
      <c r="A15" s="25">
        <v>45457</v>
      </c>
      <c r="B15" s="24">
        <f>16*24*7/1000</f>
        <v>2.6880000000000002</v>
      </c>
      <c r="C15" s="24">
        <f>STATION!P$35*24*7*0.16/1000</f>
        <v>2.6880000000000002</v>
      </c>
      <c r="D15" s="24">
        <f>STATION!P$5</f>
        <v>2.6318790000000001</v>
      </c>
      <c r="E15" s="24">
        <f t="shared" ref="E15" si="18">B15-D15</f>
        <v>5.6121000000000087E-2</v>
      </c>
      <c r="F15" s="24">
        <f t="shared" ref="F15:F16" si="19">C15-D15</f>
        <v>5.6121000000000087E-2</v>
      </c>
      <c r="G15" s="252" t="s">
        <v>554</v>
      </c>
      <c r="H15" s="279">
        <f>F15*3.32*10</f>
        <v>1.8632172000000027</v>
      </c>
      <c r="J15" s="279">
        <f t="shared" ref="J15:J30" si="20">F15*1000/24</f>
        <v>2.3383750000000036</v>
      </c>
    </row>
    <row r="16" spans="1:10" ht="44.25" customHeight="1" x14ac:dyDescent="0.2">
      <c r="A16" s="25">
        <v>45458</v>
      </c>
      <c r="B16" s="24">
        <f t="shared" si="1"/>
        <v>2.6880000000000002</v>
      </c>
      <c r="C16" s="24">
        <f>STATION!Q$35*24*7*0.16/1000</f>
        <v>2.6880000000000002</v>
      </c>
      <c r="D16" s="24">
        <f>STATION!Q$5</f>
        <v>2.6217779999999999</v>
      </c>
      <c r="E16" s="24">
        <f t="shared" ref="E16" si="21">B16-D16</f>
        <v>6.6222000000000225E-2</v>
      </c>
      <c r="F16" s="24">
        <f t="shared" si="19"/>
        <v>6.6222000000000225E-2</v>
      </c>
      <c r="G16" s="252" t="s">
        <v>557</v>
      </c>
      <c r="H16" s="279">
        <f>F16*3.37*10</f>
        <v>2.2316814000000078</v>
      </c>
      <c r="J16" s="279">
        <f>F16*1000/24</f>
        <v>2.7592500000000091</v>
      </c>
    </row>
    <row r="17" spans="1:11" ht="44.25" customHeight="1" x14ac:dyDescent="0.2">
      <c r="A17" s="25">
        <v>45459</v>
      </c>
      <c r="B17" s="24">
        <f t="shared" si="1"/>
        <v>2.6880000000000002</v>
      </c>
      <c r="C17" s="24">
        <f>STATION!R$35*24*7*0.16/1000</f>
        <v>2.6880000000000002</v>
      </c>
      <c r="D17" s="24">
        <f>STATION!R$5</f>
        <v>2.6424880000000002</v>
      </c>
      <c r="E17" s="24">
        <f t="shared" ref="E17" si="22">B17-D17</f>
        <v>4.5511999999999997E-2</v>
      </c>
      <c r="F17" s="24">
        <f t="shared" ref="F17" si="23">C17-D17</f>
        <v>4.5511999999999997E-2</v>
      </c>
      <c r="G17" s="252"/>
      <c r="H17" s="279">
        <f>F17*3.38*10</f>
        <v>1.5383055999999997</v>
      </c>
      <c r="J17" s="279">
        <f>F17*1000/24</f>
        <v>1.8963333333333334</v>
      </c>
    </row>
    <row r="18" spans="1:11" ht="47.25" customHeight="1" x14ac:dyDescent="0.2">
      <c r="A18" s="25">
        <v>45460</v>
      </c>
      <c r="B18" s="24">
        <f t="shared" si="1"/>
        <v>2.6880000000000002</v>
      </c>
      <c r="C18" s="24">
        <f>STATION!S$35*24*7*0.16/1000</f>
        <v>2.6880000000000002</v>
      </c>
      <c r="D18" s="24">
        <f>STATION!S$5</f>
        <v>2.673899</v>
      </c>
      <c r="E18" s="24">
        <f t="shared" ref="E18" si="24">B18-D18</f>
        <v>1.4101000000000141E-2</v>
      </c>
      <c r="F18" s="24">
        <f t="shared" ref="F18" si="25">C18-D18</f>
        <v>1.4101000000000141E-2</v>
      </c>
      <c r="G18" s="252" t="s">
        <v>562</v>
      </c>
      <c r="H18" s="279">
        <f>F18*3.29*10</f>
        <v>0.46392290000000469</v>
      </c>
      <c r="J18" s="279">
        <f t="shared" si="20"/>
        <v>0.58754166666667251</v>
      </c>
    </row>
    <row r="19" spans="1:11" ht="44.25" customHeight="1" x14ac:dyDescent="0.2">
      <c r="A19" s="25">
        <v>45461</v>
      </c>
      <c r="B19" s="24">
        <f t="shared" si="1"/>
        <v>2.6880000000000002</v>
      </c>
      <c r="C19" s="24">
        <f>STATION!T$35*24*7*0.16/1000</f>
        <v>2.6880000000000002</v>
      </c>
      <c r="D19" s="24">
        <f>STATION!T$5</f>
        <v>2.7094567500000002</v>
      </c>
      <c r="E19" s="24">
        <f t="shared" ref="E19" si="26">B19-D19</f>
        <v>-2.1456750000000024E-2</v>
      </c>
      <c r="F19" s="24">
        <f t="shared" ref="F19" si="27">C19-D19</f>
        <v>-2.1456750000000024E-2</v>
      </c>
      <c r="G19" s="252"/>
      <c r="H19" s="279">
        <f>F19*3.24*10</f>
        <v>-0.69519870000000084</v>
      </c>
      <c r="J19" s="279">
        <f t="shared" si="20"/>
        <v>-0.89403125000000105</v>
      </c>
    </row>
    <row r="20" spans="1:11" ht="44.25" customHeight="1" x14ac:dyDescent="0.2">
      <c r="A20" s="25">
        <v>45462</v>
      </c>
      <c r="B20" s="24">
        <f t="shared" si="1"/>
        <v>2.6880000000000002</v>
      </c>
      <c r="C20" s="24">
        <f>STATION!U$35*24*7*0.16/1000</f>
        <v>2.5655000000000001</v>
      </c>
      <c r="D20" s="24">
        <f>STATION!U$5</f>
        <v>2.6171897500000005</v>
      </c>
      <c r="E20" s="24">
        <f t="shared" ref="E20" si="28">B20-D20</f>
        <v>7.081024999999963E-2</v>
      </c>
      <c r="F20" s="24">
        <f t="shared" ref="F20" si="29">C20-D20</f>
        <v>-5.1689750000000423E-2</v>
      </c>
      <c r="G20" s="252" t="s">
        <v>573</v>
      </c>
      <c r="H20" s="279">
        <f>F20*3.21*10</f>
        <v>-1.6592409750000137</v>
      </c>
      <c r="J20" s="279">
        <f t="shared" si="20"/>
        <v>-2.1537395833333508</v>
      </c>
    </row>
    <row r="21" spans="1:11" ht="44.25" customHeight="1" x14ac:dyDescent="0.2">
      <c r="A21" s="25">
        <v>45463</v>
      </c>
      <c r="B21" s="24">
        <f t="shared" si="1"/>
        <v>2.6880000000000002</v>
      </c>
      <c r="C21" s="24">
        <f>STATION!V$35*24*7*0.16/1000</f>
        <v>2.52</v>
      </c>
      <c r="D21" s="24">
        <f>STATION!V$5</f>
        <v>2.5751249999999999</v>
      </c>
      <c r="E21" s="24">
        <f t="shared" ref="E21" si="30">B21-D21</f>
        <v>0.11287500000000028</v>
      </c>
      <c r="F21" s="24">
        <f t="shared" ref="F21" si="31">C21-D21</f>
        <v>-5.5124999999999869E-2</v>
      </c>
      <c r="G21" s="252" t="s">
        <v>574</v>
      </c>
      <c r="H21" s="279">
        <f>F21*3.28*10</f>
        <v>-1.8080999999999956</v>
      </c>
      <c r="J21" s="279">
        <f t="shared" si="20"/>
        <v>-2.2968749999999947</v>
      </c>
    </row>
    <row r="22" spans="1:11" ht="50.25" customHeight="1" x14ac:dyDescent="0.2">
      <c r="A22" s="25">
        <v>45464</v>
      </c>
      <c r="B22" s="24">
        <f t="shared" si="1"/>
        <v>2.6880000000000002</v>
      </c>
      <c r="C22" s="24">
        <f>STATION!W$35*24*7*0.16/1000</f>
        <v>2.5384099999999998</v>
      </c>
      <c r="D22" s="24">
        <f>STATION!W$5</f>
        <v>2.5526177499999996</v>
      </c>
      <c r="E22" s="24">
        <f t="shared" ref="E22" si="32">B22-D22</f>
        <v>0.13538225000000059</v>
      </c>
      <c r="F22" s="24">
        <f t="shared" ref="F22" si="33">C22-D22</f>
        <v>-1.4207749999999741E-2</v>
      </c>
      <c r="G22" s="252" t="s">
        <v>577</v>
      </c>
      <c r="H22" s="279">
        <f>F22*3.36*10</f>
        <v>-0.47738039999999127</v>
      </c>
      <c r="J22" s="279">
        <f t="shared" si="20"/>
        <v>-0.59198958333332252</v>
      </c>
    </row>
    <row r="23" spans="1:11" ht="44.25" customHeight="1" x14ac:dyDescent="0.2">
      <c r="A23" s="25">
        <v>45465</v>
      </c>
      <c r="B23" s="24">
        <f t="shared" si="1"/>
        <v>2.6880000000000002</v>
      </c>
      <c r="C23" s="24">
        <f>STATION!X$35*24*7*0.16/1000</f>
        <v>2.6880000000000002</v>
      </c>
      <c r="D23" s="24">
        <f>STATION!X$5</f>
        <v>2.7205840000000006</v>
      </c>
      <c r="E23" s="24">
        <f t="shared" ref="E23" si="34">B23-D23</f>
        <v>-3.258400000000039E-2</v>
      </c>
      <c r="F23" s="24">
        <f t="shared" ref="F23" si="35">C23-D23</f>
        <v>-3.258400000000039E-2</v>
      </c>
      <c r="G23" s="252"/>
      <c r="H23" s="279">
        <f>F23*3.353*10</f>
        <v>-1.092541520000013</v>
      </c>
      <c r="J23" s="279">
        <f t="shared" si="20"/>
        <v>-1.3576666666666828</v>
      </c>
    </row>
    <row r="24" spans="1:11" ht="50.25" customHeight="1" x14ac:dyDescent="0.2">
      <c r="A24" s="25">
        <v>45466</v>
      </c>
      <c r="B24" s="24">
        <f t="shared" si="1"/>
        <v>2.6880000000000002</v>
      </c>
      <c r="C24" s="24">
        <f>STATION!Y$35*24*7*0.16/1000</f>
        <v>2.6880000000000002</v>
      </c>
      <c r="D24" s="24">
        <f>STATION!Y$5</f>
        <v>2.7950079999999997</v>
      </c>
      <c r="E24" s="24">
        <f t="shared" ref="E24" si="36">B24-D24</f>
        <v>-0.10700799999999955</v>
      </c>
      <c r="F24" s="24">
        <f t="shared" ref="F24" si="37">C24-D24</f>
        <v>-0.10700799999999955</v>
      </c>
      <c r="G24" s="252"/>
      <c r="H24" s="279">
        <f>F24*3.339*10</f>
        <v>-3.572997119999985</v>
      </c>
      <c r="J24" s="279">
        <f t="shared" si="20"/>
        <v>-4.4586666666666481</v>
      </c>
    </row>
    <row r="25" spans="1:11" ht="44.25" customHeight="1" x14ac:dyDescent="0.2">
      <c r="A25" s="25">
        <v>45467</v>
      </c>
      <c r="B25" s="24">
        <f t="shared" si="1"/>
        <v>2.6880000000000002</v>
      </c>
      <c r="C25" s="24">
        <f>STATION!X$35*24*7*0.16/1000</f>
        <v>2.6880000000000002</v>
      </c>
      <c r="D25" s="24">
        <f>STATION!Z$5</f>
        <v>2.8369065000000004</v>
      </c>
      <c r="E25" s="24">
        <f t="shared" ref="E25" si="38">B25-D25</f>
        <v>-0.14890650000000027</v>
      </c>
      <c r="F25" s="24">
        <f t="shared" ref="F25" si="39">C25-D25</f>
        <v>-0.14890650000000027</v>
      </c>
      <c r="G25" s="252"/>
      <c r="H25" s="279">
        <f>F25*3.7*10</f>
        <v>-5.5095405000000106</v>
      </c>
      <c r="J25" s="279">
        <f t="shared" si="20"/>
        <v>-6.2044375000000116</v>
      </c>
      <c r="K25" s="33"/>
    </row>
    <row r="26" spans="1:11" ht="44.25" customHeight="1" x14ac:dyDescent="0.2">
      <c r="A26" s="25">
        <v>45468</v>
      </c>
      <c r="B26" s="24">
        <f t="shared" si="1"/>
        <v>2.6880000000000002</v>
      </c>
      <c r="C26" s="24">
        <f>STATION!X$35*24*7*0.16/1000</f>
        <v>2.6880000000000002</v>
      </c>
      <c r="D26" s="24">
        <f>STATION!AA$5</f>
        <v>2.8509079999999996</v>
      </c>
      <c r="E26" s="24">
        <f t="shared" ref="E26" si="40">B26-D26</f>
        <v>-0.16290799999999939</v>
      </c>
      <c r="F26" s="24">
        <f t="shared" ref="F26" si="41">C26-D26</f>
        <v>-0.16290799999999939</v>
      </c>
      <c r="G26" s="252"/>
      <c r="H26" s="279">
        <f>F26*3.45*10</f>
        <v>-5.6203259999999791</v>
      </c>
      <c r="I26" s="274"/>
      <c r="J26" s="279">
        <f t="shared" si="20"/>
        <v>-6.7878333333333076</v>
      </c>
    </row>
    <row r="27" spans="1:11" ht="44.25" customHeight="1" x14ac:dyDescent="0.2">
      <c r="A27" s="25">
        <v>45469</v>
      </c>
      <c r="B27" s="24">
        <f t="shared" si="1"/>
        <v>2.6880000000000002</v>
      </c>
      <c r="C27" s="24">
        <f>STATION!X$35*24*7*0.16/1000</f>
        <v>2.6880000000000002</v>
      </c>
      <c r="D27" s="24">
        <f>STATION!AB$5</f>
        <v>2.5426850000000001</v>
      </c>
      <c r="E27" s="24">
        <f t="shared" ref="E27" si="42">B27-D27</f>
        <v>0.14531500000000008</v>
      </c>
      <c r="F27" s="24">
        <f t="shared" ref="F27" si="43">C27-D27</f>
        <v>0.14531500000000008</v>
      </c>
      <c r="G27" s="252" t="s">
        <v>596</v>
      </c>
      <c r="H27" s="279">
        <f>F27*3.17*10</f>
        <v>4.6064855000000025</v>
      </c>
      <c r="I27" s="274"/>
      <c r="J27" s="279">
        <f>F27*1000/24</f>
        <v>6.0547916666666701</v>
      </c>
    </row>
    <row r="28" spans="1:11" ht="44.25" customHeight="1" x14ac:dyDescent="0.2">
      <c r="A28" s="25">
        <v>45470</v>
      </c>
      <c r="B28" s="24">
        <f t="shared" si="1"/>
        <v>2.6880000000000002</v>
      </c>
      <c r="C28" s="24">
        <f>STATION!X$35*24*7*0.16/1000</f>
        <v>2.6880000000000002</v>
      </c>
      <c r="D28" s="24">
        <f>STATION!AC$5</f>
        <v>2.4854845000000001</v>
      </c>
      <c r="E28" s="24">
        <f t="shared" ref="E28" si="44">B28-D28</f>
        <v>0.20251550000000007</v>
      </c>
      <c r="F28" s="24">
        <f t="shared" ref="F28" si="45">C28-D28</f>
        <v>0.20251550000000007</v>
      </c>
      <c r="G28" s="252" t="s">
        <v>596</v>
      </c>
      <c r="H28" s="279">
        <f>F28*3.22*10</f>
        <v>6.5209991000000027</v>
      </c>
      <c r="I28" s="273"/>
      <c r="J28" s="279">
        <f t="shared" si="20"/>
        <v>8.4381458333333352</v>
      </c>
    </row>
    <row r="29" spans="1:11" ht="52.5" customHeight="1" x14ac:dyDescent="0.2">
      <c r="A29" s="25">
        <v>45471</v>
      </c>
      <c r="B29" s="24">
        <f t="shared" si="1"/>
        <v>2.6880000000000002</v>
      </c>
      <c r="C29" s="24">
        <f>STATION!X$35*24*7*0.16/1000</f>
        <v>2.6880000000000002</v>
      </c>
      <c r="D29" s="24">
        <f>STATION!AD$5</f>
        <v>2.5067599999999999</v>
      </c>
      <c r="E29" s="24">
        <f t="shared" ref="E29" si="46">B29-D29</f>
        <v>0.18124000000000029</v>
      </c>
      <c r="F29" s="24">
        <f t="shared" ref="F29" si="47">C29-D29</f>
        <v>0.18124000000000029</v>
      </c>
      <c r="G29" s="252" t="s">
        <v>596</v>
      </c>
      <c r="H29" s="279">
        <f>F29*3.29*10</f>
        <v>5.9627960000000089</v>
      </c>
      <c r="J29" s="279">
        <f t="shared" si="20"/>
        <v>7.5516666666666792</v>
      </c>
    </row>
    <row r="30" spans="1:11" ht="51" customHeight="1" x14ac:dyDescent="0.2">
      <c r="A30" s="25">
        <v>45472</v>
      </c>
      <c r="B30" s="24">
        <f t="shared" si="1"/>
        <v>2.6880000000000002</v>
      </c>
      <c r="C30" s="24">
        <f>STATION!X$35*24*7*0.16/1000</f>
        <v>2.6880000000000002</v>
      </c>
      <c r="D30" s="24">
        <f>STATION!AE$5</f>
        <v>2.6648490000000002</v>
      </c>
      <c r="E30" s="24">
        <f t="shared" ref="E30" si="48">B30-D30</f>
        <v>2.3150999999999922E-2</v>
      </c>
      <c r="F30" s="24">
        <f t="shared" ref="F30" si="49">C30-D30</f>
        <v>2.3150999999999922E-2</v>
      </c>
      <c r="G30" s="252" t="s">
        <v>596</v>
      </c>
      <c r="H30" s="279">
        <f>F30*3.29*10</f>
        <v>0.76166789999999751</v>
      </c>
      <c r="J30" s="279">
        <f t="shared" si="20"/>
        <v>0.96462499999999674</v>
      </c>
    </row>
    <row r="31" spans="1:11" ht="39.75" customHeight="1" x14ac:dyDescent="0.2">
      <c r="A31" s="25">
        <v>45473</v>
      </c>
      <c r="B31" s="24">
        <f t="shared" si="1"/>
        <v>2.6880000000000002</v>
      </c>
      <c r="C31" s="24">
        <f>STATION!X$35*24*7*0.16/1000</f>
        <v>2.6880000000000002</v>
      </c>
      <c r="D31" s="24">
        <f>STATION!AF$5</f>
        <v>2.8780199999999994</v>
      </c>
      <c r="E31" s="24">
        <f t="shared" ref="E31" si="50">B31-D31</f>
        <v>-0.19001999999999919</v>
      </c>
      <c r="F31" s="24">
        <f t="shared" ref="F31" si="51">C31-D31</f>
        <v>-0.19001999999999919</v>
      </c>
      <c r="G31" s="252"/>
      <c r="H31" s="279">
        <f>F31*3.36*10</f>
        <v>-6.3846719999999726</v>
      </c>
      <c r="J31" s="279">
        <f>F31*1000/24</f>
        <v>-7.9174999999999658</v>
      </c>
    </row>
    <row r="32" spans="1:11" ht="41.25" customHeight="1" x14ac:dyDescent="0.2">
      <c r="A32" s="25"/>
      <c r="B32" s="24">
        <f t="shared" si="1"/>
        <v>2.6880000000000002</v>
      </c>
      <c r="C32" s="24">
        <f>STATION!X$35*24*7*0.16/1000</f>
        <v>2.6880000000000002</v>
      </c>
      <c r="D32" s="24">
        <f>STATION!AG$5</f>
        <v>0</v>
      </c>
      <c r="E32" s="24">
        <f t="shared" ref="E32" si="52">B32-D32</f>
        <v>2.6880000000000002</v>
      </c>
      <c r="F32" s="24">
        <f t="shared" ref="F32" si="53">C32-D32</f>
        <v>2.6880000000000002</v>
      </c>
      <c r="G32" s="252"/>
      <c r="H32" s="279">
        <f>F32*3.36*10</f>
        <v>90.316800000000001</v>
      </c>
      <c r="J32" s="279">
        <f>F32*1000/24</f>
        <v>112</v>
      </c>
    </row>
    <row r="33" spans="1:1" x14ac:dyDescent="0.2">
      <c r="A33" s="25"/>
    </row>
  </sheetData>
  <phoneticPr fontId="24" type="noConversion"/>
  <pageMargins left="0.75" right="0.75" top="1" bottom="1" header="0.5" footer="0.5"/>
  <pageSetup scale="48"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13"/>
  <sheetViews>
    <sheetView zoomScale="65" zoomScaleNormal="65" workbookViewId="0">
      <pane ySplit="2" topLeftCell="A3" activePane="bottomLeft" state="frozen"/>
      <selection activeCell="K50" sqref="K50"/>
      <selection pane="bottomLeft" activeCell="E3" sqref="E3:F3"/>
    </sheetView>
  </sheetViews>
  <sheetFormatPr defaultRowHeight="12.75" x14ac:dyDescent="0.2"/>
  <cols>
    <col min="1" max="1" width="28.140625" customWidth="1"/>
    <col min="2" max="2" width="54.5703125" customWidth="1"/>
    <col min="3" max="4" width="18.85546875" customWidth="1"/>
    <col min="5" max="6" width="23" customWidth="1"/>
    <col min="7" max="7" width="2.140625" style="51" customWidth="1"/>
    <col min="8" max="9" width="11" customWidth="1"/>
    <col min="10" max="10" width="6.5703125" customWidth="1"/>
  </cols>
  <sheetData>
    <row r="1" spans="1:10" ht="30.75" customHeight="1" x14ac:dyDescent="0.2">
      <c r="A1" s="533" t="s">
        <v>519</v>
      </c>
      <c r="B1" s="533"/>
      <c r="C1" s="533"/>
      <c r="D1" s="533"/>
      <c r="E1" s="533"/>
      <c r="F1" s="533"/>
      <c r="H1" s="534"/>
      <c r="I1" s="534"/>
      <c r="J1" s="534"/>
    </row>
    <row r="2" spans="1:10" ht="52.5" customHeight="1" x14ac:dyDescent="0.2">
      <c r="A2" s="72" t="s">
        <v>198</v>
      </c>
      <c r="B2" s="73" t="s">
        <v>199</v>
      </c>
      <c r="C2" s="72" t="s">
        <v>200</v>
      </c>
      <c r="D2" s="74" t="s">
        <v>201</v>
      </c>
      <c r="E2" s="535" t="s">
        <v>202</v>
      </c>
      <c r="F2" s="536"/>
      <c r="H2" s="537" t="s">
        <v>203</v>
      </c>
      <c r="I2" s="538"/>
      <c r="J2" s="539"/>
    </row>
    <row r="3" spans="1:10" ht="40.5" customHeight="1" x14ac:dyDescent="0.2">
      <c r="A3" s="32" t="s">
        <v>583</v>
      </c>
      <c r="B3" s="40" t="s">
        <v>584</v>
      </c>
      <c r="C3" s="288">
        <v>12.5</v>
      </c>
      <c r="D3" s="288"/>
      <c r="E3" s="528" t="s">
        <v>585</v>
      </c>
      <c r="F3" s="529"/>
      <c r="G3" s="52"/>
      <c r="H3" s="530" t="s">
        <v>204</v>
      </c>
      <c r="I3" s="531"/>
      <c r="J3" s="532"/>
    </row>
    <row r="4" spans="1:10" ht="36" customHeight="1" x14ac:dyDescent="0.2">
      <c r="A4" s="32"/>
      <c r="B4" s="40"/>
      <c r="C4" s="288"/>
      <c r="D4" s="357"/>
      <c r="E4" s="528"/>
      <c r="F4" s="529"/>
      <c r="G4" s="52"/>
      <c r="H4" s="530" t="s">
        <v>205</v>
      </c>
      <c r="I4" s="531"/>
      <c r="J4" s="532"/>
    </row>
    <row r="5" spans="1:10" ht="38.450000000000003" customHeight="1" x14ac:dyDescent="0.2">
      <c r="A5" s="32"/>
      <c r="B5" s="40"/>
      <c r="C5" s="288"/>
      <c r="D5" s="357"/>
      <c r="E5" s="528"/>
      <c r="F5" s="529"/>
      <c r="G5" s="52"/>
      <c r="H5" s="525" t="s">
        <v>206</v>
      </c>
      <c r="I5" s="526"/>
      <c r="J5" s="527"/>
    </row>
    <row r="6" spans="1:10" ht="30" customHeight="1" x14ac:dyDescent="0.2">
      <c r="A6" s="32"/>
      <c r="B6" s="40"/>
      <c r="C6" s="288"/>
      <c r="D6" s="357"/>
      <c r="E6" s="523"/>
      <c r="F6" s="524"/>
      <c r="G6" s="52"/>
      <c r="H6" s="530" t="s">
        <v>207</v>
      </c>
      <c r="I6" s="531"/>
      <c r="J6" s="532"/>
    </row>
    <row r="7" spans="1:10" ht="30" customHeight="1" x14ac:dyDescent="0.2">
      <c r="A7" s="32"/>
      <c r="B7" s="40"/>
      <c r="C7" s="288"/>
      <c r="D7" s="357"/>
      <c r="E7" s="528"/>
      <c r="F7" s="529"/>
      <c r="G7" s="53"/>
      <c r="H7" s="530" t="s">
        <v>208</v>
      </c>
      <c r="I7" s="531"/>
      <c r="J7" s="532"/>
    </row>
    <row r="8" spans="1:10" ht="30" customHeight="1" x14ac:dyDescent="0.2">
      <c r="A8" s="32"/>
      <c r="B8" s="40"/>
      <c r="C8" s="288"/>
      <c r="D8" s="357"/>
      <c r="E8" s="523"/>
      <c r="F8" s="524"/>
      <c r="H8" s="525" t="s">
        <v>209</v>
      </c>
      <c r="I8" s="526"/>
      <c r="J8" s="527"/>
    </row>
    <row r="9" spans="1:10" ht="30" customHeight="1" x14ac:dyDescent="0.2">
      <c r="A9" s="32"/>
      <c r="B9" s="40"/>
      <c r="C9" s="288"/>
      <c r="D9" s="342"/>
      <c r="E9" s="523"/>
      <c r="F9" s="524"/>
      <c r="H9" s="525" t="s">
        <v>210</v>
      </c>
      <c r="I9" s="526"/>
      <c r="J9" s="527"/>
    </row>
    <row r="10" spans="1:10" ht="30" customHeight="1" x14ac:dyDescent="0.2">
      <c r="A10" s="32"/>
      <c r="B10" s="40"/>
      <c r="C10" s="288"/>
      <c r="D10" s="342"/>
      <c r="E10" s="523"/>
      <c r="F10" s="524"/>
      <c r="H10" s="525" t="s">
        <v>211</v>
      </c>
      <c r="I10" s="526"/>
      <c r="J10" s="527"/>
    </row>
    <row r="11" spans="1:10" ht="30" customHeight="1" x14ac:dyDescent="0.2">
      <c r="A11" s="32"/>
      <c r="B11" s="40"/>
      <c r="C11" s="288"/>
      <c r="D11" s="342"/>
      <c r="E11" s="523"/>
      <c r="F11" s="524"/>
      <c r="H11" s="525" t="s">
        <v>212</v>
      </c>
      <c r="I11" s="526"/>
      <c r="J11" s="527"/>
    </row>
    <row r="12" spans="1:10" ht="30" customHeight="1" x14ac:dyDescent="0.2">
      <c r="A12" s="32"/>
      <c r="B12" s="40"/>
      <c r="C12" s="198"/>
      <c r="D12" s="42"/>
      <c r="E12" s="528"/>
      <c r="F12" s="529"/>
      <c r="H12" s="525" t="s">
        <v>213</v>
      </c>
      <c r="I12" s="526"/>
      <c r="J12" s="527"/>
    </row>
    <row r="13" spans="1:10" ht="30" customHeight="1" x14ac:dyDescent="0.2">
      <c r="A13" s="32"/>
      <c r="B13" s="40"/>
      <c r="C13" s="22"/>
      <c r="D13" s="376"/>
      <c r="E13" s="528"/>
      <c r="F13" s="529"/>
      <c r="H13" s="525" t="s">
        <v>214</v>
      </c>
      <c r="I13" s="526"/>
      <c r="J13" s="527"/>
    </row>
  </sheetData>
  <mergeCells count="26">
    <mergeCell ref="A1:F1"/>
    <mergeCell ref="H1:J1"/>
    <mergeCell ref="E2:F2"/>
    <mergeCell ref="H2:J2"/>
    <mergeCell ref="H3:J3"/>
    <mergeCell ref="E4:F4"/>
    <mergeCell ref="H4:J4"/>
    <mergeCell ref="E5:F5"/>
    <mergeCell ref="H5:J5"/>
    <mergeCell ref="E3:F3"/>
    <mergeCell ref="H6:J6"/>
    <mergeCell ref="E7:F7"/>
    <mergeCell ref="H7:J7"/>
    <mergeCell ref="E8:F8"/>
    <mergeCell ref="H8:J8"/>
    <mergeCell ref="E6:F6"/>
    <mergeCell ref="E9:F9"/>
    <mergeCell ref="H9:J9"/>
    <mergeCell ref="E13:F13"/>
    <mergeCell ref="H13:J13"/>
    <mergeCell ref="E10:F10"/>
    <mergeCell ref="H10:J10"/>
    <mergeCell ref="E11:F11"/>
    <mergeCell ref="H11:J11"/>
    <mergeCell ref="E12:F12"/>
    <mergeCell ref="H12:J12"/>
  </mergeCells>
  <phoneticPr fontId="58" type="noConversion"/>
  <pageMargins left="0.75" right="0.75" top="1" bottom="1" header="0.5" footer="0.5"/>
  <pageSetup scale="41"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J30"/>
  <sheetViews>
    <sheetView zoomScale="90" zoomScaleNormal="90" workbookViewId="0">
      <selection activeCell="E12" sqref="E12"/>
    </sheetView>
  </sheetViews>
  <sheetFormatPr defaultColWidth="9.140625" defaultRowHeight="12.75" x14ac:dyDescent="0.2"/>
  <cols>
    <col min="1" max="1" width="14.85546875" style="35" customWidth="1"/>
    <col min="2" max="2" width="15.140625" style="35" customWidth="1"/>
    <col min="3" max="3" width="16.28515625" style="35" customWidth="1"/>
    <col min="4" max="4" width="13.28515625" style="35" customWidth="1"/>
    <col min="5" max="5" width="84.140625" style="35" customWidth="1"/>
    <col min="6" max="6" width="13.42578125" style="31" customWidth="1"/>
    <col min="7" max="7" width="19.85546875" style="31" customWidth="1"/>
    <col min="8" max="8" width="16.28515625" style="35" customWidth="1"/>
    <col min="9" max="16384" width="9.140625" style="35"/>
  </cols>
  <sheetData>
    <row r="1" spans="1:10" ht="30.75" customHeight="1" x14ac:dyDescent="0.2">
      <c r="A1" s="540" t="s">
        <v>520</v>
      </c>
      <c r="B1" s="540"/>
      <c r="C1" s="540"/>
      <c r="D1" s="540"/>
      <c r="E1" s="540"/>
      <c r="F1" s="540"/>
      <c r="G1" s="540"/>
      <c r="H1" s="541"/>
    </row>
    <row r="2" spans="1:10" ht="70.5" customHeight="1" x14ac:dyDescent="0.2">
      <c r="A2" s="69" t="s">
        <v>215</v>
      </c>
      <c r="B2" s="69" t="s">
        <v>216</v>
      </c>
      <c r="C2" s="69" t="s">
        <v>217</v>
      </c>
      <c r="D2" s="69" t="s">
        <v>218</v>
      </c>
      <c r="E2" s="70" t="s">
        <v>219</v>
      </c>
      <c r="F2" s="69" t="s">
        <v>220</v>
      </c>
      <c r="G2" s="69" t="s">
        <v>221</v>
      </c>
      <c r="H2" s="71" t="s">
        <v>222</v>
      </c>
      <c r="J2" s="231"/>
    </row>
    <row r="3" spans="1:10" ht="30" x14ac:dyDescent="0.2">
      <c r="A3" s="39" t="s">
        <v>567</v>
      </c>
      <c r="B3" s="109" t="s">
        <v>568</v>
      </c>
      <c r="C3" s="110" t="s">
        <v>569</v>
      </c>
      <c r="D3" s="32">
        <v>115</v>
      </c>
      <c r="E3" s="110" t="s">
        <v>570</v>
      </c>
      <c r="F3" s="39" t="s">
        <v>578</v>
      </c>
      <c r="G3" s="358">
        <v>62.9</v>
      </c>
      <c r="H3" s="407"/>
    </row>
    <row r="4" spans="1:10" ht="30" x14ac:dyDescent="0.2">
      <c r="A4" s="39" t="s">
        <v>593</v>
      </c>
      <c r="B4" s="109" t="s">
        <v>591</v>
      </c>
      <c r="C4" s="110" t="s">
        <v>569</v>
      </c>
      <c r="D4" s="32">
        <v>121</v>
      </c>
      <c r="E4" s="110" t="s">
        <v>570</v>
      </c>
      <c r="F4" s="39" t="s">
        <v>603</v>
      </c>
      <c r="G4" s="358">
        <v>73.599999999999994</v>
      </c>
      <c r="H4" s="407"/>
    </row>
    <row r="5" spans="1:10" ht="30" x14ac:dyDescent="0.2">
      <c r="A5" s="39" t="s">
        <v>594</v>
      </c>
      <c r="B5" s="109" t="s">
        <v>592</v>
      </c>
      <c r="C5" s="110" t="s">
        <v>569</v>
      </c>
      <c r="D5" s="32">
        <v>113</v>
      </c>
      <c r="E5" s="110" t="s">
        <v>570</v>
      </c>
      <c r="F5" s="39" t="s">
        <v>607</v>
      </c>
      <c r="G5" s="358">
        <v>67.58</v>
      </c>
      <c r="H5" s="408"/>
    </row>
    <row r="6" spans="1:10" ht="15" x14ac:dyDescent="0.2">
      <c r="A6" s="39"/>
      <c r="B6" s="109"/>
      <c r="C6" s="110"/>
      <c r="D6" s="32"/>
      <c r="E6" s="110"/>
      <c r="F6" s="39"/>
      <c r="G6" s="247"/>
      <c r="H6" s="247"/>
    </row>
    <row r="7" spans="1:10" ht="15" x14ac:dyDescent="0.2">
      <c r="A7" s="39"/>
      <c r="B7" s="109"/>
      <c r="C7" s="110"/>
      <c r="D7" s="32"/>
      <c r="E7" s="110"/>
      <c r="F7" s="39"/>
      <c r="G7" s="247"/>
      <c r="H7" s="340"/>
    </row>
    <row r="8" spans="1:10" ht="15" x14ac:dyDescent="0.2">
      <c r="A8" s="39"/>
      <c r="B8" s="109"/>
      <c r="C8" s="110"/>
      <c r="D8" s="32"/>
      <c r="E8" s="110"/>
      <c r="F8" s="39"/>
      <c r="G8" s="247"/>
      <c r="H8" s="247"/>
    </row>
    <row r="9" spans="1:10" ht="15" x14ac:dyDescent="0.2">
      <c r="A9" s="39"/>
      <c r="B9" s="109"/>
      <c r="C9" s="110"/>
      <c r="D9" s="32"/>
      <c r="E9" s="110"/>
      <c r="F9" s="39"/>
      <c r="G9" s="247"/>
      <c r="H9" s="247"/>
    </row>
    <row r="10" spans="1:10" ht="15" x14ac:dyDescent="0.2">
      <c r="A10" s="39"/>
      <c r="B10" s="109"/>
      <c r="C10" s="110"/>
      <c r="D10" s="32"/>
      <c r="E10" s="110"/>
      <c r="F10" s="39"/>
      <c r="G10" s="247"/>
      <c r="H10" s="247"/>
    </row>
    <row r="11" spans="1:10" ht="15" x14ac:dyDescent="0.2">
      <c r="A11" s="39"/>
      <c r="B11" s="109"/>
      <c r="C11" s="110"/>
      <c r="D11" s="32"/>
      <c r="E11" s="110"/>
      <c r="F11" s="39"/>
      <c r="G11" s="247"/>
      <c r="H11" s="247"/>
    </row>
    <row r="12" spans="1:10" ht="15" x14ac:dyDescent="0.2">
      <c r="A12" s="39"/>
      <c r="B12" s="109"/>
      <c r="C12" s="110"/>
      <c r="D12" s="32"/>
      <c r="E12" s="110"/>
      <c r="F12" s="39"/>
      <c r="G12" s="247"/>
      <c r="H12" s="247"/>
    </row>
    <row r="13" spans="1:10" ht="15" x14ac:dyDescent="0.2">
      <c r="A13" s="39"/>
      <c r="B13" s="109"/>
      <c r="C13" s="110"/>
      <c r="D13" s="32"/>
      <c r="E13" s="110"/>
      <c r="F13" s="39"/>
      <c r="G13" s="247"/>
      <c r="H13" s="247"/>
    </row>
    <row r="14" spans="1:10" ht="15" x14ac:dyDescent="0.2">
      <c r="A14" s="39"/>
      <c r="B14" s="109"/>
      <c r="C14" s="110"/>
      <c r="D14" s="32"/>
      <c r="E14" s="110"/>
      <c r="F14" s="39"/>
      <c r="G14" s="247"/>
      <c r="H14" s="247"/>
    </row>
    <row r="15" spans="1:10" ht="15" x14ac:dyDescent="0.2">
      <c r="A15" s="39"/>
      <c r="B15" s="109"/>
      <c r="C15" s="110"/>
      <c r="D15" s="32"/>
      <c r="E15" s="110"/>
      <c r="F15" s="39"/>
      <c r="G15" s="247"/>
      <c r="H15" s="247"/>
    </row>
    <row r="16" spans="1:10" ht="15" x14ac:dyDescent="0.2">
      <c r="A16" s="39"/>
      <c r="B16" s="109"/>
      <c r="C16" s="110"/>
      <c r="D16" s="32"/>
      <c r="E16" s="110"/>
      <c r="F16" s="39"/>
      <c r="G16" s="247"/>
      <c r="H16" s="247"/>
    </row>
    <row r="17" spans="1:8" ht="15" x14ac:dyDescent="0.2">
      <c r="A17" s="39"/>
      <c r="B17" s="109"/>
      <c r="C17" s="110"/>
      <c r="D17" s="32"/>
      <c r="E17" s="110"/>
      <c r="F17" s="39"/>
      <c r="G17" s="247"/>
      <c r="H17" s="247"/>
    </row>
    <row r="18" spans="1:8" ht="15" x14ac:dyDescent="0.2">
      <c r="A18" s="39"/>
      <c r="B18" s="109"/>
      <c r="C18" s="110"/>
      <c r="D18" s="32"/>
      <c r="E18" s="110"/>
      <c r="F18" s="39"/>
      <c r="G18" s="247"/>
      <c r="H18" s="247"/>
    </row>
    <row r="19" spans="1:8" ht="15" x14ac:dyDescent="0.2">
      <c r="A19" s="39"/>
      <c r="B19" s="109"/>
      <c r="C19" s="110"/>
      <c r="D19" s="32"/>
      <c r="E19" s="110"/>
      <c r="F19" s="39"/>
      <c r="G19" s="247"/>
      <c r="H19" s="247"/>
    </row>
    <row r="20" spans="1:8" ht="15" x14ac:dyDescent="0.2">
      <c r="A20" s="39"/>
      <c r="B20" s="109"/>
      <c r="C20" s="110"/>
      <c r="D20" s="32"/>
      <c r="E20" s="110"/>
      <c r="F20" s="39"/>
      <c r="G20" s="247"/>
      <c r="H20" s="247"/>
    </row>
    <row r="21" spans="1:8" ht="15" x14ac:dyDescent="0.2">
      <c r="A21" s="39"/>
      <c r="B21" s="109"/>
      <c r="C21" s="110"/>
      <c r="D21" s="32"/>
      <c r="E21" s="110"/>
      <c r="F21" s="39"/>
      <c r="G21" s="247"/>
      <c r="H21" s="247"/>
    </row>
    <row r="22" spans="1:8" ht="15" x14ac:dyDescent="0.2">
      <c r="A22" s="39"/>
      <c r="B22" s="109"/>
      <c r="C22" s="110"/>
      <c r="D22" s="32"/>
      <c r="E22" s="110"/>
      <c r="F22" s="39"/>
      <c r="G22" s="247"/>
      <c r="H22" s="247"/>
    </row>
    <row r="23" spans="1:8" ht="15" x14ac:dyDescent="0.2">
      <c r="A23" s="39"/>
      <c r="B23" s="109"/>
      <c r="C23" s="110"/>
      <c r="D23" s="32"/>
      <c r="E23" s="110"/>
      <c r="F23" s="39"/>
      <c r="G23" s="247"/>
      <c r="H23" s="247"/>
    </row>
    <row r="24" spans="1:8" ht="15" x14ac:dyDescent="0.2">
      <c r="A24" s="39"/>
      <c r="B24" s="109"/>
      <c r="C24" s="110"/>
      <c r="D24" s="32"/>
      <c r="E24" s="110"/>
      <c r="F24" s="39"/>
      <c r="G24" s="247"/>
      <c r="H24" s="247"/>
    </row>
    <row r="25" spans="1:8" ht="15" x14ac:dyDescent="0.2">
      <c r="A25" s="39"/>
      <c r="B25" s="109"/>
      <c r="C25" s="110"/>
      <c r="D25" s="32"/>
      <c r="E25" s="110"/>
      <c r="F25" s="39"/>
      <c r="G25" s="247"/>
      <c r="H25" s="247"/>
    </row>
    <row r="26" spans="1:8" ht="15" x14ac:dyDescent="0.2">
      <c r="A26" s="39"/>
      <c r="B26" s="109"/>
      <c r="C26" s="110"/>
      <c r="D26" s="32"/>
      <c r="E26" s="110"/>
      <c r="F26" s="39"/>
      <c r="G26" s="247"/>
      <c r="H26" s="247"/>
    </row>
    <row r="27" spans="1:8" ht="15" x14ac:dyDescent="0.2">
      <c r="A27" s="39"/>
      <c r="B27" s="109"/>
      <c r="C27" s="110"/>
      <c r="D27" s="32"/>
      <c r="E27" s="110"/>
      <c r="F27" s="39"/>
      <c r="G27" s="247"/>
      <c r="H27" s="247"/>
    </row>
    <row r="28" spans="1:8" ht="15" x14ac:dyDescent="0.2">
      <c r="A28" s="39"/>
      <c r="B28" s="109"/>
      <c r="C28" s="110"/>
      <c r="D28" s="32"/>
      <c r="E28" s="110"/>
      <c r="F28" s="39"/>
      <c r="G28" s="247"/>
      <c r="H28" s="247"/>
    </row>
    <row r="29" spans="1:8" ht="15" x14ac:dyDescent="0.2">
      <c r="A29" s="39"/>
      <c r="B29" s="109"/>
      <c r="C29" s="110"/>
      <c r="D29" s="32"/>
      <c r="E29" s="110"/>
      <c r="F29" s="39"/>
      <c r="G29" s="247"/>
      <c r="H29" s="247"/>
    </row>
    <row r="30" spans="1:8" ht="15" x14ac:dyDescent="0.2">
      <c r="A30" s="39"/>
      <c r="B30" s="109"/>
      <c r="C30" s="110"/>
      <c r="D30" s="32"/>
      <c r="E30" s="110"/>
      <c r="F30" s="39"/>
      <c r="G30" s="247"/>
      <c r="H30" s="247"/>
    </row>
  </sheetData>
  <mergeCells count="1">
    <mergeCell ref="A1:H1"/>
  </mergeCells>
  <phoneticPr fontId="59" type="noConversion"/>
  <printOptions horizontalCentered="1" verticalCentered="1"/>
  <pageMargins left="0.75" right="0.75" top="0.75" bottom="0.75" header="0.5" footer="0.5"/>
  <pageSetup paperSize="9" scale="43"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I216"/>
  <sheetViews>
    <sheetView zoomScale="88" zoomScaleNormal="88" workbookViewId="0">
      <pane xSplit="3" ySplit="2" topLeftCell="Y3" activePane="bottomRight" state="frozen"/>
      <selection pane="topRight" activeCell="D1" sqref="D1"/>
      <selection pane="bottomLeft" activeCell="A3" sqref="A3"/>
      <selection pane="bottomRight" activeCell="AF156" sqref="AF156:AG157"/>
    </sheetView>
  </sheetViews>
  <sheetFormatPr defaultRowHeight="12.75" outlineLevelRow="1" x14ac:dyDescent="0.2"/>
  <cols>
    <col min="1" max="1" width="4.5703125" bestFit="1" customWidth="1"/>
    <col min="2" max="2" width="39.140625" customWidth="1"/>
    <col min="3" max="3" width="11.5703125" style="89" bestFit="1" customWidth="1"/>
    <col min="4" max="4" width="10.42578125" style="31" customWidth="1"/>
    <col min="5" max="8" width="11" style="31" bestFit="1" customWidth="1"/>
    <col min="9" max="9" width="10.42578125" style="31" customWidth="1"/>
    <col min="10" max="12" width="11" style="31" bestFit="1" customWidth="1"/>
    <col min="13" max="13" width="10.7109375" style="31" bestFit="1" customWidth="1"/>
    <col min="14" max="14" width="10.28515625" style="31" bestFit="1" customWidth="1"/>
    <col min="15" max="16" width="10.5703125" style="31" bestFit="1" customWidth="1"/>
    <col min="17" max="22" width="10.5703125" style="102" bestFit="1" customWidth="1"/>
    <col min="23" max="23" width="11" style="102" bestFit="1" customWidth="1"/>
    <col min="24" max="24" width="10.5703125" style="102" bestFit="1" customWidth="1"/>
    <col min="25" max="30" width="10.85546875" style="102" bestFit="1" customWidth="1"/>
    <col min="31" max="31" width="11.5703125" style="102" customWidth="1"/>
    <col min="32" max="32" width="10.85546875" style="102" bestFit="1" customWidth="1"/>
    <col min="33" max="33" width="9.7109375" style="102" customWidth="1"/>
    <col min="34" max="34" width="10.5703125" style="102" bestFit="1" customWidth="1"/>
    <col min="35" max="35" width="14.28515625" style="31" bestFit="1" customWidth="1"/>
  </cols>
  <sheetData>
    <row r="1" spans="1:35" ht="22.5" customHeight="1" x14ac:dyDescent="0.3">
      <c r="A1" s="542" t="s">
        <v>223</v>
      </c>
      <c r="B1" s="542"/>
      <c r="C1" s="81">
        <v>45444</v>
      </c>
      <c r="D1" s="543"/>
      <c r="E1" s="544"/>
      <c r="F1" s="544"/>
      <c r="G1" s="544"/>
      <c r="H1" s="544"/>
      <c r="I1" s="544"/>
      <c r="J1" s="544"/>
      <c r="K1" s="544"/>
      <c r="L1" s="544"/>
      <c r="M1" s="544"/>
      <c r="N1" s="544"/>
      <c r="O1" s="544"/>
      <c r="P1" s="544"/>
      <c r="Q1" s="544"/>
      <c r="R1" s="544"/>
      <c r="S1" s="544"/>
      <c r="T1" s="544"/>
      <c r="U1" s="544"/>
      <c r="V1" s="544"/>
      <c r="W1" s="544"/>
      <c r="X1" s="544"/>
      <c r="Y1" s="544"/>
      <c r="Z1" s="544"/>
      <c r="AA1" s="544"/>
      <c r="AB1" s="544"/>
      <c r="AC1" s="544"/>
      <c r="AD1" s="544"/>
      <c r="AE1" s="544"/>
      <c r="AF1" s="544"/>
      <c r="AG1" s="544"/>
      <c r="AH1" s="544"/>
    </row>
    <row r="2" spans="1:35" ht="15" x14ac:dyDescent="0.25">
      <c r="A2" s="82" t="s">
        <v>224</v>
      </c>
      <c r="B2" s="82" t="s">
        <v>225</v>
      </c>
      <c r="C2" s="83" t="s">
        <v>226</v>
      </c>
      <c r="D2" s="355">
        <v>45444</v>
      </c>
      <c r="E2" s="355">
        <v>45445</v>
      </c>
      <c r="F2" s="355">
        <v>45446</v>
      </c>
      <c r="G2" s="355">
        <v>45447</v>
      </c>
      <c r="H2" s="355">
        <v>45448</v>
      </c>
      <c r="I2" s="355">
        <v>45449</v>
      </c>
      <c r="J2" s="355">
        <v>45450</v>
      </c>
      <c r="K2" s="355">
        <v>45451</v>
      </c>
      <c r="L2" s="355">
        <v>45452</v>
      </c>
      <c r="M2" s="355">
        <v>45453</v>
      </c>
      <c r="N2" s="355">
        <v>45454</v>
      </c>
      <c r="O2" s="355">
        <v>45455</v>
      </c>
      <c r="P2" s="355">
        <v>45456</v>
      </c>
      <c r="Q2" s="355">
        <v>45457</v>
      </c>
      <c r="R2" s="355">
        <v>45458</v>
      </c>
      <c r="S2" s="355">
        <v>45459</v>
      </c>
      <c r="T2" s="355">
        <v>45460</v>
      </c>
      <c r="U2" s="355">
        <v>45461</v>
      </c>
      <c r="V2" s="355">
        <v>45462</v>
      </c>
      <c r="W2" s="355">
        <v>45463</v>
      </c>
      <c r="X2" s="355">
        <v>45464</v>
      </c>
      <c r="Y2" s="355">
        <v>45465</v>
      </c>
      <c r="Z2" s="355">
        <v>45466</v>
      </c>
      <c r="AA2" s="355">
        <v>45467</v>
      </c>
      <c r="AB2" s="355">
        <v>45468</v>
      </c>
      <c r="AC2" s="355">
        <v>45469</v>
      </c>
      <c r="AD2" s="355">
        <v>45470</v>
      </c>
      <c r="AE2" s="355">
        <v>45471</v>
      </c>
      <c r="AF2" s="355">
        <v>45472</v>
      </c>
      <c r="AG2" s="355">
        <v>45473</v>
      </c>
      <c r="AH2" s="355"/>
      <c r="AI2" s="356" t="s">
        <v>227</v>
      </c>
    </row>
    <row r="3" spans="1:35" ht="18.75" outlineLevel="1" x14ac:dyDescent="0.2">
      <c r="A3" s="435">
        <v>1</v>
      </c>
      <c r="B3" s="436" t="s">
        <v>228</v>
      </c>
      <c r="C3" s="84" t="s">
        <v>229</v>
      </c>
      <c r="D3" s="98"/>
      <c r="E3" s="197"/>
      <c r="F3" s="98"/>
      <c r="G3" s="98"/>
      <c r="H3" s="98"/>
      <c r="I3" s="98"/>
      <c r="J3" s="98"/>
      <c r="K3" s="97"/>
      <c r="L3" s="97"/>
      <c r="M3" s="97"/>
      <c r="N3" s="97"/>
      <c r="O3" s="97"/>
      <c r="P3" s="97"/>
      <c r="Q3" s="97"/>
      <c r="R3" s="97"/>
      <c r="S3" s="97"/>
      <c r="T3" s="97"/>
      <c r="U3" s="97"/>
      <c r="V3" s="97"/>
      <c r="W3" s="97"/>
      <c r="X3" s="97"/>
      <c r="Y3" s="97"/>
      <c r="Z3" s="97"/>
      <c r="AA3" s="97"/>
      <c r="AB3" s="97"/>
      <c r="AC3" s="98"/>
      <c r="AD3" s="98"/>
      <c r="AE3" s="98"/>
      <c r="AF3" s="98"/>
      <c r="AG3" s="98"/>
      <c r="AH3" s="98"/>
      <c r="AI3" s="96">
        <f t="shared" ref="AI3:AI34" si="0">SUM(D3:AH3)</f>
        <v>0</v>
      </c>
    </row>
    <row r="4" spans="1:35" ht="18.75" outlineLevel="1" x14ac:dyDescent="0.2">
      <c r="A4" s="435">
        <v>2</v>
      </c>
      <c r="B4" s="436" t="s">
        <v>230</v>
      </c>
      <c r="C4" s="84" t="s">
        <v>229</v>
      </c>
      <c r="D4" s="98"/>
      <c r="E4" s="98"/>
      <c r="F4" s="98"/>
      <c r="G4" s="98"/>
      <c r="H4" s="98"/>
      <c r="I4" s="98"/>
      <c r="J4" s="98"/>
      <c r="K4" s="97"/>
      <c r="L4" s="97"/>
      <c r="M4" s="97"/>
      <c r="N4" s="97"/>
      <c r="O4" s="97"/>
      <c r="P4" s="97"/>
      <c r="Q4" s="97"/>
      <c r="R4" s="97"/>
      <c r="S4" s="97"/>
      <c r="T4" s="97"/>
      <c r="U4" s="97"/>
      <c r="V4" s="97"/>
      <c r="W4" s="97"/>
      <c r="X4" s="97"/>
      <c r="Y4" s="97"/>
      <c r="Z4" s="97"/>
      <c r="AA4" s="97"/>
      <c r="AB4" s="97"/>
      <c r="AC4" s="98"/>
      <c r="AD4" s="98"/>
      <c r="AE4" s="98"/>
      <c r="AF4" s="98"/>
      <c r="AG4" s="98"/>
      <c r="AH4" s="98"/>
      <c r="AI4" s="96">
        <f t="shared" si="0"/>
        <v>0</v>
      </c>
    </row>
    <row r="5" spans="1:35" ht="18.75" outlineLevel="1" x14ac:dyDescent="0.2">
      <c r="A5" s="435">
        <v>3</v>
      </c>
      <c r="B5" s="436" t="s">
        <v>231</v>
      </c>
      <c r="C5" s="84" t="s">
        <v>229</v>
      </c>
      <c r="D5" s="97"/>
      <c r="E5" s="98"/>
      <c r="F5" s="98"/>
      <c r="G5" s="98"/>
      <c r="H5" s="98"/>
      <c r="I5" s="98"/>
      <c r="J5" s="97"/>
      <c r="K5" s="97"/>
      <c r="L5" s="97"/>
      <c r="M5" s="97"/>
      <c r="N5" s="97"/>
      <c r="O5" s="97"/>
      <c r="P5" s="97"/>
      <c r="Q5" s="97"/>
      <c r="R5" s="97"/>
      <c r="S5" s="97"/>
      <c r="T5" s="97"/>
      <c r="U5" s="97"/>
      <c r="V5" s="97"/>
      <c r="W5" s="97"/>
      <c r="X5" s="97"/>
      <c r="Y5" s="97"/>
      <c r="Z5" s="97"/>
      <c r="AA5" s="97"/>
      <c r="AB5" s="97"/>
      <c r="AC5" s="97">
        <v>18</v>
      </c>
      <c r="AD5" s="97">
        <v>24</v>
      </c>
      <c r="AE5" s="97">
        <v>24</v>
      </c>
      <c r="AF5" s="97">
        <v>1.58</v>
      </c>
      <c r="AG5" s="97"/>
      <c r="AH5" s="97"/>
      <c r="AI5" s="96">
        <f t="shared" si="0"/>
        <v>67.58</v>
      </c>
    </row>
    <row r="6" spans="1:35" ht="18.75" outlineLevel="1" x14ac:dyDescent="0.2">
      <c r="A6" s="435">
        <v>4</v>
      </c>
      <c r="B6" s="436" t="s">
        <v>232</v>
      </c>
      <c r="C6" s="84" t="s">
        <v>229</v>
      </c>
      <c r="D6" s="97"/>
      <c r="E6" s="98"/>
      <c r="F6" s="98"/>
      <c r="G6" s="98"/>
      <c r="H6" s="98"/>
      <c r="I6" s="98"/>
      <c r="J6" s="97"/>
      <c r="K6" s="97"/>
      <c r="L6" s="97"/>
      <c r="M6" s="97"/>
      <c r="N6" s="97"/>
      <c r="O6" s="97"/>
      <c r="P6" s="97"/>
      <c r="Q6" s="97"/>
      <c r="R6" s="97"/>
      <c r="S6" s="97"/>
      <c r="T6" s="97"/>
      <c r="U6" s="97"/>
      <c r="V6" s="97"/>
      <c r="W6" s="97"/>
      <c r="X6" s="97"/>
      <c r="Y6" s="97"/>
      <c r="Z6" s="97"/>
      <c r="AA6" s="97"/>
      <c r="AB6" s="97"/>
      <c r="AC6" s="97">
        <v>18</v>
      </c>
      <c r="AD6" s="97">
        <v>24</v>
      </c>
      <c r="AE6" s="97">
        <v>24</v>
      </c>
      <c r="AF6" s="97">
        <v>1.58</v>
      </c>
      <c r="AG6" s="97"/>
      <c r="AH6" s="97"/>
      <c r="AI6" s="96">
        <f t="shared" si="0"/>
        <v>67.58</v>
      </c>
    </row>
    <row r="7" spans="1:35" ht="18.75" outlineLevel="1" x14ac:dyDescent="0.2">
      <c r="A7" s="435">
        <v>5</v>
      </c>
      <c r="B7" s="436" t="s">
        <v>233</v>
      </c>
      <c r="C7" s="84" t="s">
        <v>229</v>
      </c>
      <c r="D7" s="98"/>
      <c r="E7" s="98"/>
      <c r="F7" s="98"/>
      <c r="G7" s="98"/>
      <c r="H7" s="98"/>
      <c r="I7" s="98"/>
      <c r="J7" s="98"/>
      <c r="K7" s="97"/>
      <c r="L7" s="97"/>
      <c r="M7" s="97"/>
      <c r="N7" s="97"/>
      <c r="O7" s="97"/>
      <c r="P7" s="97"/>
      <c r="Q7" s="97"/>
      <c r="R7" s="97"/>
      <c r="S7" s="97"/>
      <c r="T7" s="97"/>
      <c r="U7" s="97"/>
      <c r="V7" s="97"/>
      <c r="W7" s="97"/>
      <c r="X7" s="97"/>
      <c r="Y7" s="97"/>
      <c r="Z7" s="97"/>
      <c r="AA7" s="97"/>
      <c r="AB7" s="97"/>
      <c r="AC7" s="97"/>
      <c r="AD7" s="97"/>
      <c r="AE7" s="97"/>
      <c r="AF7" s="97"/>
      <c r="AG7" s="98"/>
      <c r="AH7" s="98"/>
      <c r="AI7" s="96">
        <f t="shared" si="0"/>
        <v>0</v>
      </c>
    </row>
    <row r="8" spans="1:35" ht="18.75" outlineLevel="1" x14ac:dyDescent="0.2">
      <c r="A8" s="435">
        <v>6</v>
      </c>
      <c r="B8" s="436" t="s">
        <v>234</v>
      </c>
      <c r="C8" s="84" t="s">
        <v>229</v>
      </c>
      <c r="D8" s="98"/>
      <c r="E8" s="98"/>
      <c r="F8" s="98"/>
      <c r="G8" s="98"/>
      <c r="H8" s="98"/>
      <c r="I8" s="98"/>
      <c r="J8" s="98"/>
      <c r="K8" s="97"/>
      <c r="L8" s="97"/>
      <c r="M8" s="97"/>
      <c r="N8" s="97"/>
      <c r="O8" s="97"/>
      <c r="P8" s="97"/>
      <c r="Q8" s="97"/>
      <c r="R8" s="97"/>
      <c r="S8" s="97"/>
      <c r="T8" s="97"/>
      <c r="U8" s="97"/>
      <c r="V8" s="97"/>
      <c r="W8" s="97"/>
      <c r="X8" s="97"/>
      <c r="Y8" s="97"/>
      <c r="Z8" s="97"/>
      <c r="AA8" s="97"/>
      <c r="AB8" s="97"/>
      <c r="AC8" s="97"/>
      <c r="AD8" s="97"/>
      <c r="AE8" s="97"/>
      <c r="AF8" s="97"/>
      <c r="AG8" s="98"/>
      <c r="AH8" s="98"/>
      <c r="AI8" s="96">
        <f t="shared" si="0"/>
        <v>0</v>
      </c>
    </row>
    <row r="9" spans="1:35" ht="18.75" outlineLevel="1" x14ac:dyDescent="0.2">
      <c r="A9" s="435">
        <v>7</v>
      </c>
      <c r="B9" s="436" t="s">
        <v>235</v>
      </c>
      <c r="C9" s="84" t="s">
        <v>229</v>
      </c>
      <c r="D9" s="98"/>
      <c r="E9" s="98"/>
      <c r="F9" s="98"/>
      <c r="G9" s="98"/>
      <c r="H9" s="98"/>
      <c r="I9" s="98"/>
      <c r="J9" s="97"/>
      <c r="K9" s="97"/>
      <c r="L9" s="97"/>
      <c r="M9" s="97"/>
      <c r="N9" s="97"/>
      <c r="O9" s="97"/>
      <c r="P9" s="97"/>
      <c r="Q9" s="97"/>
      <c r="R9" s="97"/>
      <c r="S9" s="97"/>
      <c r="T9" s="97"/>
      <c r="U9" s="97"/>
      <c r="V9" s="97"/>
      <c r="W9" s="97"/>
      <c r="X9" s="98"/>
      <c r="Y9" s="98"/>
      <c r="Z9" s="98"/>
      <c r="AA9" s="98"/>
      <c r="AB9" s="98"/>
      <c r="AC9" s="98">
        <v>24</v>
      </c>
      <c r="AD9" s="98">
        <v>24</v>
      </c>
      <c r="AE9" s="98">
        <v>24</v>
      </c>
      <c r="AF9" s="98">
        <v>14.58</v>
      </c>
      <c r="AG9" s="98"/>
      <c r="AH9" s="98"/>
      <c r="AI9" s="96">
        <f t="shared" si="0"/>
        <v>86.58</v>
      </c>
    </row>
    <row r="10" spans="1:35" ht="18.75" outlineLevel="1" x14ac:dyDescent="0.2">
      <c r="A10" s="435">
        <v>8</v>
      </c>
      <c r="B10" s="436" t="s">
        <v>236</v>
      </c>
      <c r="C10" s="84" t="s">
        <v>229</v>
      </c>
      <c r="D10" s="98"/>
      <c r="E10" s="98"/>
      <c r="F10" s="98"/>
      <c r="G10" s="98"/>
      <c r="H10" s="98"/>
      <c r="I10" s="98"/>
      <c r="J10" s="97"/>
      <c r="K10" s="97"/>
      <c r="L10" s="97"/>
      <c r="M10" s="97"/>
      <c r="N10" s="97"/>
      <c r="O10" s="97"/>
      <c r="P10" s="97"/>
      <c r="Q10" s="97"/>
      <c r="R10" s="97"/>
      <c r="S10" s="97"/>
      <c r="T10" s="97"/>
      <c r="U10" s="97"/>
      <c r="V10" s="97"/>
      <c r="W10" s="97"/>
      <c r="X10" s="98"/>
      <c r="Y10" s="98"/>
      <c r="Z10" s="98"/>
      <c r="AA10" s="98"/>
      <c r="AB10" s="98"/>
      <c r="AC10" s="98">
        <v>24</v>
      </c>
      <c r="AD10" s="98">
        <v>24</v>
      </c>
      <c r="AE10" s="98">
        <v>24</v>
      </c>
      <c r="AF10" s="98">
        <v>14.58</v>
      </c>
      <c r="AG10" s="98"/>
      <c r="AH10" s="98"/>
      <c r="AI10" s="96">
        <f t="shared" si="0"/>
        <v>86.58</v>
      </c>
    </row>
    <row r="11" spans="1:35" ht="18.75" outlineLevel="1" x14ac:dyDescent="0.2">
      <c r="A11" s="435">
        <v>9</v>
      </c>
      <c r="B11" s="436" t="s">
        <v>237</v>
      </c>
      <c r="C11" s="84" t="s">
        <v>229</v>
      </c>
      <c r="D11" s="98"/>
      <c r="E11" s="98"/>
      <c r="F11" s="98"/>
      <c r="G11" s="98"/>
      <c r="H11" s="98"/>
      <c r="I11" s="98"/>
      <c r="J11" s="98"/>
      <c r="K11" s="97"/>
      <c r="L11" s="97"/>
      <c r="M11" s="97"/>
      <c r="N11" s="97"/>
      <c r="O11" s="97"/>
      <c r="P11" s="97"/>
      <c r="Q11" s="97"/>
      <c r="R11" s="97"/>
      <c r="S11" s="97"/>
      <c r="T11" s="97"/>
      <c r="U11" s="97"/>
      <c r="V11" s="98"/>
      <c r="W11" s="98"/>
      <c r="X11" s="98"/>
      <c r="Y11" s="98"/>
      <c r="Z11" s="98"/>
      <c r="AA11" s="98"/>
      <c r="AB11" s="98"/>
      <c r="AC11" s="98"/>
      <c r="AD11" s="98"/>
      <c r="AE11" s="98"/>
      <c r="AF11" s="98"/>
      <c r="AG11" s="98"/>
      <c r="AH11" s="98"/>
      <c r="AI11" s="96">
        <f t="shared" si="0"/>
        <v>0</v>
      </c>
    </row>
    <row r="12" spans="1:35" ht="18.75" outlineLevel="1" x14ac:dyDescent="0.2">
      <c r="A12" s="435">
        <v>10</v>
      </c>
      <c r="B12" s="436" t="s">
        <v>238</v>
      </c>
      <c r="C12" s="84" t="s">
        <v>229</v>
      </c>
      <c r="D12" s="98"/>
      <c r="E12" s="98"/>
      <c r="F12" s="98"/>
      <c r="G12" s="98"/>
      <c r="H12" s="98"/>
      <c r="I12" s="98"/>
      <c r="J12" s="98"/>
      <c r="K12" s="97"/>
      <c r="L12" s="97"/>
      <c r="M12" s="97"/>
      <c r="N12" s="97"/>
      <c r="O12" s="97"/>
      <c r="P12" s="97"/>
      <c r="Q12" s="97"/>
      <c r="R12" s="97"/>
      <c r="S12" s="97"/>
      <c r="T12" s="97"/>
      <c r="U12" s="97"/>
      <c r="V12" s="98"/>
      <c r="W12" s="98"/>
      <c r="X12" s="98"/>
      <c r="Y12" s="98"/>
      <c r="Z12" s="98"/>
      <c r="AA12" s="98"/>
      <c r="AB12" s="98"/>
      <c r="AC12" s="98"/>
      <c r="AD12" s="98"/>
      <c r="AE12" s="98"/>
      <c r="AF12" s="98"/>
      <c r="AG12" s="98"/>
      <c r="AH12" s="98"/>
      <c r="AI12" s="96">
        <f t="shared" si="0"/>
        <v>0</v>
      </c>
    </row>
    <row r="13" spans="1:35" ht="18.75" outlineLevel="1" x14ac:dyDescent="0.2">
      <c r="A13" s="435">
        <v>11</v>
      </c>
      <c r="B13" s="436" t="s">
        <v>239</v>
      </c>
      <c r="C13" s="84" t="s">
        <v>229</v>
      </c>
      <c r="D13" s="98"/>
      <c r="E13" s="98"/>
      <c r="F13" s="98"/>
      <c r="G13" s="98"/>
      <c r="H13" s="98"/>
      <c r="I13" s="98"/>
      <c r="J13" s="98"/>
      <c r="K13" s="97"/>
      <c r="L13" s="97"/>
      <c r="M13" s="97"/>
      <c r="N13" s="97"/>
      <c r="O13" s="97"/>
      <c r="P13" s="97"/>
      <c r="Q13" s="99"/>
      <c r="R13" s="97"/>
      <c r="S13" s="97"/>
      <c r="T13" s="199"/>
      <c r="U13" s="98"/>
      <c r="V13" s="98"/>
      <c r="W13" s="98"/>
      <c r="X13" s="98"/>
      <c r="Y13" s="98"/>
      <c r="Z13" s="98"/>
      <c r="AA13" s="98"/>
      <c r="AB13" s="98"/>
      <c r="AC13" s="98"/>
      <c r="AD13" s="98"/>
      <c r="AE13" s="98"/>
      <c r="AF13" s="98"/>
      <c r="AG13" s="98"/>
      <c r="AH13" s="98"/>
      <c r="AI13" s="96">
        <f t="shared" si="0"/>
        <v>0</v>
      </c>
    </row>
    <row r="14" spans="1:35" ht="18.75" outlineLevel="1" x14ac:dyDescent="0.2">
      <c r="A14" s="435">
        <v>12</v>
      </c>
      <c r="B14" s="436" t="s">
        <v>240</v>
      </c>
      <c r="C14" s="84" t="s">
        <v>229</v>
      </c>
      <c r="D14" s="98"/>
      <c r="E14" s="98"/>
      <c r="F14" s="98"/>
      <c r="G14" s="98"/>
      <c r="H14" s="98"/>
      <c r="I14" s="98"/>
      <c r="J14" s="98"/>
      <c r="K14" s="97"/>
      <c r="L14" s="97"/>
      <c r="M14" s="97"/>
      <c r="N14" s="97"/>
      <c r="O14" s="97"/>
      <c r="P14" s="97"/>
      <c r="Q14" s="99"/>
      <c r="R14" s="97"/>
      <c r="S14" s="97"/>
      <c r="T14" s="97"/>
      <c r="U14" s="98"/>
      <c r="V14" s="98"/>
      <c r="W14" s="98"/>
      <c r="X14" s="98"/>
      <c r="Y14" s="98"/>
      <c r="Z14" s="98"/>
      <c r="AA14" s="98"/>
      <c r="AB14" s="98"/>
      <c r="AC14" s="98"/>
      <c r="AD14" s="98"/>
      <c r="AE14" s="98"/>
      <c r="AF14" s="98"/>
      <c r="AG14" s="98"/>
      <c r="AH14" s="98"/>
      <c r="AI14" s="96">
        <f t="shared" si="0"/>
        <v>0</v>
      </c>
    </row>
    <row r="15" spans="1:35" ht="18.75" outlineLevel="1" x14ac:dyDescent="0.2">
      <c r="A15" s="435">
        <v>13</v>
      </c>
      <c r="B15" s="436" t="s">
        <v>241</v>
      </c>
      <c r="C15" s="84" t="s">
        <v>229</v>
      </c>
      <c r="D15" s="98"/>
      <c r="E15" s="98"/>
      <c r="F15" s="98"/>
      <c r="G15" s="98"/>
      <c r="H15" s="98"/>
      <c r="I15" s="98"/>
      <c r="J15" s="98"/>
      <c r="K15" s="98"/>
      <c r="L15" s="98"/>
      <c r="M15" s="97"/>
      <c r="N15" s="97"/>
      <c r="O15" s="97"/>
      <c r="P15" s="97"/>
      <c r="Q15" s="97"/>
      <c r="R15" s="97"/>
      <c r="S15" s="97"/>
      <c r="T15" s="97"/>
      <c r="U15" s="97"/>
      <c r="V15" s="97"/>
      <c r="W15" s="97"/>
      <c r="X15" s="97"/>
      <c r="Y15" s="97"/>
      <c r="Z15" s="97"/>
      <c r="AA15" s="97"/>
      <c r="AB15" s="97"/>
      <c r="AC15" s="97"/>
      <c r="AD15" s="97"/>
      <c r="AE15" s="97"/>
      <c r="AF15" s="97"/>
      <c r="AG15" s="97"/>
      <c r="AH15" s="98"/>
      <c r="AI15" s="96">
        <f t="shared" si="0"/>
        <v>0</v>
      </c>
    </row>
    <row r="16" spans="1:35" ht="18.75" outlineLevel="1" x14ac:dyDescent="0.2">
      <c r="A16" s="435">
        <v>14</v>
      </c>
      <c r="B16" s="436" t="s">
        <v>242</v>
      </c>
      <c r="C16" s="84" t="s">
        <v>229</v>
      </c>
      <c r="D16" s="98"/>
      <c r="E16" s="98"/>
      <c r="F16" s="98"/>
      <c r="G16" s="98"/>
      <c r="H16" s="98"/>
      <c r="I16" s="98"/>
      <c r="J16" s="98"/>
      <c r="K16" s="98"/>
      <c r="L16" s="98"/>
      <c r="M16" s="97"/>
      <c r="N16" s="97"/>
      <c r="O16" s="97"/>
      <c r="P16" s="97"/>
      <c r="Q16" s="97"/>
      <c r="R16" s="97"/>
      <c r="S16" s="97"/>
      <c r="T16" s="97"/>
      <c r="U16" s="97"/>
      <c r="V16" s="97"/>
      <c r="W16" s="97"/>
      <c r="X16" s="97"/>
      <c r="Y16" s="97"/>
      <c r="Z16" s="97"/>
      <c r="AA16" s="97"/>
      <c r="AB16" s="97"/>
      <c r="AC16" s="97"/>
      <c r="AD16" s="97"/>
      <c r="AE16" s="97"/>
      <c r="AF16" s="97"/>
      <c r="AG16" s="97"/>
      <c r="AH16" s="98"/>
      <c r="AI16" s="96">
        <f t="shared" si="0"/>
        <v>0</v>
      </c>
    </row>
    <row r="17" spans="1:35" ht="18.75" outlineLevel="1" x14ac:dyDescent="0.2">
      <c r="A17" s="435">
        <v>15</v>
      </c>
      <c r="B17" s="436" t="s">
        <v>243</v>
      </c>
      <c r="C17" s="84" t="s">
        <v>229</v>
      </c>
      <c r="D17" s="98"/>
      <c r="E17" s="97"/>
      <c r="F17" s="97"/>
      <c r="G17" s="97"/>
      <c r="H17" s="97"/>
      <c r="I17" s="97"/>
      <c r="J17" s="97"/>
      <c r="K17" s="97"/>
      <c r="L17" s="97"/>
      <c r="M17" s="97"/>
      <c r="N17" s="97"/>
      <c r="O17" s="97"/>
      <c r="P17" s="97"/>
      <c r="Q17" s="97"/>
      <c r="R17" s="97"/>
      <c r="S17" s="97"/>
      <c r="T17" s="97"/>
      <c r="U17" s="97"/>
      <c r="V17" s="97"/>
      <c r="W17" s="97"/>
      <c r="X17" s="97"/>
      <c r="Y17" s="97"/>
      <c r="Z17" s="97"/>
      <c r="AA17" s="97"/>
      <c r="AB17" s="98"/>
      <c r="AC17" s="98"/>
      <c r="AD17" s="98"/>
      <c r="AE17" s="98"/>
      <c r="AF17" s="98"/>
      <c r="AG17" s="98"/>
      <c r="AH17" s="98"/>
      <c r="AI17" s="96">
        <f t="shared" si="0"/>
        <v>0</v>
      </c>
    </row>
    <row r="18" spans="1:35" ht="18.75" outlineLevel="1" x14ac:dyDescent="0.2">
      <c r="A18" s="435">
        <v>16</v>
      </c>
      <c r="B18" s="436" t="s">
        <v>244</v>
      </c>
      <c r="C18" s="84" t="s">
        <v>229</v>
      </c>
      <c r="D18" s="97"/>
      <c r="E18" s="97"/>
      <c r="F18" s="97"/>
      <c r="G18" s="97"/>
      <c r="H18" s="97"/>
      <c r="I18" s="97"/>
      <c r="J18" s="97"/>
      <c r="K18" s="97"/>
      <c r="L18" s="97"/>
      <c r="M18" s="97"/>
      <c r="N18" s="97"/>
      <c r="O18" s="97"/>
      <c r="P18" s="97"/>
      <c r="Q18" s="97"/>
      <c r="R18" s="97"/>
      <c r="S18" s="97"/>
      <c r="T18" s="97"/>
      <c r="U18" s="98"/>
      <c r="V18" s="98"/>
      <c r="W18" s="98"/>
      <c r="X18" s="98"/>
      <c r="Y18" s="98"/>
      <c r="Z18" s="98"/>
      <c r="AA18" s="98"/>
      <c r="AB18" s="98"/>
      <c r="AC18" s="97"/>
      <c r="AD18" s="97"/>
      <c r="AE18" s="97"/>
      <c r="AF18" s="97"/>
      <c r="AG18" s="97"/>
      <c r="AH18" s="97"/>
      <c r="AI18" s="96">
        <f t="shared" si="0"/>
        <v>0</v>
      </c>
    </row>
    <row r="19" spans="1:35" ht="18.75" outlineLevel="1" x14ac:dyDescent="0.2">
      <c r="A19" s="435">
        <v>17</v>
      </c>
      <c r="B19" s="436" t="s">
        <v>245</v>
      </c>
      <c r="C19" s="84" t="s">
        <v>229</v>
      </c>
      <c r="D19" s="97"/>
      <c r="E19" s="97"/>
      <c r="F19" s="97"/>
      <c r="G19" s="97"/>
      <c r="H19" s="97"/>
      <c r="I19" s="97"/>
      <c r="J19" s="97"/>
      <c r="K19" s="97"/>
      <c r="L19" s="97"/>
      <c r="M19" s="97"/>
      <c r="N19" s="97"/>
      <c r="O19" s="97"/>
      <c r="P19" s="97"/>
      <c r="Q19" s="97"/>
      <c r="R19" s="97"/>
      <c r="S19" s="97"/>
      <c r="T19" s="97"/>
      <c r="U19" s="98"/>
      <c r="V19" s="98"/>
      <c r="W19" s="98"/>
      <c r="X19" s="98"/>
      <c r="Y19" s="98"/>
      <c r="Z19" s="98"/>
      <c r="AA19" s="98"/>
      <c r="AB19" s="98"/>
      <c r="AC19" s="97"/>
      <c r="AD19" s="97"/>
      <c r="AE19" s="97"/>
      <c r="AF19" s="97"/>
      <c r="AG19" s="97"/>
      <c r="AH19" s="97"/>
      <c r="AI19" s="96">
        <f t="shared" si="0"/>
        <v>0</v>
      </c>
    </row>
    <row r="20" spans="1:35" ht="18.75" outlineLevel="1" x14ac:dyDescent="0.2">
      <c r="A20" s="435">
        <v>18</v>
      </c>
      <c r="B20" s="436" t="s">
        <v>246</v>
      </c>
      <c r="C20" s="84" t="s">
        <v>229</v>
      </c>
      <c r="D20" s="97"/>
      <c r="E20" s="199"/>
      <c r="F20" s="97"/>
      <c r="G20" s="97"/>
      <c r="H20" s="97"/>
      <c r="I20" s="97"/>
      <c r="J20" s="97"/>
      <c r="K20" s="97"/>
      <c r="L20" s="97"/>
      <c r="M20" s="97"/>
      <c r="N20" s="97"/>
      <c r="O20" s="97"/>
      <c r="P20" s="97"/>
      <c r="Q20" s="97"/>
      <c r="R20" s="97"/>
      <c r="S20" s="97"/>
      <c r="T20" s="97"/>
      <c r="U20" s="97"/>
      <c r="V20" s="98"/>
      <c r="W20" s="97"/>
      <c r="X20" s="97"/>
      <c r="Y20" s="97"/>
      <c r="Z20" s="97"/>
      <c r="AA20" s="97"/>
      <c r="AB20" s="97"/>
      <c r="AC20" s="97"/>
      <c r="AD20" s="97"/>
      <c r="AE20" s="97"/>
      <c r="AF20" s="97"/>
      <c r="AG20" s="97"/>
      <c r="AH20" s="97"/>
      <c r="AI20" s="96">
        <f t="shared" si="0"/>
        <v>0</v>
      </c>
    </row>
    <row r="21" spans="1:35" ht="18.75" outlineLevel="1" x14ac:dyDescent="0.2">
      <c r="A21" s="435">
        <v>19</v>
      </c>
      <c r="B21" s="436" t="s">
        <v>247</v>
      </c>
      <c r="C21" s="84" t="s">
        <v>229</v>
      </c>
      <c r="D21" s="97"/>
      <c r="E21" s="97"/>
      <c r="F21" s="97"/>
      <c r="G21" s="97"/>
      <c r="H21" s="97"/>
      <c r="I21" s="97"/>
      <c r="J21" s="97"/>
      <c r="K21" s="97"/>
      <c r="L21" s="97"/>
      <c r="M21" s="97"/>
      <c r="N21" s="97"/>
      <c r="O21" s="97"/>
      <c r="P21" s="97"/>
      <c r="Q21" s="97"/>
      <c r="R21" s="97"/>
      <c r="S21" s="97"/>
      <c r="T21" s="97"/>
      <c r="U21" s="97"/>
      <c r="V21" s="98"/>
      <c r="W21" s="97"/>
      <c r="X21" s="97"/>
      <c r="Y21" s="97"/>
      <c r="Z21" s="97"/>
      <c r="AA21" s="97"/>
      <c r="AB21" s="97"/>
      <c r="AC21" s="97"/>
      <c r="AD21" s="97"/>
      <c r="AE21" s="97"/>
      <c r="AF21" s="97"/>
      <c r="AG21" s="97"/>
      <c r="AH21" s="97"/>
      <c r="AI21" s="96">
        <f t="shared" si="0"/>
        <v>0</v>
      </c>
    </row>
    <row r="22" spans="1:35" ht="18.75" outlineLevel="1" x14ac:dyDescent="0.2">
      <c r="A22" s="435">
        <v>20</v>
      </c>
      <c r="B22" s="436" t="s">
        <v>248</v>
      </c>
      <c r="C22" s="84" t="s">
        <v>229</v>
      </c>
      <c r="D22" s="199"/>
      <c r="E22" s="199"/>
      <c r="F22" s="97"/>
      <c r="G22" s="97"/>
      <c r="H22" s="97"/>
      <c r="I22" s="97"/>
      <c r="J22" s="97"/>
      <c r="K22" s="97"/>
      <c r="L22" s="97"/>
      <c r="M22" s="97"/>
      <c r="N22" s="97"/>
      <c r="O22" s="97"/>
      <c r="P22" s="97"/>
      <c r="Q22" s="97"/>
      <c r="R22" s="97"/>
      <c r="S22" s="97"/>
      <c r="T22" s="97"/>
      <c r="U22" s="97"/>
      <c r="V22" s="97"/>
      <c r="W22" s="97"/>
      <c r="X22" s="97"/>
      <c r="Y22" s="97"/>
      <c r="Z22" s="97"/>
      <c r="AA22" s="97"/>
      <c r="AB22" s="97"/>
      <c r="AC22" s="97"/>
      <c r="AD22" s="97"/>
      <c r="AE22" s="97"/>
      <c r="AF22" s="97"/>
      <c r="AG22" s="97"/>
      <c r="AH22" s="199"/>
      <c r="AI22" s="96">
        <f t="shared" si="0"/>
        <v>0</v>
      </c>
    </row>
    <row r="23" spans="1:35" ht="18.75" outlineLevel="1" x14ac:dyDescent="0.2">
      <c r="A23" s="435">
        <v>21</v>
      </c>
      <c r="B23" s="436" t="s">
        <v>249</v>
      </c>
      <c r="C23" s="84" t="s">
        <v>229</v>
      </c>
      <c r="D23" s="199"/>
      <c r="E23" s="97"/>
      <c r="F23" s="97"/>
      <c r="G23" s="97"/>
      <c r="H23" s="97"/>
      <c r="I23" s="97"/>
      <c r="J23" s="97"/>
      <c r="K23" s="97"/>
      <c r="L23" s="97"/>
      <c r="M23" s="97"/>
      <c r="N23" s="97"/>
      <c r="O23" s="97"/>
      <c r="P23" s="97"/>
      <c r="Q23" s="97"/>
      <c r="R23" s="97"/>
      <c r="S23" s="97"/>
      <c r="T23" s="97"/>
      <c r="U23" s="97"/>
      <c r="V23" s="97"/>
      <c r="W23" s="97"/>
      <c r="X23" s="97"/>
      <c r="Y23" s="97"/>
      <c r="Z23" s="97"/>
      <c r="AA23" s="97"/>
      <c r="AB23" s="97"/>
      <c r="AC23" s="97"/>
      <c r="AD23" s="97"/>
      <c r="AE23" s="97"/>
      <c r="AF23" s="97"/>
      <c r="AG23" s="97"/>
      <c r="AH23" s="199"/>
      <c r="AI23" s="96">
        <f t="shared" si="0"/>
        <v>0</v>
      </c>
    </row>
    <row r="24" spans="1:35" ht="18.75" outlineLevel="1" x14ac:dyDescent="0.2">
      <c r="A24" s="435">
        <v>22</v>
      </c>
      <c r="B24" s="436" t="s">
        <v>250</v>
      </c>
      <c r="C24" s="84" t="s">
        <v>229</v>
      </c>
      <c r="D24" s="97"/>
      <c r="E24" s="97"/>
      <c r="F24" s="97"/>
      <c r="G24" s="97"/>
      <c r="H24" s="97"/>
      <c r="I24" s="97"/>
      <c r="J24" s="97"/>
      <c r="K24" s="97"/>
      <c r="L24" s="97"/>
      <c r="M24" s="97"/>
      <c r="N24" s="97"/>
      <c r="O24" s="97"/>
      <c r="P24" s="97"/>
      <c r="Q24" s="97"/>
      <c r="R24" s="97"/>
      <c r="S24" s="97"/>
      <c r="T24" s="97"/>
      <c r="U24" s="97"/>
      <c r="V24" s="97"/>
      <c r="W24" s="97"/>
      <c r="X24" s="97"/>
      <c r="Y24" s="97"/>
      <c r="Z24" s="97"/>
      <c r="AA24" s="97"/>
      <c r="AB24" s="98"/>
      <c r="AC24" s="98"/>
      <c r="AD24" s="98"/>
      <c r="AE24" s="98"/>
      <c r="AF24" s="97"/>
      <c r="AG24" s="97"/>
      <c r="AH24" s="97"/>
      <c r="AI24" s="96">
        <f t="shared" si="0"/>
        <v>0</v>
      </c>
    </row>
    <row r="25" spans="1:35" ht="18.75" outlineLevel="1" x14ac:dyDescent="0.2">
      <c r="A25" s="435">
        <v>23</v>
      </c>
      <c r="B25" s="436" t="s">
        <v>251</v>
      </c>
      <c r="C25" s="84" t="s">
        <v>229</v>
      </c>
      <c r="D25" s="97"/>
      <c r="E25" s="97"/>
      <c r="F25" s="97"/>
      <c r="G25" s="97"/>
      <c r="H25" s="97"/>
      <c r="I25" s="97"/>
      <c r="J25" s="97"/>
      <c r="K25" s="97"/>
      <c r="L25" s="97"/>
      <c r="M25" s="97"/>
      <c r="N25" s="97"/>
      <c r="O25" s="97"/>
      <c r="P25" s="97"/>
      <c r="Q25" s="97"/>
      <c r="R25" s="97"/>
      <c r="S25" s="97"/>
      <c r="T25" s="97"/>
      <c r="U25" s="97"/>
      <c r="V25" s="97"/>
      <c r="W25" s="97"/>
      <c r="X25" s="97"/>
      <c r="Y25" s="97"/>
      <c r="Z25" s="97"/>
      <c r="AA25" s="97"/>
      <c r="AB25" s="98"/>
      <c r="AC25" s="98"/>
      <c r="AD25" s="98"/>
      <c r="AE25" s="98"/>
      <c r="AF25" s="97"/>
      <c r="AG25" s="97"/>
      <c r="AH25" s="97"/>
      <c r="AI25" s="96">
        <f t="shared" si="0"/>
        <v>0</v>
      </c>
    </row>
    <row r="26" spans="1:35" ht="18.75" outlineLevel="1" x14ac:dyDescent="0.2">
      <c r="A26" s="435">
        <v>24</v>
      </c>
      <c r="B26" s="436" t="s">
        <v>252</v>
      </c>
      <c r="C26" s="84" t="s">
        <v>229</v>
      </c>
      <c r="D26" s="199"/>
      <c r="E26" s="199"/>
      <c r="F26" s="199"/>
      <c r="G26" s="199"/>
      <c r="H26" s="199"/>
      <c r="I26" s="199"/>
      <c r="J26" s="199"/>
      <c r="K26" s="199"/>
      <c r="L26" s="97"/>
      <c r="M26" s="97"/>
      <c r="N26" s="97"/>
      <c r="O26" s="199"/>
      <c r="P26" s="99"/>
      <c r="Q26" s="99"/>
      <c r="R26" s="277"/>
      <c r="S26" s="99"/>
      <c r="T26" s="99"/>
      <c r="U26" s="199"/>
      <c r="V26" s="199">
        <v>17.5</v>
      </c>
      <c r="W26" s="199">
        <v>24</v>
      </c>
      <c r="X26" s="199">
        <v>21.4</v>
      </c>
      <c r="Y26" s="199"/>
      <c r="Z26" s="199"/>
      <c r="AA26" s="199"/>
      <c r="AB26" s="199"/>
      <c r="AC26" s="199"/>
      <c r="AD26" s="199"/>
      <c r="AE26" s="199"/>
      <c r="AF26" s="199"/>
      <c r="AG26" s="199"/>
      <c r="AH26" s="199"/>
      <c r="AI26" s="96">
        <f t="shared" si="0"/>
        <v>62.9</v>
      </c>
    </row>
    <row r="27" spans="1:35" ht="18.75" outlineLevel="1" x14ac:dyDescent="0.2">
      <c r="A27" s="435">
        <v>25</v>
      </c>
      <c r="B27" s="436" t="s">
        <v>253</v>
      </c>
      <c r="C27" s="84" t="s">
        <v>229</v>
      </c>
      <c r="D27" s="199"/>
      <c r="E27" s="199"/>
      <c r="F27" s="199"/>
      <c r="G27" s="199"/>
      <c r="H27" s="199"/>
      <c r="I27" s="199"/>
      <c r="J27" s="199"/>
      <c r="K27" s="199"/>
      <c r="L27" s="97"/>
      <c r="M27" s="97"/>
      <c r="N27" s="97"/>
      <c r="O27" s="199"/>
      <c r="P27" s="99"/>
      <c r="Q27" s="99"/>
      <c r="R27" s="199"/>
      <c r="S27" s="199"/>
      <c r="T27" s="199"/>
      <c r="U27" s="199"/>
      <c r="V27" s="199">
        <v>17.5</v>
      </c>
      <c r="W27" s="199">
        <v>24</v>
      </c>
      <c r="X27" s="199">
        <v>21.4</v>
      </c>
      <c r="Y27" s="199"/>
      <c r="Z27" s="199"/>
      <c r="AA27" s="199"/>
      <c r="AB27" s="199"/>
      <c r="AC27" s="199"/>
      <c r="AD27" s="199"/>
      <c r="AE27" s="199"/>
      <c r="AF27" s="199"/>
      <c r="AG27" s="199"/>
      <c r="AH27" s="199"/>
      <c r="AI27" s="96">
        <f t="shared" si="0"/>
        <v>62.9</v>
      </c>
    </row>
    <row r="28" spans="1:35" ht="18.75" outlineLevel="1" x14ac:dyDescent="0.2">
      <c r="A28" s="435">
        <v>26</v>
      </c>
      <c r="B28" s="436" t="s">
        <v>254</v>
      </c>
      <c r="C28" s="84" t="s">
        <v>229</v>
      </c>
      <c r="D28" s="97"/>
      <c r="E28" s="97"/>
      <c r="F28" s="97"/>
      <c r="G28" s="97"/>
      <c r="H28" s="97"/>
      <c r="I28" s="97"/>
      <c r="J28" s="97"/>
      <c r="K28" s="97"/>
      <c r="L28" s="97"/>
      <c r="M28" s="97"/>
      <c r="N28" s="97"/>
      <c r="O28" s="97"/>
      <c r="P28" s="97"/>
      <c r="Q28" s="97"/>
      <c r="R28" s="97"/>
      <c r="S28" s="97"/>
      <c r="T28" s="97"/>
      <c r="U28" s="97"/>
      <c r="V28" s="97"/>
      <c r="W28" s="97"/>
      <c r="X28" s="97"/>
      <c r="Y28" s="97"/>
      <c r="Z28" s="97"/>
      <c r="AA28" s="97"/>
      <c r="AB28" s="97"/>
      <c r="AC28" s="97"/>
      <c r="AD28" s="97"/>
      <c r="AE28" s="199"/>
      <c r="AF28" s="199"/>
      <c r="AG28" s="199"/>
      <c r="AH28" s="97"/>
      <c r="AI28" s="96">
        <f t="shared" si="0"/>
        <v>0</v>
      </c>
    </row>
    <row r="29" spans="1:35" ht="18.75" outlineLevel="1" x14ac:dyDescent="0.2">
      <c r="A29" s="435">
        <v>27</v>
      </c>
      <c r="B29" s="436" t="s">
        <v>255</v>
      </c>
      <c r="C29" s="84" t="s">
        <v>229</v>
      </c>
      <c r="D29" s="97"/>
      <c r="E29" s="97"/>
      <c r="F29" s="97"/>
      <c r="G29" s="97"/>
      <c r="H29" s="97"/>
      <c r="I29" s="97"/>
      <c r="J29" s="97"/>
      <c r="K29" s="97"/>
      <c r="L29" s="97"/>
      <c r="M29" s="97"/>
      <c r="N29" s="97"/>
      <c r="O29" s="97"/>
      <c r="P29" s="97"/>
      <c r="Q29" s="97"/>
      <c r="R29" s="97"/>
      <c r="S29" s="97"/>
      <c r="T29" s="97"/>
      <c r="U29" s="97"/>
      <c r="V29" s="97"/>
      <c r="W29" s="97"/>
      <c r="X29" s="97"/>
      <c r="Y29" s="97"/>
      <c r="Z29" s="97"/>
      <c r="AA29" s="97"/>
      <c r="AB29" s="97"/>
      <c r="AC29" s="97"/>
      <c r="AD29" s="97"/>
      <c r="AE29" s="199"/>
      <c r="AF29" s="199"/>
      <c r="AG29" s="199"/>
      <c r="AH29" s="97"/>
      <c r="AI29" s="96">
        <f t="shared" si="0"/>
        <v>0</v>
      </c>
    </row>
    <row r="30" spans="1:35" ht="18.75" outlineLevel="1" x14ac:dyDescent="0.2">
      <c r="A30" s="435">
        <v>28</v>
      </c>
      <c r="B30" s="436" t="s">
        <v>256</v>
      </c>
      <c r="C30" s="84" t="s">
        <v>229</v>
      </c>
      <c r="D30" s="97"/>
      <c r="E30" s="199"/>
      <c r="F30" s="97"/>
      <c r="G30" s="97"/>
      <c r="H30" s="97"/>
      <c r="I30" s="97"/>
      <c r="J30" s="97"/>
      <c r="K30" s="97"/>
      <c r="L30" s="97"/>
      <c r="M30" s="97"/>
      <c r="N30" s="97"/>
      <c r="O30" s="97"/>
      <c r="P30" s="97"/>
      <c r="Q30" s="97"/>
      <c r="R30" s="97"/>
      <c r="S30" s="97"/>
      <c r="T30" s="97"/>
      <c r="U30" s="97"/>
      <c r="V30" s="97"/>
      <c r="W30" s="97"/>
      <c r="X30" s="97"/>
      <c r="Y30" s="97"/>
      <c r="Z30" s="97"/>
      <c r="AA30" s="97"/>
      <c r="AB30" s="97"/>
      <c r="AC30" s="97"/>
      <c r="AD30" s="97"/>
      <c r="AE30" s="97"/>
      <c r="AF30" s="97"/>
      <c r="AG30" s="97"/>
      <c r="AH30" s="199"/>
      <c r="AI30" s="96">
        <f t="shared" si="0"/>
        <v>0</v>
      </c>
    </row>
    <row r="31" spans="1:35" ht="18.75" outlineLevel="1" x14ac:dyDescent="0.2">
      <c r="A31" s="435">
        <v>29</v>
      </c>
      <c r="B31" s="436" t="s">
        <v>257</v>
      </c>
      <c r="C31" s="84" t="s">
        <v>229</v>
      </c>
      <c r="D31" s="97"/>
      <c r="E31" s="199"/>
      <c r="F31" s="97"/>
      <c r="G31" s="97"/>
      <c r="H31" s="97"/>
      <c r="I31" s="97"/>
      <c r="J31" s="97"/>
      <c r="K31" s="97"/>
      <c r="L31" s="97"/>
      <c r="M31" s="97"/>
      <c r="N31" s="97"/>
      <c r="O31" s="97"/>
      <c r="P31" s="97"/>
      <c r="Q31" s="97"/>
      <c r="R31" s="97"/>
      <c r="S31" s="97"/>
      <c r="T31" s="97"/>
      <c r="U31" s="97"/>
      <c r="V31" s="97"/>
      <c r="W31" s="97"/>
      <c r="X31" s="97"/>
      <c r="Y31" s="97"/>
      <c r="Z31" s="97"/>
      <c r="AA31" s="97"/>
      <c r="AB31" s="97"/>
      <c r="AC31" s="97"/>
      <c r="AD31" s="97"/>
      <c r="AE31" s="97"/>
      <c r="AF31" s="97"/>
      <c r="AG31" s="97"/>
      <c r="AH31" s="199"/>
      <c r="AI31" s="96">
        <f t="shared" si="0"/>
        <v>0</v>
      </c>
    </row>
    <row r="32" spans="1:35" ht="18.75" outlineLevel="1" x14ac:dyDescent="0.2">
      <c r="A32" s="435">
        <v>30</v>
      </c>
      <c r="B32" s="436" t="s">
        <v>258</v>
      </c>
      <c r="C32" s="84" t="s">
        <v>229</v>
      </c>
      <c r="D32" s="97"/>
      <c r="E32" s="97"/>
      <c r="F32" s="97"/>
      <c r="G32" s="97"/>
      <c r="H32" s="97"/>
      <c r="I32" s="97"/>
      <c r="J32" s="97"/>
      <c r="K32" s="97"/>
      <c r="L32" s="97"/>
      <c r="M32" s="97"/>
      <c r="N32" s="97"/>
      <c r="O32" s="97"/>
      <c r="P32" s="97"/>
      <c r="Q32" s="97"/>
      <c r="R32" s="199"/>
      <c r="S32" s="199"/>
      <c r="T32" s="199"/>
      <c r="U32" s="199"/>
      <c r="V32" s="97"/>
      <c r="W32" s="97"/>
      <c r="X32" s="98"/>
      <c r="Y32" s="98"/>
      <c r="Z32" s="98"/>
      <c r="AA32" s="98"/>
      <c r="AB32" s="97"/>
      <c r="AC32" s="97"/>
      <c r="AD32" s="97"/>
      <c r="AE32" s="97"/>
      <c r="AF32" s="97"/>
      <c r="AG32" s="97"/>
      <c r="AH32" s="97"/>
      <c r="AI32" s="96">
        <f t="shared" si="0"/>
        <v>0</v>
      </c>
    </row>
    <row r="33" spans="1:35" ht="18.75" outlineLevel="1" x14ac:dyDescent="0.2">
      <c r="A33" s="435">
        <v>31</v>
      </c>
      <c r="B33" s="436" t="s">
        <v>259</v>
      </c>
      <c r="C33" s="84" t="s">
        <v>229</v>
      </c>
      <c r="D33" s="97"/>
      <c r="E33" s="97"/>
      <c r="F33" s="97"/>
      <c r="G33" s="97"/>
      <c r="H33" s="97"/>
      <c r="I33" s="97"/>
      <c r="J33" s="97"/>
      <c r="K33" s="97"/>
      <c r="L33" s="97"/>
      <c r="M33" s="97"/>
      <c r="N33" s="97"/>
      <c r="O33" s="97"/>
      <c r="P33" s="97"/>
      <c r="Q33" s="97"/>
      <c r="R33" s="199"/>
      <c r="S33" s="199"/>
      <c r="T33" s="199"/>
      <c r="U33" s="199"/>
      <c r="V33" s="97"/>
      <c r="W33" s="97"/>
      <c r="X33" s="98"/>
      <c r="Y33" s="98"/>
      <c r="Z33" s="98"/>
      <c r="AA33" s="98"/>
      <c r="AB33" s="97"/>
      <c r="AC33" s="97"/>
      <c r="AD33" s="97"/>
      <c r="AE33" s="97"/>
      <c r="AF33" s="97"/>
      <c r="AG33" s="97"/>
      <c r="AH33" s="97"/>
      <c r="AI33" s="96">
        <f t="shared" si="0"/>
        <v>0</v>
      </c>
    </row>
    <row r="34" spans="1:35" ht="18.75" outlineLevel="1" x14ac:dyDescent="0.2">
      <c r="A34" s="435">
        <v>32</v>
      </c>
      <c r="B34" s="436" t="s">
        <v>260</v>
      </c>
      <c r="C34" s="84" t="s">
        <v>229</v>
      </c>
      <c r="D34" s="97"/>
      <c r="E34" s="97"/>
      <c r="F34" s="97"/>
      <c r="G34" s="97"/>
      <c r="H34" s="97"/>
      <c r="I34" s="97"/>
      <c r="J34" s="97"/>
      <c r="K34" s="97"/>
      <c r="L34" s="97"/>
      <c r="M34" s="97"/>
      <c r="N34" s="97"/>
      <c r="O34" s="97"/>
      <c r="P34" s="97"/>
      <c r="Q34" s="97"/>
      <c r="R34" s="97"/>
      <c r="S34" s="97"/>
      <c r="T34" s="97"/>
      <c r="U34" s="97"/>
      <c r="V34" s="98"/>
      <c r="W34" s="98"/>
      <c r="X34" s="98"/>
      <c r="Y34" s="98"/>
      <c r="Z34" s="98"/>
      <c r="AA34" s="98"/>
      <c r="AB34" s="97"/>
      <c r="AC34" s="97"/>
      <c r="AD34" s="97"/>
      <c r="AE34" s="97"/>
      <c r="AF34" s="97"/>
      <c r="AG34" s="97"/>
      <c r="AH34" s="97"/>
      <c r="AI34" s="96">
        <f t="shared" si="0"/>
        <v>0</v>
      </c>
    </row>
    <row r="35" spans="1:35" ht="18.75" outlineLevel="1" x14ac:dyDescent="0.2">
      <c r="A35" s="435">
        <v>33</v>
      </c>
      <c r="B35" s="436" t="s">
        <v>261</v>
      </c>
      <c r="C35" s="84" t="s">
        <v>229</v>
      </c>
      <c r="D35" s="97"/>
      <c r="E35" s="97"/>
      <c r="F35" s="97"/>
      <c r="G35" s="97"/>
      <c r="H35" s="97"/>
      <c r="I35" s="97"/>
      <c r="J35" s="97"/>
      <c r="K35" s="97"/>
      <c r="L35" s="97"/>
      <c r="M35" s="97"/>
      <c r="N35" s="97"/>
      <c r="O35" s="97"/>
      <c r="P35" s="97"/>
      <c r="Q35" s="97"/>
      <c r="R35" s="97"/>
      <c r="S35" s="97"/>
      <c r="T35" s="97"/>
      <c r="U35" s="98"/>
      <c r="V35" s="98"/>
      <c r="W35" s="98"/>
      <c r="X35" s="98"/>
      <c r="Y35" s="98"/>
      <c r="Z35" s="98"/>
      <c r="AA35" s="98"/>
      <c r="AB35" s="98"/>
      <c r="AC35" s="97"/>
      <c r="AD35" s="97"/>
      <c r="AE35" s="97"/>
      <c r="AF35" s="97"/>
      <c r="AG35" s="97"/>
      <c r="AH35" s="97"/>
      <c r="AI35" s="96">
        <f t="shared" ref="AI35:AI66" si="1">SUM(D35:AH35)</f>
        <v>0</v>
      </c>
    </row>
    <row r="36" spans="1:35" ht="18.75" outlineLevel="1" x14ac:dyDescent="0.2">
      <c r="A36" s="435">
        <v>34</v>
      </c>
      <c r="B36" s="436" t="s">
        <v>262</v>
      </c>
      <c r="C36" s="84" t="s">
        <v>229</v>
      </c>
      <c r="D36" s="97"/>
      <c r="E36" s="97"/>
      <c r="F36" s="97"/>
      <c r="G36" s="97"/>
      <c r="H36" s="97"/>
      <c r="I36" s="97"/>
      <c r="J36" s="97"/>
      <c r="K36" s="97"/>
      <c r="L36" s="97"/>
      <c r="M36" s="97"/>
      <c r="N36" s="97"/>
      <c r="O36" s="97"/>
      <c r="P36" s="97"/>
      <c r="Q36" s="97"/>
      <c r="R36" s="97"/>
      <c r="S36" s="97"/>
      <c r="T36" s="97"/>
      <c r="U36" s="98"/>
      <c r="V36" s="98"/>
      <c r="W36" s="278"/>
      <c r="X36" s="98"/>
      <c r="Y36" s="98"/>
      <c r="Z36" s="98"/>
      <c r="AA36" s="98"/>
      <c r="AB36" s="98"/>
      <c r="AC36" s="97"/>
      <c r="AD36" s="97"/>
      <c r="AE36" s="97"/>
      <c r="AF36" s="97"/>
      <c r="AG36" s="97"/>
      <c r="AH36" s="97"/>
      <c r="AI36" s="96">
        <f t="shared" si="1"/>
        <v>0</v>
      </c>
    </row>
    <row r="37" spans="1:35" ht="18.75" outlineLevel="1" x14ac:dyDescent="0.2">
      <c r="A37" s="435">
        <v>35</v>
      </c>
      <c r="B37" s="436" t="s">
        <v>263</v>
      </c>
      <c r="C37" s="84" t="s">
        <v>229</v>
      </c>
      <c r="D37" s="97"/>
      <c r="E37" s="199"/>
      <c r="F37" s="199"/>
      <c r="G37" s="278"/>
      <c r="H37" s="97"/>
      <c r="I37" s="97"/>
      <c r="J37" s="97"/>
      <c r="K37" s="97"/>
      <c r="L37" s="97"/>
      <c r="M37" s="97"/>
      <c r="N37" s="97"/>
      <c r="O37" s="97"/>
      <c r="P37" s="97"/>
      <c r="Q37" s="97"/>
      <c r="R37" s="97"/>
      <c r="S37" s="97"/>
      <c r="T37" s="97"/>
      <c r="U37" s="97"/>
      <c r="V37" s="98"/>
      <c r="W37" s="278"/>
      <c r="X37" s="97"/>
      <c r="Y37" s="97"/>
      <c r="Z37" s="97"/>
      <c r="AA37" s="97"/>
      <c r="AB37" s="97"/>
      <c r="AC37" s="97"/>
      <c r="AD37" s="97"/>
      <c r="AE37" s="97"/>
      <c r="AF37" s="97"/>
      <c r="AG37" s="97"/>
      <c r="AH37" s="97"/>
      <c r="AI37" s="96">
        <f t="shared" si="1"/>
        <v>0</v>
      </c>
    </row>
    <row r="38" spans="1:35" ht="18.75" outlineLevel="1" x14ac:dyDescent="0.2">
      <c r="A38" s="435">
        <v>36</v>
      </c>
      <c r="B38" s="436" t="s">
        <v>264</v>
      </c>
      <c r="C38" s="84" t="s">
        <v>229</v>
      </c>
      <c r="D38" s="97"/>
      <c r="E38" s="97"/>
      <c r="F38" s="97"/>
      <c r="G38" s="97"/>
      <c r="H38" s="97"/>
      <c r="I38" s="97"/>
      <c r="J38" s="97"/>
      <c r="K38" s="97"/>
      <c r="L38" s="97"/>
      <c r="M38" s="97"/>
      <c r="N38" s="97"/>
      <c r="O38" s="97"/>
      <c r="P38" s="97"/>
      <c r="Q38" s="97"/>
      <c r="R38" s="97"/>
      <c r="S38" s="97"/>
      <c r="T38" s="97"/>
      <c r="U38" s="97"/>
      <c r="V38" s="98"/>
      <c r="W38" s="278"/>
      <c r="X38" s="97"/>
      <c r="Y38" s="97"/>
      <c r="Z38" s="97"/>
      <c r="AA38" s="97"/>
      <c r="AB38" s="97"/>
      <c r="AC38" s="97"/>
      <c r="AD38" s="97"/>
      <c r="AE38" s="97"/>
      <c r="AF38" s="97"/>
      <c r="AG38" s="97"/>
      <c r="AH38" s="97"/>
      <c r="AI38" s="96">
        <f t="shared" si="1"/>
        <v>0</v>
      </c>
    </row>
    <row r="39" spans="1:35" ht="18.75" outlineLevel="1" x14ac:dyDescent="0.2">
      <c r="A39" s="435">
        <v>37</v>
      </c>
      <c r="B39" s="436" t="s">
        <v>265</v>
      </c>
      <c r="C39" s="84" t="s">
        <v>229</v>
      </c>
      <c r="D39" s="97"/>
      <c r="E39" s="97"/>
      <c r="F39" s="97"/>
      <c r="G39" s="97"/>
      <c r="H39" s="97"/>
      <c r="I39" s="97"/>
      <c r="J39" s="97"/>
      <c r="K39" s="97"/>
      <c r="L39" s="97"/>
      <c r="M39" s="97"/>
      <c r="N39" s="97"/>
      <c r="O39" s="97"/>
      <c r="P39" s="97"/>
      <c r="Q39" s="97"/>
      <c r="R39" s="97"/>
      <c r="S39" s="97"/>
      <c r="T39" s="97"/>
      <c r="U39" s="97"/>
      <c r="V39" s="97"/>
      <c r="W39" s="97"/>
      <c r="X39" s="97"/>
      <c r="Y39" s="97"/>
      <c r="Z39" s="97"/>
      <c r="AA39" s="97"/>
      <c r="AB39" s="97"/>
      <c r="AC39" s="97"/>
      <c r="AD39" s="97"/>
      <c r="AE39" s="97"/>
      <c r="AF39" s="97"/>
      <c r="AG39" s="97"/>
      <c r="AH39" s="97"/>
      <c r="AI39" s="96">
        <f t="shared" si="1"/>
        <v>0</v>
      </c>
    </row>
    <row r="40" spans="1:35" ht="18.75" outlineLevel="1" x14ac:dyDescent="0.2">
      <c r="A40" s="435">
        <v>38</v>
      </c>
      <c r="B40" s="436" t="s">
        <v>266</v>
      </c>
      <c r="C40" s="84" t="s">
        <v>229</v>
      </c>
      <c r="D40" s="97"/>
      <c r="E40" s="97"/>
      <c r="F40" s="97"/>
      <c r="G40" s="97"/>
      <c r="H40" s="97"/>
      <c r="I40" s="97"/>
      <c r="J40" s="97"/>
      <c r="K40" s="97"/>
      <c r="L40" s="97"/>
      <c r="M40" s="97"/>
      <c r="N40" s="97"/>
      <c r="O40" s="97"/>
      <c r="P40" s="97"/>
      <c r="Q40" s="97"/>
      <c r="R40" s="97"/>
      <c r="S40" s="97"/>
      <c r="T40" s="97"/>
      <c r="U40" s="97"/>
      <c r="V40" s="97"/>
      <c r="W40" s="97"/>
      <c r="X40" s="97"/>
      <c r="Y40" s="97"/>
      <c r="Z40" s="97"/>
      <c r="AA40" s="97"/>
      <c r="AB40" s="97"/>
      <c r="AC40" s="97"/>
      <c r="AD40" s="97"/>
      <c r="AE40" s="97"/>
      <c r="AF40" s="97"/>
      <c r="AG40" s="97"/>
      <c r="AH40" s="97"/>
      <c r="AI40" s="96">
        <f t="shared" si="1"/>
        <v>0</v>
      </c>
    </row>
    <row r="41" spans="1:35" ht="18.75" outlineLevel="1" x14ac:dyDescent="0.2">
      <c r="A41" s="435">
        <v>39</v>
      </c>
      <c r="B41" s="436" t="s">
        <v>267</v>
      </c>
      <c r="C41" s="84" t="s">
        <v>229</v>
      </c>
      <c r="D41" s="97"/>
      <c r="E41" s="97"/>
      <c r="F41" s="99"/>
      <c r="G41" s="99"/>
      <c r="H41" s="99"/>
      <c r="I41" s="99"/>
      <c r="J41" s="99"/>
      <c r="K41" s="97"/>
      <c r="L41" s="97"/>
      <c r="M41" s="97"/>
      <c r="N41" s="97"/>
      <c r="O41" s="97"/>
      <c r="P41" s="97"/>
      <c r="Q41" s="97"/>
      <c r="R41" s="97"/>
      <c r="S41" s="97"/>
      <c r="T41" s="97"/>
      <c r="U41" s="97"/>
      <c r="V41" s="97"/>
      <c r="W41" s="97"/>
      <c r="X41" s="97"/>
      <c r="Y41" s="97"/>
      <c r="Z41" s="97"/>
      <c r="AA41" s="97"/>
      <c r="AB41" s="97"/>
      <c r="AC41" s="97"/>
      <c r="AD41" s="97"/>
      <c r="AE41" s="97"/>
      <c r="AF41" s="97"/>
      <c r="AG41" s="97"/>
      <c r="AH41" s="97"/>
      <c r="AI41" s="96">
        <f t="shared" si="1"/>
        <v>0</v>
      </c>
    </row>
    <row r="42" spans="1:35" ht="18.75" outlineLevel="1" x14ac:dyDescent="0.2">
      <c r="A42" s="435">
        <v>40</v>
      </c>
      <c r="B42" s="436" t="s">
        <v>268</v>
      </c>
      <c r="C42" s="84" t="s">
        <v>229</v>
      </c>
      <c r="D42" s="97"/>
      <c r="E42" s="97"/>
      <c r="F42" s="99"/>
      <c r="G42" s="99"/>
      <c r="H42" s="99"/>
      <c r="I42" s="99"/>
      <c r="J42" s="99"/>
      <c r="K42" s="97"/>
      <c r="L42" s="97"/>
      <c r="M42" s="97"/>
      <c r="N42" s="97"/>
      <c r="O42" s="97"/>
      <c r="P42" s="97"/>
      <c r="Q42" s="97"/>
      <c r="R42" s="97"/>
      <c r="S42" s="97"/>
      <c r="T42" s="97"/>
      <c r="U42" s="97"/>
      <c r="V42" s="97"/>
      <c r="W42" s="97"/>
      <c r="X42" s="97"/>
      <c r="Y42" s="97"/>
      <c r="Z42" s="97"/>
      <c r="AA42" s="97"/>
      <c r="AB42" s="97"/>
      <c r="AC42" s="97"/>
      <c r="AD42" s="97"/>
      <c r="AE42" s="97"/>
      <c r="AF42" s="97"/>
      <c r="AG42" s="97"/>
      <c r="AH42" s="97"/>
      <c r="AI42" s="96">
        <f t="shared" si="1"/>
        <v>0</v>
      </c>
    </row>
    <row r="43" spans="1:35" ht="18.75" outlineLevel="1" x14ac:dyDescent="0.2">
      <c r="A43" s="435">
        <v>41</v>
      </c>
      <c r="B43" s="436" t="s">
        <v>269</v>
      </c>
      <c r="C43" s="84" t="s">
        <v>229</v>
      </c>
      <c r="D43" s="97"/>
      <c r="E43" s="97"/>
      <c r="F43" s="97"/>
      <c r="G43" s="97"/>
      <c r="H43" s="97"/>
      <c r="I43" s="97"/>
      <c r="J43" s="97"/>
      <c r="K43" s="97"/>
      <c r="L43" s="97"/>
      <c r="M43" s="97"/>
      <c r="N43" s="97"/>
      <c r="O43" s="97"/>
      <c r="P43" s="97"/>
      <c r="Q43" s="97"/>
      <c r="R43" s="97"/>
      <c r="S43" s="199"/>
      <c r="T43" s="97"/>
      <c r="U43" s="97"/>
      <c r="V43" s="97"/>
      <c r="W43" s="97"/>
      <c r="X43" s="278"/>
      <c r="Y43" s="97"/>
      <c r="Z43" s="97"/>
      <c r="AA43" s="97"/>
      <c r="AB43" s="97"/>
      <c r="AC43" s="97"/>
      <c r="AD43" s="97"/>
      <c r="AE43" s="97"/>
      <c r="AF43" s="97"/>
      <c r="AG43" s="97"/>
      <c r="AH43" s="97"/>
      <c r="AI43" s="96">
        <f t="shared" si="1"/>
        <v>0</v>
      </c>
    </row>
    <row r="44" spans="1:35" ht="18.75" outlineLevel="1" x14ac:dyDescent="0.2">
      <c r="A44" s="435">
        <v>42</v>
      </c>
      <c r="B44" s="436" t="s">
        <v>270</v>
      </c>
      <c r="C44" s="84" t="s">
        <v>229</v>
      </c>
      <c r="D44" s="97"/>
      <c r="E44" s="97"/>
      <c r="F44" s="97"/>
      <c r="G44" s="97"/>
      <c r="H44" s="97"/>
      <c r="I44" s="97"/>
      <c r="J44" s="97"/>
      <c r="K44" s="97"/>
      <c r="L44" s="97"/>
      <c r="M44" s="97"/>
      <c r="N44" s="97"/>
      <c r="O44" s="97"/>
      <c r="P44" s="97"/>
      <c r="Q44" s="97"/>
      <c r="R44" s="97"/>
      <c r="S44" s="199"/>
      <c r="T44" s="97"/>
      <c r="U44" s="97"/>
      <c r="V44" s="97"/>
      <c r="W44" s="97"/>
      <c r="X44" s="278"/>
      <c r="Y44" s="97"/>
      <c r="Z44" s="97"/>
      <c r="AA44" s="97"/>
      <c r="AB44" s="97"/>
      <c r="AC44" s="97"/>
      <c r="AD44" s="97"/>
      <c r="AE44" s="97"/>
      <c r="AF44" s="97"/>
      <c r="AG44" s="97"/>
      <c r="AH44" s="97"/>
      <c r="AI44" s="96">
        <f t="shared" si="1"/>
        <v>0</v>
      </c>
    </row>
    <row r="45" spans="1:35" ht="18.75" outlineLevel="1" x14ac:dyDescent="0.2">
      <c r="A45" s="435">
        <v>43</v>
      </c>
      <c r="B45" s="436" t="s">
        <v>271</v>
      </c>
      <c r="C45" s="84" t="s">
        <v>229</v>
      </c>
      <c r="D45" s="97"/>
      <c r="E45" s="97"/>
      <c r="F45" s="97"/>
      <c r="G45" s="97"/>
      <c r="H45" s="97"/>
      <c r="I45" s="97"/>
      <c r="J45" s="97"/>
      <c r="K45" s="98"/>
      <c r="L45" s="97"/>
      <c r="M45" s="99"/>
      <c r="N45" s="99"/>
      <c r="O45" s="199"/>
      <c r="P45" s="97"/>
      <c r="Q45" s="97"/>
      <c r="R45" s="97"/>
      <c r="S45" s="97"/>
      <c r="T45" s="97"/>
      <c r="U45" s="97"/>
      <c r="V45" s="97"/>
      <c r="W45" s="97"/>
      <c r="X45" s="97"/>
      <c r="Y45" s="97"/>
      <c r="Z45" s="97"/>
      <c r="AA45" s="97"/>
      <c r="AB45" s="97"/>
      <c r="AC45" s="97"/>
      <c r="AD45" s="97"/>
      <c r="AE45" s="97"/>
      <c r="AF45" s="97"/>
      <c r="AG45" s="97"/>
      <c r="AH45" s="97"/>
      <c r="AI45" s="96">
        <f t="shared" si="1"/>
        <v>0</v>
      </c>
    </row>
    <row r="46" spans="1:35" ht="18.75" outlineLevel="1" x14ac:dyDescent="0.2">
      <c r="A46" s="435">
        <v>44</v>
      </c>
      <c r="B46" s="436" t="s">
        <v>272</v>
      </c>
      <c r="C46" s="84" t="s">
        <v>229</v>
      </c>
      <c r="D46" s="97"/>
      <c r="E46" s="97"/>
      <c r="F46" s="97"/>
      <c r="G46" s="97"/>
      <c r="H46" s="97"/>
      <c r="I46" s="97"/>
      <c r="J46" s="97"/>
      <c r="K46" s="97"/>
      <c r="L46" s="97"/>
      <c r="M46" s="99"/>
      <c r="N46" s="99"/>
      <c r="O46" s="97"/>
      <c r="P46" s="97"/>
      <c r="Q46" s="97"/>
      <c r="R46" s="97"/>
      <c r="S46" s="97"/>
      <c r="T46" s="97"/>
      <c r="U46" s="97"/>
      <c r="V46" s="97"/>
      <c r="W46" s="98"/>
      <c r="X46" s="97"/>
      <c r="Y46" s="97"/>
      <c r="Z46" s="97"/>
      <c r="AA46" s="97"/>
      <c r="AB46" s="97"/>
      <c r="AC46" s="97"/>
      <c r="AD46" s="97"/>
      <c r="AE46" s="97"/>
      <c r="AF46" s="97"/>
      <c r="AG46" s="97"/>
      <c r="AH46" s="97"/>
      <c r="AI46" s="96">
        <f t="shared" si="1"/>
        <v>0</v>
      </c>
    </row>
    <row r="47" spans="1:35" ht="18.75" outlineLevel="1" x14ac:dyDescent="0.2">
      <c r="A47" s="435">
        <v>45</v>
      </c>
      <c r="B47" s="436" t="s">
        <v>273</v>
      </c>
      <c r="C47" s="84" t="s">
        <v>229</v>
      </c>
      <c r="D47" s="97"/>
      <c r="E47" s="97"/>
      <c r="F47" s="97"/>
      <c r="G47" s="97"/>
      <c r="H47" s="97"/>
      <c r="I47" s="97"/>
      <c r="J47" s="97"/>
      <c r="K47" s="97"/>
      <c r="L47" s="97"/>
      <c r="M47" s="97"/>
      <c r="N47" s="97"/>
      <c r="O47" s="97"/>
      <c r="P47" s="97"/>
      <c r="Q47" s="97"/>
      <c r="R47" s="97"/>
      <c r="S47" s="97"/>
      <c r="T47" s="97"/>
      <c r="U47" s="98"/>
      <c r="V47" s="98"/>
      <c r="W47" s="98"/>
      <c r="X47" s="98"/>
      <c r="Y47" s="98"/>
      <c r="Z47" s="98"/>
      <c r="AA47" s="98"/>
      <c r="AB47" s="98"/>
      <c r="AC47" s="97"/>
      <c r="AD47" s="97"/>
      <c r="AE47" s="97"/>
      <c r="AF47" s="97"/>
      <c r="AG47" s="97"/>
      <c r="AH47" s="97"/>
      <c r="AI47" s="96">
        <f t="shared" si="1"/>
        <v>0</v>
      </c>
    </row>
    <row r="48" spans="1:35" ht="18.75" outlineLevel="1" x14ac:dyDescent="0.2">
      <c r="A48" s="435">
        <v>46</v>
      </c>
      <c r="B48" s="436" t="s">
        <v>274</v>
      </c>
      <c r="C48" s="84" t="s">
        <v>229</v>
      </c>
      <c r="D48" s="97"/>
      <c r="E48" s="97"/>
      <c r="F48" s="97"/>
      <c r="G48" s="97"/>
      <c r="H48" s="97"/>
      <c r="I48" s="97"/>
      <c r="J48" s="97"/>
      <c r="K48" s="97"/>
      <c r="L48" s="97"/>
      <c r="M48" s="97"/>
      <c r="N48" s="97"/>
      <c r="O48" s="97"/>
      <c r="P48" s="97"/>
      <c r="Q48" s="97"/>
      <c r="R48" s="97"/>
      <c r="S48" s="97"/>
      <c r="T48" s="97"/>
      <c r="U48" s="98"/>
      <c r="V48" s="98"/>
      <c r="W48" s="98"/>
      <c r="X48" s="98"/>
      <c r="Y48" s="98"/>
      <c r="Z48" s="98"/>
      <c r="AA48" s="98"/>
      <c r="AB48" s="98"/>
      <c r="AC48" s="97"/>
      <c r="AD48" s="97"/>
      <c r="AE48" s="97"/>
      <c r="AF48" s="97"/>
      <c r="AG48" s="97"/>
      <c r="AH48" s="97"/>
      <c r="AI48" s="96">
        <f t="shared" si="1"/>
        <v>0</v>
      </c>
    </row>
    <row r="49" spans="1:35" ht="18.75" outlineLevel="1" x14ac:dyDescent="0.2">
      <c r="A49" s="435">
        <v>47</v>
      </c>
      <c r="B49" s="436" t="s">
        <v>275</v>
      </c>
      <c r="C49" s="84" t="s">
        <v>229</v>
      </c>
      <c r="D49" s="97"/>
      <c r="E49" s="97"/>
      <c r="F49" s="97"/>
      <c r="G49" s="97"/>
      <c r="H49" s="97"/>
      <c r="I49" s="97"/>
      <c r="J49" s="97"/>
      <c r="K49" s="97"/>
      <c r="L49" s="97"/>
      <c r="M49" s="97"/>
      <c r="N49" s="97"/>
      <c r="O49" s="97"/>
      <c r="P49" s="97"/>
      <c r="Q49" s="97"/>
      <c r="R49" s="97"/>
      <c r="S49" s="97"/>
      <c r="T49" s="97"/>
      <c r="U49" s="98"/>
      <c r="V49" s="98"/>
      <c r="W49" s="98"/>
      <c r="X49" s="98"/>
      <c r="Y49" s="98"/>
      <c r="Z49" s="98"/>
      <c r="AA49" s="98"/>
      <c r="AB49" s="98"/>
      <c r="AC49" s="97"/>
      <c r="AD49" s="97"/>
      <c r="AE49" s="97"/>
      <c r="AF49" s="97"/>
      <c r="AG49" s="97"/>
      <c r="AH49" s="97"/>
      <c r="AI49" s="96">
        <f t="shared" si="1"/>
        <v>0</v>
      </c>
    </row>
    <row r="50" spans="1:35" ht="18.75" outlineLevel="1" x14ac:dyDescent="0.3">
      <c r="A50" s="437">
        <v>48</v>
      </c>
      <c r="B50" s="438" t="s">
        <v>276</v>
      </c>
      <c r="C50" s="85" t="s">
        <v>229</v>
      </c>
      <c r="D50" s="100"/>
      <c r="E50" s="100"/>
      <c r="F50" s="100"/>
      <c r="G50" s="100"/>
      <c r="H50" s="97"/>
      <c r="I50" s="97"/>
      <c r="J50" s="97"/>
      <c r="K50" s="97"/>
      <c r="L50" s="100"/>
      <c r="M50" s="100"/>
      <c r="N50" s="100"/>
      <c r="O50" s="100"/>
      <c r="P50" s="100"/>
      <c r="Q50" s="100"/>
      <c r="R50" s="100"/>
      <c r="S50" s="97"/>
      <c r="T50" s="97"/>
      <c r="U50" s="98"/>
      <c r="V50" s="98"/>
      <c r="W50" s="98"/>
      <c r="X50" s="98"/>
      <c r="Y50" s="98"/>
      <c r="Z50" s="98"/>
      <c r="AA50" s="98"/>
      <c r="AB50" s="98"/>
      <c r="AC50" s="100"/>
      <c r="AD50" s="100"/>
      <c r="AE50" s="100"/>
      <c r="AF50" s="100"/>
      <c r="AG50" s="100"/>
      <c r="AH50" s="100"/>
      <c r="AI50" s="96">
        <f t="shared" si="1"/>
        <v>0</v>
      </c>
    </row>
    <row r="51" spans="1:35" s="86" customFormat="1" ht="18.75" outlineLevel="1" x14ac:dyDescent="0.2">
      <c r="A51" s="435">
        <v>49</v>
      </c>
      <c r="B51" s="436" t="s">
        <v>277</v>
      </c>
      <c r="C51" s="84" t="s">
        <v>229</v>
      </c>
      <c r="D51" s="97"/>
      <c r="E51" s="97"/>
      <c r="F51" s="97"/>
      <c r="G51" s="97"/>
      <c r="H51" s="97"/>
      <c r="I51" s="97"/>
      <c r="J51" s="97"/>
      <c r="K51" s="97"/>
      <c r="L51" s="97"/>
      <c r="M51" s="97"/>
      <c r="N51" s="97"/>
      <c r="O51" s="97"/>
      <c r="P51" s="97"/>
      <c r="Q51" s="97"/>
      <c r="R51" s="97"/>
      <c r="S51" s="97"/>
      <c r="T51" s="97"/>
      <c r="U51" s="98"/>
      <c r="V51" s="98"/>
      <c r="W51" s="98"/>
      <c r="X51" s="98"/>
      <c r="Y51" s="98"/>
      <c r="Z51" s="98"/>
      <c r="AA51" s="98"/>
      <c r="AB51" s="98"/>
      <c r="AC51" s="97"/>
      <c r="AD51" s="97"/>
      <c r="AE51" s="97"/>
      <c r="AF51" s="97"/>
      <c r="AG51" s="97"/>
      <c r="AH51" s="97"/>
      <c r="AI51" s="96">
        <f t="shared" si="1"/>
        <v>0</v>
      </c>
    </row>
    <row r="52" spans="1:35" ht="18.75" outlineLevel="1" x14ac:dyDescent="0.2">
      <c r="A52" s="439">
        <v>50</v>
      </c>
      <c r="B52" s="440" t="s">
        <v>278</v>
      </c>
      <c r="C52" s="87" t="s">
        <v>229</v>
      </c>
      <c r="D52" s="101"/>
      <c r="E52" s="101"/>
      <c r="F52" s="101"/>
      <c r="G52" s="101"/>
      <c r="H52" s="97"/>
      <c r="I52" s="97"/>
      <c r="J52" s="97"/>
      <c r="K52" s="97"/>
      <c r="L52" s="101"/>
      <c r="M52" s="101"/>
      <c r="N52" s="101"/>
      <c r="O52" s="101"/>
      <c r="P52" s="101"/>
      <c r="Q52" s="101"/>
      <c r="R52" s="101"/>
      <c r="S52" s="97"/>
      <c r="T52" s="97"/>
      <c r="U52" s="98"/>
      <c r="V52" s="98"/>
      <c r="W52" s="98"/>
      <c r="X52" s="98"/>
      <c r="Y52" s="98"/>
      <c r="Z52" s="98"/>
      <c r="AA52" s="98"/>
      <c r="AB52" s="98"/>
      <c r="AC52" s="101"/>
      <c r="AD52" s="101"/>
      <c r="AE52" s="101"/>
      <c r="AF52" s="101"/>
      <c r="AG52" s="101"/>
      <c r="AH52" s="101"/>
      <c r="AI52" s="96">
        <f t="shared" si="1"/>
        <v>0</v>
      </c>
    </row>
    <row r="53" spans="1:35" ht="18.75" outlineLevel="1" x14ac:dyDescent="0.2">
      <c r="A53" s="435">
        <v>51</v>
      </c>
      <c r="B53" s="436" t="s">
        <v>279</v>
      </c>
      <c r="C53" s="84" t="s">
        <v>229</v>
      </c>
      <c r="D53" s="97"/>
      <c r="E53" s="97"/>
      <c r="F53" s="199"/>
      <c r="G53" s="97"/>
      <c r="H53" s="97"/>
      <c r="I53" s="97"/>
      <c r="J53" s="97"/>
      <c r="K53" s="97"/>
      <c r="L53" s="97"/>
      <c r="M53" s="97"/>
      <c r="N53" s="97"/>
      <c r="O53" s="97"/>
      <c r="P53" s="97"/>
      <c r="Q53" s="97"/>
      <c r="R53" s="97"/>
      <c r="S53" s="97"/>
      <c r="T53" s="97"/>
      <c r="U53" s="97"/>
      <c r="V53" s="98"/>
      <c r="W53" s="98"/>
      <c r="X53" s="98"/>
      <c r="Y53" s="98"/>
      <c r="Z53" s="197"/>
      <c r="AA53" s="98"/>
      <c r="AB53" s="98"/>
      <c r="AC53" s="97"/>
      <c r="AD53" s="97">
        <v>0.5</v>
      </c>
      <c r="AE53" s="97"/>
      <c r="AF53" s="278"/>
      <c r="AG53" s="278"/>
      <c r="AH53" s="97"/>
      <c r="AI53" s="338">
        <f t="shared" si="1"/>
        <v>0.5</v>
      </c>
    </row>
    <row r="54" spans="1:35" ht="18.75" outlineLevel="1" x14ac:dyDescent="0.2">
      <c r="A54" s="435">
        <v>52</v>
      </c>
      <c r="B54" s="436" t="s">
        <v>280</v>
      </c>
      <c r="C54" s="84" t="s">
        <v>229</v>
      </c>
      <c r="D54" s="199"/>
      <c r="E54" s="97"/>
      <c r="F54" s="199"/>
      <c r="G54" s="97"/>
      <c r="H54" s="97"/>
      <c r="I54" s="199"/>
      <c r="J54" s="97"/>
      <c r="K54" s="199"/>
      <c r="L54" s="97"/>
      <c r="M54" s="97"/>
      <c r="N54" s="97"/>
      <c r="O54" s="97"/>
      <c r="P54" s="97"/>
      <c r="Q54" s="97"/>
      <c r="R54" s="97"/>
      <c r="S54" s="97"/>
      <c r="T54" s="97"/>
      <c r="U54" s="98"/>
      <c r="V54" s="98"/>
      <c r="W54" s="98"/>
      <c r="X54" s="98"/>
      <c r="Y54" s="98"/>
      <c r="Z54" s="197"/>
      <c r="AA54" s="98"/>
      <c r="AB54" s="98"/>
      <c r="AC54" s="97"/>
      <c r="AD54" s="97"/>
      <c r="AE54" s="97"/>
      <c r="AF54" s="97"/>
      <c r="AG54" s="97"/>
      <c r="AH54" s="97"/>
      <c r="AI54" s="96">
        <f t="shared" si="1"/>
        <v>0</v>
      </c>
    </row>
    <row r="55" spans="1:35" ht="18.75" x14ac:dyDescent="0.2">
      <c r="A55" s="435">
        <v>53</v>
      </c>
      <c r="B55" s="441" t="s">
        <v>281</v>
      </c>
      <c r="C55" s="84" t="s">
        <v>282</v>
      </c>
      <c r="D55" s="97"/>
      <c r="E55" s="97"/>
      <c r="F55" s="97"/>
      <c r="G55" s="97"/>
      <c r="H55" s="97"/>
      <c r="I55" s="97"/>
      <c r="J55" s="97"/>
      <c r="K55" s="97"/>
      <c r="L55" s="97"/>
      <c r="M55" s="97"/>
      <c r="N55" s="97"/>
      <c r="O55" s="97"/>
      <c r="P55" s="97"/>
      <c r="Q55" s="97"/>
      <c r="R55" s="97"/>
      <c r="S55" s="97"/>
      <c r="T55" s="97"/>
      <c r="U55" s="98"/>
      <c r="V55" s="98"/>
      <c r="W55" s="98"/>
      <c r="X55" s="98"/>
      <c r="Y55" s="98"/>
      <c r="Z55" s="98"/>
      <c r="AA55" s="98"/>
      <c r="AB55" s="98"/>
      <c r="AC55" s="97"/>
      <c r="AD55" s="97"/>
      <c r="AE55" s="97"/>
      <c r="AF55" s="97"/>
      <c r="AG55" s="97"/>
      <c r="AH55" s="97"/>
      <c r="AI55" s="96">
        <f t="shared" si="1"/>
        <v>0</v>
      </c>
    </row>
    <row r="56" spans="1:35" ht="18.75" x14ac:dyDescent="0.2">
      <c r="A56" s="435">
        <v>54</v>
      </c>
      <c r="B56" s="441" t="s">
        <v>283</v>
      </c>
      <c r="C56" s="84" t="s">
        <v>282</v>
      </c>
      <c r="D56" s="97"/>
      <c r="E56" s="97"/>
      <c r="F56" s="97"/>
      <c r="G56" s="97"/>
      <c r="H56" s="97"/>
      <c r="I56" s="97"/>
      <c r="J56" s="97"/>
      <c r="K56" s="97"/>
      <c r="L56" s="97"/>
      <c r="M56" s="97"/>
      <c r="N56" s="97"/>
      <c r="O56" s="97"/>
      <c r="P56" s="97"/>
      <c r="Q56" s="97"/>
      <c r="R56" s="97"/>
      <c r="S56" s="97"/>
      <c r="T56" s="97"/>
      <c r="U56" s="98"/>
      <c r="V56" s="98"/>
      <c r="W56" s="98"/>
      <c r="X56" s="98"/>
      <c r="Y56" s="98"/>
      <c r="Z56" s="98"/>
      <c r="AA56" s="98"/>
      <c r="AB56" s="98"/>
      <c r="AC56" s="97"/>
      <c r="AD56" s="97"/>
      <c r="AE56" s="97"/>
      <c r="AF56" s="97"/>
      <c r="AG56" s="97"/>
      <c r="AH56" s="97"/>
      <c r="AI56" s="96">
        <f t="shared" si="1"/>
        <v>0</v>
      </c>
    </row>
    <row r="57" spans="1:35" ht="18.75" x14ac:dyDescent="0.2">
      <c r="A57" s="435">
        <v>55</v>
      </c>
      <c r="B57" s="441" t="s">
        <v>284</v>
      </c>
      <c r="C57" s="84" t="s">
        <v>282</v>
      </c>
      <c r="D57" s="97"/>
      <c r="E57" s="97"/>
      <c r="F57" s="97"/>
      <c r="G57" s="97"/>
      <c r="H57" s="97"/>
      <c r="I57" s="97"/>
      <c r="J57" s="97"/>
      <c r="K57" s="97"/>
      <c r="L57" s="97"/>
      <c r="M57" s="97"/>
      <c r="N57" s="97"/>
      <c r="O57" s="97"/>
      <c r="P57" s="97"/>
      <c r="Q57" s="97"/>
      <c r="R57" s="97"/>
      <c r="S57" s="97"/>
      <c r="T57" s="97"/>
      <c r="U57" s="98"/>
      <c r="V57" s="98"/>
      <c r="W57" s="98"/>
      <c r="X57" s="98"/>
      <c r="Y57" s="98"/>
      <c r="Z57" s="98"/>
      <c r="AA57" s="98"/>
      <c r="AB57" s="98"/>
      <c r="AC57" s="97"/>
      <c r="AD57" s="97"/>
      <c r="AE57" s="97"/>
      <c r="AF57" s="97"/>
      <c r="AG57" s="97"/>
      <c r="AH57" s="97"/>
      <c r="AI57" s="96">
        <f t="shared" si="1"/>
        <v>0</v>
      </c>
    </row>
    <row r="58" spans="1:35" ht="18.75" x14ac:dyDescent="0.2">
      <c r="A58" s="435">
        <v>56</v>
      </c>
      <c r="B58" s="441" t="s">
        <v>285</v>
      </c>
      <c r="C58" s="84" t="s">
        <v>282</v>
      </c>
      <c r="D58" s="97"/>
      <c r="E58" s="97"/>
      <c r="F58" s="97"/>
      <c r="G58" s="97"/>
      <c r="H58" s="97"/>
      <c r="I58" s="97"/>
      <c r="J58" s="97">
        <v>1</v>
      </c>
      <c r="K58" s="97"/>
      <c r="L58" s="97"/>
      <c r="M58" s="97"/>
      <c r="N58" s="97"/>
      <c r="O58" s="97"/>
      <c r="P58" s="97"/>
      <c r="Q58" s="97"/>
      <c r="R58" s="97"/>
      <c r="S58" s="97"/>
      <c r="T58" s="97"/>
      <c r="U58" s="98"/>
      <c r="V58" s="98"/>
      <c r="W58" s="98"/>
      <c r="X58" s="98"/>
      <c r="Y58" s="98"/>
      <c r="Z58" s="98"/>
      <c r="AA58" s="98"/>
      <c r="AB58" s="98"/>
      <c r="AC58" s="97"/>
      <c r="AD58" s="97"/>
      <c r="AE58" s="97"/>
      <c r="AF58" s="97"/>
      <c r="AG58" s="97"/>
      <c r="AH58" s="97"/>
      <c r="AI58" s="96">
        <f t="shared" si="1"/>
        <v>1</v>
      </c>
    </row>
    <row r="59" spans="1:35" ht="18.75" x14ac:dyDescent="0.2">
      <c r="A59" s="435">
        <v>57</v>
      </c>
      <c r="B59" s="441" t="s">
        <v>286</v>
      </c>
      <c r="C59" s="84" t="s">
        <v>282</v>
      </c>
      <c r="D59" s="97"/>
      <c r="E59" s="97"/>
      <c r="F59" s="97"/>
      <c r="G59" s="97"/>
      <c r="H59" s="97"/>
      <c r="I59" s="97"/>
      <c r="J59" s="97"/>
      <c r="K59" s="97"/>
      <c r="L59" s="97"/>
      <c r="M59" s="97"/>
      <c r="N59" s="97"/>
      <c r="O59" s="97"/>
      <c r="P59" s="97"/>
      <c r="Q59" s="97"/>
      <c r="R59" s="97"/>
      <c r="S59" s="97"/>
      <c r="T59" s="97"/>
      <c r="U59" s="98"/>
      <c r="V59" s="98"/>
      <c r="W59" s="98"/>
      <c r="X59" s="369"/>
      <c r="Y59" s="98"/>
      <c r="Z59" s="98"/>
      <c r="AA59" s="98"/>
      <c r="AB59" s="98"/>
      <c r="AC59" s="97"/>
      <c r="AD59" s="97"/>
      <c r="AE59" s="97"/>
      <c r="AF59" s="97"/>
      <c r="AG59" s="97"/>
      <c r="AH59" s="97"/>
      <c r="AI59" s="96">
        <f t="shared" si="1"/>
        <v>0</v>
      </c>
    </row>
    <row r="60" spans="1:35" ht="18.75" x14ac:dyDescent="0.2">
      <c r="A60" s="435">
        <v>58</v>
      </c>
      <c r="B60" s="441" t="s">
        <v>287</v>
      </c>
      <c r="C60" s="84" t="s">
        <v>282</v>
      </c>
      <c r="D60" s="97"/>
      <c r="E60" s="97"/>
      <c r="F60" s="97"/>
      <c r="G60" s="97"/>
      <c r="H60" s="97"/>
      <c r="I60" s="97"/>
      <c r="J60" s="97"/>
      <c r="K60" s="97"/>
      <c r="L60" s="97"/>
      <c r="M60" s="97"/>
      <c r="N60" s="97"/>
      <c r="O60" s="97"/>
      <c r="P60" s="97"/>
      <c r="Q60" s="97"/>
      <c r="R60" s="97"/>
      <c r="S60" s="97"/>
      <c r="T60" s="97"/>
      <c r="U60" s="98"/>
      <c r="V60" s="98"/>
      <c r="W60" s="98"/>
      <c r="X60" s="98"/>
      <c r="Y60" s="98"/>
      <c r="Z60" s="98"/>
      <c r="AA60" s="98"/>
      <c r="AB60" s="98"/>
      <c r="AC60" s="97"/>
      <c r="AD60" s="97"/>
      <c r="AE60" s="97"/>
      <c r="AF60" s="97"/>
      <c r="AG60" s="97"/>
      <c r="AH60" s="97"/>
      <c r="AI60" s="96">
        <f t="shared" si="1"/>
        <v>0</v>
      </c>
    </row>
    <row r="61" spans="1:35" ht="18.75" x14ac:dyDescent="0.2">
      <c r="A61" s="435">
        <v>59</v>
      </c>
      <c r="B61" s="441" t="s">
        <v>288</v>
      </c>
      <c r="C61" s="84" t="s">
        <v>282</v>
      </c>
      <c r="D61" s="97"/>
      <c r="E61" s="97"/>
      <c r="F61" s="97"/>
      <c r="G61" s="97"/>
      <c r="H61" s="97"/>
      <c r="I61" s="97"/>
      <c r="J61" s="97"/>
      <c r="K61" s="97"/>
      <c r="L61" s="97"/>
      <c r="M61" s="97"/>
      <c r="N61" s="97"/>
      <c r="O61" s="97"/>
      <c r="P61" s="97"/>
      <c r="Q61" s="97"/>
      <c r="R61" s="97"/>
      <c r="S61" s="97"/>
      <c r="T61" s="97"/>
      <c r="U61" s="98"/>
      <c r="V61" s="98"/>
      <c r="W61" s="98"/>
      <c r="X61" s="98"/>
      <c r="Y61" s="98"/>
      <c r="Z61" s="98"/>
      <c r="AA61" s="98"/>
      <c r="AB61" s="98"/>
      <c r="AC61" s="97"/>
      <c r="AD61" s="97"/>
      <c r="AE61" s="97"/>
      <c r="AF61" s="97"/>
      <c r="AG61" s="97"/>
      <c r="AH61" s="97"/>
      <c r="AI61" s="96">
        <f t="shared" si="1"/>
        <v>0</v>
      </c>
    </row>
    <row r="62" spans="1:35" ht="18.75" x14ac:dyDescent="0.2">
      <c r="A62" s="435">
        <v>60</v>
      </c>
      <c r="B62" s="441" t="s">
        <v>289</v>
      </c>
      <c r="C62" s="84" t="s">
        <v>282</v>
      </c>
      <c r="D62" s="97"/>
      <c r="E62" s="199"/>
      <c r="F62" s="97"/>
      <c r="G62" s="97"/>
      <c r="H62" s="97"/>
      <c r="I62" s="97"/>
      <c r="J62" s="97"/>
      <c r="K62" s="97"/>
      <c r="L62" s="97"/>
      <c r="M62" s="97"/>
      <c r="N62" s="97"/>
      <c r="O62" s="97"/>
      <c r="P62" s="97"/>
      <c r="Q62" s="97"/>
      <c r="R62" s="97"/>
      <c r="S62" s="97"/>
      <c r="T62" s="97"/>
      <c r="U62" s="98"/>
      <c r="V62" s="98"/>
      <c r="W62" s="98"/>
      <c r="X62" s="98"/>
      <c r="Y62" s="98"/>
      <c r="Z62" s="98"/>
      <c r="AA62" s="98"/>
      <c r="AB62" s="98"/>
      <c r="AC62" s="97"/>
      <c r="AD62" s="97"/>
      <c r="AE62" s="97"/>
      <c r="AF62" s="97"/>
      <c r="AG62" s="97"/>
      <c r="AH62" s="97"/>
      <c r="AI62" s="96">
        <f t="shared" si="1"/>
        <v>0</v>
      </c>
    </row>
    <row r="63" spans="1:35" ht="29.25" customHeight="1" x14ac:dyDescent="0.2">
      <c r="A63" s="435">
        <v>61</v>
      </c>
      <c r="B63" s="441" t="s">
        <v>290</v>
      </c>
      <c r="C63" s="84" t="s">
        <v>282</v>
      </c>
      <c r="D63" s="97"/>
      <c r="E63" s="97"/>
      <c r="F63" s="97"/>
      <c r="G63" s="97"/>
      <c r="H63" s="97"/>
      <c r="I63" s="97"/>
      <c r="J63" s="97"/>
      <c r="K63" s="97"/>
      <c r="L63" s="97"/>
      <c r="M63" s="97"/>
      <c r="N63" s="97"/>
      <c r="O63" s="97"/>
      <c r="P63" s="97"/>
      <c r="Q63" s="97"/>
      <c r="R63" s="97"/>
      <c r="S63" s="97"/>
      <c r="T63" s="97"/>
      <c r="U63" s="98"/>
      <c r="V63" s="98"/>
      <c r="W63" s="98"/>
      <c r="X63" s="98"/>
      <c r="Y63" s="98"/>
      <c r="Z63" s="98"/>
      <c r="AA63" s="98"/>
      <c r="AB63" s="98"/>
      <c r="AC63" s="97"/>
      <c r="AD63" s="97"/>
      <c r="AE63" s="97"/>
      <c r="AF63" s="97"/>
      <c r="AG63" s="97"/>
      <c r="AH63" s="97"/>
      <c r="AI63" s="96">
        <f t="shared" si="1"/>
        <v>0</v>
      </c>
    </row>
    <row r="64" spans="1:35" ht="33" x14ac:dyDescent="0.2">
      <c r="A64" s="435">
        <v>62</v>
      </c>
      <c r="B64" s="441" t="s">
        <v>291</v>
      </c>
      <c r="C64" s="84" t="s">
        <v>282</v>
      </c>
      <c r="D64" s="97"/>
      <c r="E64" s="97"/>
      <c r="F64" s="97"/>
      <c r="G64" s="97"/>
      <c r="H64" s="97"/>
      <c r="I64" s="97"/>
      <c r="J64" s="97"/>
      <c r="K64" s="97"/>
      <c r="L64" s="97"/>
      <c r="M64" s="97"/>
      <c r="N64" s="97"/>
      <c r="O64" s="97"/>
      <c r="P64" s="97"/>
      <c r="Q64" s="97"/>
      <c r="R64" s="97"/>
      <c r="S64" s="97"/>
      <c r="T64" s="97"/>
      <c r="U64" s="98"/>
      <c r="V64" s="98"/>
      <c r="W64" s="98"/>
      <c r="X64" s="98"/>
      <c r="Y64" s="98"/>
      <c r="Z64" s="98"/>
      <c r="AA64" s="98"/>
      <c r="AB64" s="98"/>
      <c r="AC64" s="97"/>
      <c r="AD64" s="97"/>
      <c r="AE64" s="97"/>
      <c r="AF64" s="97"/>
      <c r="AG64" s="97"/>
      <c r="AH64" s="97"/>
      <c r="AI64" s="96">
        <f t="shared" si="1"/>
        <v>0</v>
      </c>
    </row>
    <row r="65" spans="1:35" ht="18.75" x14ac:dyDescent="0.2">
      <c r="A65" s="435">
        <v>63</v>
      </c>
      <c r="B65" s="441" t="s">
        <v>292</v>
      </c>
      <c r="C65" s="84" t="s">
        <v>282</v>
      </c>
      <c r="D65" s="97"/>
      <c r="E65" s="97"/>
      <c r="F65" s="97"/>
      <c r="G65" s="97"/>
      <c r="H65" s="97"/>
      <c r="I65" s="97"/>
      <c r="J65" s="97"/>
      <c r="K65" s="97"/>
      <c r="L65" s="97"/>
      <c r="M65" s="97"/>
      <c r="N65" s="97"/>
      <c r="O65" s="97"/>
      <c r="P65" s="97"/>
      <c r="Q65" s="97"/>
      <c r="R65" s="97"/>
      <c r="S65" s="97"/>
      <c r="T65" s="97"/>
      <c r="U65" s="98"/>
      <c r="V65" s="98"/>
      <c r="W65" s="98"/>
      <c r="X65" s="98"/>
      <c r="Y65" s="98"/>
      <c r="Z65" s="98"/>
      <c r="AA65" s="98"/>
      <c r="AB65" s="98"/>
      <c r="AC65" s="97"/>
      <c r="AD65" s="97"/>
      <c r="AE65" s="97"/>
      <c r="AF65" s="97"/>
      <c r="AG65" s="97"/>
      <c r="AH65" s="97"/>
      <c r="AI65" s="96">
        <f t="shared" si="1"/>
        <v>0</v>
      </c>
    </row>
    <row r="66" spans="1:35" ht="18.75" x14ac:dyDescent="0.2">
      <c r="A66" s="435">
        <v>64</v>
      </c>
      <c r="B66" s="441" t="s">
        <v>293</v>
      </c>
      <c r="C66" s="84" t="s">
        <v>282</v>
      </c>
      <c r="D66" s="97"/>
      <c r="E66" s="97"/>
      <c r="F66" s="97"/>
      <c r="G66" s="97"/>
      <c r="H66" s="97"/>
      <c r="I66" s="97"/>
      <c r="J66" s="97"/>
      <c r="K66" s="97"/>
      <c r="L66" s="97"/>
      <c r="M66" s="97"/>
      <c r="N66" s="97"/>
      <c r="O66" s="97"/>
      <c r="P66" s="97"/>
      <c r="Q66" s="97"/>
      <c r="R66" s="97"/>
      <c r="S66" s="97"/>
      <c r="T66" s="97"/>
      <c r="U66" s="98"/>
      <c r="V66" s="98"/>
      <c r="W66" s="98"/>
      <c r="X66" s="98"/>
      <c r="Y66" s="98"/>
      <c r="Z66" s="98"/>
      <c r="AA66" s="98"/>
      <c r="AB66" s="98"/>
      <c r="AC66" s="97"/>
      <c r="AD66" s="97"/>
      <c r="AE66" s="97"/>
      <c r="AF66" s="97"/>
      <c r="AG66" s="97"/>
      <c r="AH66" s="97"/>
      <c r="AI66" s="96">
        <f t="shared" si="1"/>
        <v>0</v>
      </c>
    </row>
    <row r="67" spans="1:35" ht="18.75" x14ac:dyDescent="0.2">
      <c r="A67" s="435">
        <v>65</v>
      </c>
      <c r="B67" s="441" t="s">
        <v>294</v>
      </c>
      <c r="C67" s="84" t="s">
        <v>282</v>
      </c>
      <c r="D67" s="97"/>
      <c r="E67" s="97"/>
      <c r="F67" s="97"/>
      <c r="G67" s="97"/>
      <c r="H67" s="97"/>
      <c r="I67" s="97"/>
      <c r="J67" s="97"/>
      <c r="K67" s="97"/>
      <c r="L67" s="97"/>
      <c r="M67" s="97"/>
      <c r="N67" s="97"/>
      <c r="O67" s="97"/>
      <c r="P67" s="97"/>
      <c r="Q67" s="97"/>
      <c r="R67" s="97"/>
      <c r="S67" s="97"/>
      <c r="T67" s="97"/>
      <c r="U67" s="98"/>
      <c r="V67" s="98"/>
      <c r="W67" s="98"/>
      <c r="X67" s="98"/>
      <c r="Y67" s="98"/>
      <c r="Z67" s="98"/>
      <c r="AA67" s="98"/>
      <c r="AB67" s="98"/>
      <c r="AC67" s="97"/>
      <c r="AD67" s="97"/>
      <c r="AE67" s="97"/>
      <c r="AF67" s="97"/>
      <c r="AG67" s="97"/>
      <c r="AH67" s="97"/>
      <c r="AI67" s="96">
        <f t="shared" ref="AI67:AI98" si="2">SUM(D67:AH67)</f>
        <v>0</v>
      </c>
    </row>
    <row r="68" spans="1:35" ht="18.75" x14ac:dyDescent="0.2">
      <c r="A68" s="435">
        <v>66</v>
      </c>
      <c r="B68" s="441" t="s">
        <v>295</v>
      </c>
      <c r="C68" s="84" t="s">
        <v>282</v>
      </c>
      <c r="D68" s="97"/>
      <c r="E68" s="97"/>
      <c r="F68" s="97"/>
      <c r="G68" s="97"/>
      <c r="H68" s="97"/>
      <c r="I68" s="97"/>
      <c r="J68" s="97"/>
      <c r="K68" s="97"/>
      <c r="L68" s="97"/>
      <c r="M68" s="97"/>
      <c r="N68" s="97"/>
      <c r="O68" s="97"/>
      <c r="P68" s="97"/>
      <c r="Q68" s="97"/>
      <c r="R68" s="97"/>
      <c r="S68" s="97"/>
      <c r="T68" s="97"/>
      <c r="U68" s="98"/>
      <c r="V68" s="98"/>
      <c r="W68" s="98"/>
      <c r="X68" s="98"/>
      <c r="Y68" s="98"/>
      <c r="Z68" s="98"/>
      <c r="AA68" s="98"/>
      <c r="AB68" s="98"/>
      <c r="AC68" s="97"/>
      <c r="AD68" s="97"/>
      <c r="AE68" s="97"/>
      <c r="AF68" s="97"/>
      <c r="AG68" s="97"/>
      <c r="AH68" s="97"/>
      <c r="AI68" s="96">
        <f t="shared" si="2"/>
        <v>0</v>
      </c>
    </row>
    <row r="69" spans="1:35" ht="18.75" x14ac:dyDescent="0.2">
      <c r="A69" s="435">
        <v>67</v>
      </c>
      <c r="B69" s="441" t="s">
        <v>296</v>
      </c>
      <c r="C69" s="84" t="s">
        <v>282</v>
      </c>
      <c r="D69" s="97"/>
      <c r="E69" s="97"/>
      <c r="F69" s="97"/>
      <c r="G69" s="97"/>
      <c r="H69" s="97"/>
      <c r="I69" s="97"/>
      <c r="J69" s="97"/>
      <c r="K69" s="97"/>
      <c r="L69" s="97"/>
      <c r="M69" s="97"/>
      <c r="N69" s="97"/>
      <c r="O69" s="97"/>
      <c r="P69" s="97"/>
      <c r="Q69" s="97"/>
      <c r="R69" s="97"/>
      <c r="S69" s="97"/>
      <c r="T69" s="97"/>
      <c r="U69" s="98"/>
      <c r="V69" s="98"/>
      <c r="W69" s="98"/>
      <c r="X69" s="98"/>
      <c r="Y69" s="98"/>
      <c r="Z69" s="98"/>
      <c r="AA69" s="98"/>
      <c r="AB69" s="98"/>
      <c r="AC69" s="97"/>
      <c r="AD69" s="97"/>
      <c r="AE69" s="97"/>
      <c r="AF69" s="97"/>
      <c r="AG69" s="97"/>
      <c r="AH69" s="97"/>
      <c r="AI69" s="96">
        <f t="shared" si="2"/>
        <v>0</v>
      </c>
    </row>
    <row r="70" spans="1:35" ht="18.75" x14ac:dyDescent="0.2">
      <c r="A70" s="435">
        <v>68</v>
      </c>
      <c r="B70" s="441" t="s">
        <v>297</v>
      </c>
      <c r="C70" s="84" t="s">
        <v>282</v>
      </c>
      <c r="D70" s="97"/>
      <c r="E70" s="97"/>
      <c r="F70" s="97"/>
      <c r="G70" s="97"/>
      <c r="H70" s="97"/>
      <c r="I70" s="97"/>
      <c r="J70" s="97"/>
      <c r="K70" s="97"/>
      <c r="L70" s="97"/>
      <c r="M70" s="97"/>
      <c r="N70" s="97"/>
      <c r="O70" s="97"/>
      <c r="P70" s="97"/>
      <c r="Q70" s="97"/>
      <c r="R70" s="97"/>
      <c r="S70" s="97"/>
      <c r="T70" s="99"/>
      <c r="U70" s="98"/>
      <c r="V70" s="98"/>
      <c r="W70" s="98"/>
      <c r="X70" s="98"/>
      <c r="Y70" s="98"/>
      <c r="Z70" s="98">
        <v>12.5</v>
      </c>
      <c r="AA70" s="98"/>
      <c r="AB70" s="98"/>
      <c r="AC70" s="97"/>
      <c r="AD70" s="97"/>
      <c r="AE70" s="97"/>
      <c r="AF70" s="97"/>
      <c r="AG70" s="97"/>
      <c r="AH70" s="97"/>
      <c r="AI70" s="96">
        <f t="shared" si="2"/>
        <v>12.5</v>
      </c>
    </row>
    <row r="71" spans="1:35" ht="18.75" x14ac:dyDescent="0.2">
      <c r="A71" s="435">
        <v>69</v>
      </c>
      <c r="B71" s="441" t="s">
        <v>298</v>
      </c>
      <c r="C71" s="84" t="s">
        <v>282</v>
      </c>
      <c r="D71" s="97"/>
      <c r="E71" s="97"/>
      <c r="F71" s="97"/>
      <c r="G71" s="97"/>
      <c r="H71" s="97"/>
      <c r="I71" s="97"/>
      <c r="J71" s="97"/>
      <c r="K71" s="97"/>
      <c r="L71" s="97"/>
      <c r="M71" s="97"/>
      <c r="N71" s="97"/>
      <c r="O71" s="97"/>
      <c r="P71" s="97"/>
      <c r="Q71" s="97"/>
      <c r="R71" s="97"/>
      <c r="S71" s="97"/>
      <c r="T71" s="97"/>
      <c r="U71" s="97"/>
      <c r="V71" s="97"/>
      <c r="W71" s="98"/>
      <c r="X71" s="98"/>
      <c r="Y71" s="98"/>
      <c r="Z71" s="98"/>
      <c r="AA71" s="98"/>
      <c r="AB71" s="98"/>
      <c r="AC71" s="97"/>
      <c r="AD71" s="97"/>
      <c r="AE71" s="97"/>
      <c r="AF71" s="97"/>
      <c r="AG71" s="97"/>
      <c r="AH71" s="97"/>
      <c r="AI71" s="96">
        <f t="shared" si="2"/>
        <v>0</v>
      </c>
    </row>
    <row r="72" spans="1:35" ht="18.75" x14ac:dyDescent="0.2">
      <c r="A72" s="435">
        <v>70</v>
      </c>
      <c r="B72" s="441" t="s">
        <v>299</v>
      </c>
      <c r="C72" s="84" t="s">
        <v>282</v>
      </c>
      <c r="D72" s="97"/>
      <c r="E72" s="97"/>
      <c r="F72" s="97"/>
      <c r="G72" s="97"/>
      <c r="H72" s="97"/>
      <c r="I72" s="97"/>
      <c r="J72" s="97"/>
      <c r="K72" s="97"/>
      <c r="L72" s="97"/>
      <c r="M72" s="97"/>
      <c r="N72" s="97"/>
      <c r="O72" s="97"/>
      <c r="P72" s="97"/>
      <c r="Q72" s="97"/>
      <c r="R72" s="97"/>
      <c r="S72" s="97"/>
      <c r="T72" s="97"/>
      <c r="U72" s="98"/>
      <c r="V72" s="98"/>
      <c r="W72" s="98"/>
      <c r="X72" s="98"/>
      <c r="Y72" s="98"/>
      <c r="Z72" s="98"/>
      <c r="AA72" s="98"/>
      <c r="AB72" s="98"/>
      <c r="AC72" s="97"/>
      <c r="AD72" s="97"/>
      <c r="AE72" s="97"/>
      <c r="AF72" s="97"/>
      <c r="AG72" s="97"/>
      <c r="AH72" s="97"/>
      <c r="AI72" s="96">
        <f t="shared" si="2"/>
        <v>0</v>
      </c>
    </row>
    <row r="73" spans="1:35" ht="18.75" x14ac:dyDescent="0.2">
      <c r="A73" s="435">
        <v>71</v>
      </c>
      <c r="B73" s="441" t="s">
        <v>300</v>
      </c>
      <c r="C73" s="84" t="s">
        <v>282</v>
      </c>
      <c r="D73" s="97"/>
      <c r="E73" s="97"/>
      <c r="F73" s="97"/>
      <c r="G73" s="97"/>
      <c r="H73" s="97"/>
      <c r="I73" s="97"/>
      <c r="J73" s="97"/>
      <c r="K73" s="97"/>
      <c r="L73" s="97"/>
      <c r="M73" s="97"/>
      <c r="N73" s="97"/>
      <c r="O73" s="97"/>
      <c r="P73" s="97"/>
      <c r="Q73" s="97"/>
      <c r="R73" s="97"/>
      <c r="S73" s="97"/>
      <c r="T73" s="97"/>
      <c r="U73" s="98"/>
      <c r="V73" s="98"/>
      <c r="W73" s="98"/>
      <c r="X73" s="98"/>
      <c r="Y73" s="98"/>
      <c r="Z73" s="98"/>
      <c r="AA73" s="98"/>
      <c r="AB73" s="98"/>
      <c r="AC73" s="97"/>
      <c r="AD73" s="97"/>
      <c r="AE73" s="97"/>
      <c r="AF73" s="97"/>
      <c r="AG73" s="97"/>
      <c r="AH73" s="97"/>
      <c r="AI73" s="96">
        <f t="shared" si="2"/>
        <v>0</v>
      </c>
    </row>
    <row r="74" spans="1:35" ht="18.75" x14ac:dyDescent="0.2">
      <c r="A74" s="435">
        <v>72</v>
      </c>
      <c r="B74" s="441" t="s">
        <v>301</v>
      </c>
      <c r="C74" s="84" t="s">
        <v>282</v>
      </c>
      <c r="D74" s="97"/>
      <c r="E74" s="97"/>
      <c r="F74" s="97"/>
      <c r="G74" s="97"/>
      <c r="H74" s="97"/>
      <c r="I74" s="97"/>
      <c r="J74" s="97"/>
      <c r="K74" s="97"/>
      <c r="L74" s="97"/>
      <c r="M74" s="97"/>
      <c r="N74" s="97"/>
      <c r="O74" s="97"/>
      <c r="P74" s="97"/>
      <c r="Q74" s="97"/>
      <c r="R74" s="97"/>
      <c r="S74" s="97"/>
      <c r="T74" s="97"/>
      <c r="U74" s="98"/>
      <c r="V74" s="98"/>
      <c r="W74" s="98"/>
      <c r="X74" s="98"/>
      <c r="Y74" s="98"/>
      <c r="Z74" s="98"/>
      <c r="AA74" s="98"/>
      <c r="AB74" s="98"/>
      <c r="AC74" s="97"/>
      <c r="AD74" s="97"/>
      <c r="AE74" s="97"/>
      <c r="AF74" s="97"/>
      <c r="AG74" s="97"/>
      <c r="AH74" s="97"/>
      <c r="AI74" s="96">
        <f t="shared" si="2"/>
        <v>0</v>
      </c>
    </row>
    <row r="75" spans="1:35" ht="18.75" x14ac:dyDescent="0.2">
      <c r="A75" s="435">
        <v>73</v>
      </c>
      <c r="B75" s="441" t="s">
        <v>302</v>
      </c>
      <c r="C75" s="84" t="s">
        <v>282</v>
      </c>
      <c r="D75" s="97"/>
      <c r="E75" s="97"/>
      <c r="F75" s="97"/>
      <c r="G75" s="97"/>
      <c r="H75" s="97"/>
      <c r="I75" s="97"/>
      <c r="J75" s="97"/>
      <c r="K75" s="97"/>
      <c r="L75" s="97"/>
      <c r="M75" s="97"/>
      <c r="N75" s="97"/>
      <c r="O75" s="97"/>
      <c r="P75" s="97"/>
      <c r="Q75" s="97"/>
      <c r="R75" s="97"/>
      <c r="S75" s="97"/>
      <c r="T75" s="97"/>
      <c r="U75" s="98"/>
      <c r="V75" s="98"/>
      <c r="W75" s="98"/>
      <c r="X75" s="98"/>
      <c r="Y75" s="98"/>
      <c r="Z75" s="98"/>
      <c r="AA75" s="98"/>
      <c r="AB75" s="98"/>
      <c r="AC75" s="97"/>
      <c r="AD75" s="97"/>
      <c r="AE75" s="97"/>
      <c r="AF75" s="97"/>
      <c r="AG75" s="97"/>
      <c r="AH75" s="97"/>
      <c r="AI75" s="96">
        <f t="shared" si="2"/>
        <v>0</v>
      </c>
    </row>
    <row r="76" spans="1:35" ht="33" x14ac:dyDescent="0.2">
      <c r="A76" s="435">
        <v>74</v>
      </c>
      <c r="B76" s="441" t="s">
        <v>303</v>
      </c>
      <c r="C76" s="84" t="s">
        <v>282</v>
      </c>
      <c r="D76" s="97"/>
      <c r="E76" s="97"/>
      <c r="F76" s="97"/>
      <c r="G76" s="97"/>
      <c r="H76" s="97"/>
      <c r="I76" s="97"/>
      <c r="J76" s="97"/>
      <c r="K76" s="97"/>
      <c r="L76" s="97"/>
      <c r="M76" s="97"/>
      <c r="N76" s="97"/>
      <c r="O76" s="97"/>
      <c r="P76" s="97"/>
      <c r="Q76" s="97"/>
      <c r="R76" s="97"/>
      <c r="S76" s="97"/>
      <c r="T76" s="97"/>
      <c r="U76" s="98"/>
      <c r="V76" s="98"/>
      <c r="W76" s="98"/>
      <c r="X76" s="98"/>
      <c r="Y76" s="98"/>
      <c r="Z76" s="98"/>
      <c r="AA76" s="98"/>
      <c r="AB76" s="98"/>
      <c r="AC76" s="97"/>
      <c r="AD76" s="97"/>
      <c r="AE76" s="97"/>
      <c r="AF76" s="97"/>
      <c r="AG76" s="97"/>
      <c r="AH76" s="97"/>
      <c r="AI76" s="96">
        <f t="shared" si="2"/>
        <v>0</v>
      </c>
    </row>
    <row r="77" spans="1:35" ht="33" x14ac:dyDescent="0.2">
      <c r="A77" s="435">
        <v>75</v>
      </c>
      <c r="B77" s="441" t="s">
        <v>304</v>
      </c>
      <c r="C77" s="84" t="s">
        <v>282</v>
      </c>
      <c r="D77" s="97"/>
      <c r="E77" s="97"/>
      <c r="F77" s="97"/>
      <c r="G77" s="97"/>
      <c r="H77" s="97"/>
      <c r="I77" s="97"/>
      <c r="J77" s="97"/>
      <c r="K77" s="97"/>
      <c r="L77" s="97"/>
      <c r="M77" s="97"/>
      <c r="N77" s="97"/>
      <c r="O77" s="97"/>
      <c r="P77" s="97"/>
      <c r="Q77" s="97"/>
      <c r="R77" s="97"/>
      <c r="S77" s="97"/>
      <c r="T77" s="97"/>
      <c r="U77" s="97"/>
      <c r="V77" s="98"/>
      <c r="W77" s="98"/>
      <c r="X77" s="98"/>
      <c r="Y77" s="98"/>
      <c r="Z77" s="98"/>
      <c r="AA77" s="98"/>
      <c r="AB77" s="98"/>
      <c r="AC77" s="97"/>
      <c r="AD77" s="97"/>
      <c r="AE77" s="97"/>
      <c r="AF77" s="97"/>
      <c r="AG77" s="97"/>
      <c r="AH77" s="97"/>
      <c r="AI77" s="96">
        <f t="shared" si="2"/>
        <v>0</v>
      </c>
    </row>
    <row r="78" spans="1:35" ht="18.75" x14ac:dyDescent="0.2">
      <c r="A78" s="435">
        <v>76</v>
      </c>
      <c r="B78" s="441" t="s">
        <v>305</v>
      </c>
      <c r="C78" s="84" t="s">
        <v>282</v>
      </c>
      <c r="D78" s="97"/>
      <c r="E78" s="97"/>
      <c r="F78" s="97"/>
      <c r="G78" s="97"/>
      <c r="H78" s="97"/>
      <c r="I78" s="97"/>
      <c r="J78" s="97"/>
      <c r="K78" s="97"/>
      <c r="L78" s="278"/>
      <c r="M78" s="97"/>
      <c r="N78" s="97"/>
      <c r="O78" s="97"/>
      <c r="P78" s="97"/>
      <c r="Q78" s="97"/>
      <c r="R78" s="97"/>
      <c r="S78" s="97"/>
      <c r="T78" s="97"/>
      <c r="U78" s="97"/>
      <c r="V78" s="97"/>
      <c r="W78" s="97"/>
      <c r="X78" s="97"/>
      <c r="Y78" s="98"/>
      <c r="Z78" s="98"/>
      <c r="AA78" s="98"/>
      <c r="AB78" s="98"/>
      <c r="AC78" s="98"/>
      <c r="AD78" s="98"/>
      <c r="AE78" s="97"/>
      <c r="AF78" s="97"/>
      <c r="AG78" s="97"/>
      <c r="AH78" s="97"/>
      <c r="AI78" s="96">
        <f t="shared" si="2"/>
        <v>0</v>
      </c>
    </row>
    <row r="79" spans="1:35" ht="18.75" x14ac:dyDescent="0.2">
      <c r="A79" s="435">
        <v>77</v>
      </c>
      <c r="B79" s="441" t="s">
        <v>306</v>
      </c>
      <c r="C79" s="84" t="s">
        <v>282</v>
      </c>
      <c r="D79" s="97"/>
      <c r="E79" s="97"/>
      <c r="F79" s="97"/>
      <c r="G79" s="97"/>
      <c r="H79" s="97"/>
      <c r="I79" s="97"/>
      <c r="J79" s="97"/>
      <c r="K79" s="97"/>
      <c r="L79" s="97"/>
      <c r="M79" s="97"/>
      <c r="N79" s="97"/>
      <c r="O79" s="97"/>
      <c r="P79" s="97"/>
      <c r="Q79" s="97"/>
      <c r="R79" s="97"/>
      <c r="S79" s="97"/>
      <c r="T79" s="97"/>
      <c r="U79" s="97"/>
      <c r="V79" s="97"/>
      <c r="W79" s="97"/>
      <c r="X79" s="98"/>
      <c r="Y79" s="98"/>
      <c r="Z79" s="98"/>
      <c r="AA79" s="98"/>
      <c r="AB79" s="98"/>
      <c r="AC79" s="97"/>
      <c r="AD79" s="97"/>
      <c r="AE79" s="97"/>
      <c r="AF79" s="97"/>
      <c r="AG79" s="97"/>
      <c r="AH79" s="97"/>
      <c r="AI79" s="96">
        <f t="shared" si="2"/>
        <v>0</v>
      </c>
    </row>
    <row r="80" spans="1:35" ht="18.75" x14ac:dyDescent="0.2">
      <c r="A80" s="435">
        <v>78</v>
      </c>
      <c r="B80" s="441" t="s">
        <v>307</v>
      </c>
      <c r="C80" s="84" t="s">
        <v>282</v>
      </c>
      <c r="D80" s="97"/>
      <c r="E80" s="97"/>
      <c r="F80" s="97"/>
      <c r="G80" s="97"/>
      <c r="H80" s="97"/>
      <c r="I80" s="97"/>
      <c r="J80" s="97"/>
      <c r="K80" s="97"/>
      <c r="L80" s="97"/>
      <c r="M80" s="97"/>
      <c r="N80" s="97"/>
      <c r="O80" s="97"/>
      <c r="P80" s="97"/>
      <c r="Q80" s="97"/>
      <c r="R80" s="97"/>
      <c r="S80" s="97"/>
      <c r="T80" s="97"/>
      <c r="U80" s="98"/>
      <c r="V80" s="98"/>
      <c r="W80" s="98"/>
      <c r="X80" s="98"/>
      <c r="Y80" s="98"/>
      <c r="Z80" s="98"/>
      <c r="AA80" s="98"/>
      <c r="AB80" s="98"/>
      <c r="AC80" s="97"/>
      <c r="AD80" s="97"/>
      <c r="AE80" s="97"/>
      <c r="AF80" s="97"/>
      <c r="AG80" s="97"/>
      <c r="AH80" s="97"/>
      <c r="AI80" s="96">
        <f t="shared" si="2"/>
        <v>0</v>
      </c>
    </row>
    <row r="81" spans="1:35" ht="18.75" x14ac:dyDescent="0.2">
      <c r="A81" s="435">
        <v>79</v>
      </c>
      <c r="B81" s="441" t="s">
        <v>308</v>
      </c>
      <c r="C81" s="84" t="s">
        <v>282</v>
      </c>
      <c r="D81" s="97"/>
      <c r="E81" s="97"/>
      <c r="F81" s="97"/>
      <c r="G81" s="97"/>
      <c r="H81" s="97"/>
      <c r="I81" s="97"/>
      <c r="J81" s="97"/>
      <c r="K81" s="97"/>
      <c r="L81" s="97"/>
      <c r="M81" s="97"/>
      <c r="N81" s="97"/>
      <c r="O81" s="97"/>
      <c r="P81" s="97"/>
      <c r="Q81" s="97"/>
      <c r="R81" s="97"/>
      <c r="S81" s="97"/>
      <c r="T81" s="97"/>
      <c r="U81" s="98"/>
      <c r="V81" s="98"/>
      <c r="W81" s="98"/>
      <c r="X81" s="98"/>
      <c r="Y81" s="98"/>
      <c r="Z81" s="98"/>
      <c r="AA81" s="98"/>
      <c r="AB81" s="98"/>
      <c r="AC81" s="97"/>
      <c r="AD81" s="97"/>
      <c r="AE81" s="97"/>
      <c r="AF81" s="97"/>
      <c r="AG81" s="97"/>
      <c r="AH81" s="97"/>
      <c r="AI81" s="96">
        <f t="shared" si="2"/>
        <v>0</v>
      </c>
    </row>
    <row r="82" spans="1:35" ht="18.75" x14ac:dyDescent="0.2">
      <c r="A82" s="435">
        <v>80</v>
      </c>
      <c r="B82" s="441" t="s">
        <v>309</v>
      </c>
      <c r="C82" s="84" t="s">
        <v>282</v>
      </c>
      <c r="D82" s="97"/>
      <c r="E82" s="97"/>
      <c r="F82" s="97"/>
      <c r="G82" s="97"/>
      <c r="H82" s="97"/>
      <c r="I82" s="97"/>
      <c r="J82" s="97"/>
      <c r="K82" s="97"/>
      <c r="L82" s="97"/>
      <c r="M82" s="97"/>
      <c r="N82" s="97"/>
      <c r="O82" s="97"/>
      <c r="P82" s="97"/>
      <c r="Q82" s="97"/>
      <c r="R82" s="97"/>
      <c r="S82" s="97"/>
      <c r="T82" s="97"/>
      <c r="U82" s="98"/>
      <c r="V82" s="98"/>
      <c r="W82" s="98"/>
      <c r="X82" s="98"/>
      <c r="Y82" s="98"/>
      <c r="Z82" s="98"/>
      <c r="AA82" s="98"/>
      <c r="AB82" s="98"/>
      <c r="AC82" s="97"/>
      <c r="AD82" s="97"/>
      <c r="AE82" s="97"/>
      <c r="AF82" s="97"/>
      <c r="AG82" s="97"/>
      <c r="AH82" s="97"/>
      <c r="AI82" s="96">
        <f t="shared" si="2"/>
        <v>0</v>
      </c>
    </row>
    <row r="83" spans="1:35" ht="18.75" x14ac:dyDescent="0.2">
      <c r="A83" s="435">
        <v>81</v>
      </c>
      <c r="B83" s="441" t="s">
        <v>310</v>
      </c>
      <c r="C83" s="84" t="s">
        <v>282</v>
      </c>
      <c r="D83" s="97"/>
      <c r="E83" s="97"/>
      <c r="F83" s="97"/>
      <c r="G83" s="97"/>
      <c r="H83" s="97"/>
      <c r="I83" s="97"/>
      <c r="J83" s="97"/>
      <c r="K83" s="97"/>
      <c r="L83" s="97"/>
      <c r="M83" s="97"/>
      <c r="N83" s="97"/>
      <c r="O83" s="97"/>
      <c r="P83" s="97"/>
      <c r="Q83" s="97"/>
      <c r="R83" s="97"/>
      <c r="S83" s="97"/>
      <c r="T83" s="97"/>
      <c r="U83" s="98"/>
      <c r="V83" s="98"/>
      <c r="W83" s="98"/>
      <c r="X83" s="98"/>
      <c r="Y83" s="98"/>
      <c r="Z83" s="98"/>
      <c r="AA83" s="98"/>
      <c r="AB83" s="98"/>
      <c r="AC83" s="97"/>
      <c r="AD83" s="97"/>
      <c r="AE83" s="97"/>
      <c r="AF83" s="97"/>
      <c r="AG83" s="97"/>
      <c r="AH83" s="97"/>
      <c r="AI83" s="96">
        <f t="shared" si="2"/>
        <v>0</v>
      </c>
    </row>
    <row r="84" spans="1:35" ht="18.75" x14ac:dyDescent="0.2">
      <c r="A84" s="435">
        <v>82</v>
      </c>
      <c r="B84" s="441" t="s">
        <v>311</v>
      </c>
      <c r="C84" s="84" t="s">
        <v>282</v>
      </c>
      <c r="D84" s="98"/>
      <c r="E84" s="98"/>
      <c r="F84" s="97"/>
      <c r="G84" s="97"/>
      <c r="H84" s="97"/>
      <c r="I84" s="97"/>
      <c r="J84" s="97"/>
      <c r="K84" s="97"/>
      <c r="L84" s="97"/>
      <c r="M84" s="97"/>
      <c r="N84" s="97"/>
      <c r="O84" s="97"/>
      <c r="P84" s="97"/>
      <c r="Q84" s="97"/>
      <c r="R84" s="97"/>
      <c r="S84" s="97"/>
      <c r="T84" s="97"/>
      <c r="U84" s="97"/>
      <c r="V84" s="97"/>
      <c r="W84" s="97"/>
      <c r="X84" s="97"/>
      <c r="Y84" s="97"/>
      <c r="Z84" s="98"/>
      <c r="AA84" s="98"/>
      <c r="AB84" s="98"/>
      <c r="AC84" s="98"/>
      <c r="AD84" s="98"/>
      <c r="AE84" s="98"/>
      <c r="AF84" s="98"/>
      <c r="AG84" s="98"/>
      <c r="AH84" s="98"/>
      <c r="AI84" s="96">
        <f t="shared" si="2"/>
        <v>0</v>
      </c>
    </row>
    <row r="85" spans="1:35" ht="18.75" x14ac:dyDescent="0.2">
      <c r="A85" s="435">
        <v>83</v>
      </c>
      <c r="B85" s="441" t="s">
        <v>312</v>
      </c>
      <c r="C85" s="84" t="s">
        <v>282</v>
      </c>
      <c r="D85" s="97"/>
      <c r="E85" s="97"/>
      <c r="F85" s="97"/>
      <c r="G85" s="97"/>
      <c r="H85" s="97"/>
      <c r="I85" s="97"/>
      <c r="J85" s="97"/>
      <c r="K85" s="97"/>
      <c r="L85" s="97"/>
      <c r="M85" s="97"/>
      <c r="N85" s="97"/>
      <c r="O85" s="97"/>
      <c r="P85" s="97"/>
      <c r="Q85" s="97"/>
      <c r="R85" s="97"/>
      <c r="S85" s="97"/>
      <c r="T85" s="97"/>
      <c r="U85" s="98"/>
      <c r="V85" s="98"/>
      <c r="W85" s="98"/>
      <c r="X85" s="98"/>
      <c r="Y85" s="98"/>
      <c r="Z85" s="98"/>
      <c r="AA85" s="98"/>
      <c r="AB85" s="359"/>
      <c r="AC85" s="97"/>
      <c r="AD85" s="97"/>
      <c r="AE85" s="97"/>
      <c r="AF85" s="97"/>
      <c r="AG85" s="97"/>
      <c r="AH85" s="97"/>
      <c r="AI85" s="96">
        <f t="shared" si="2"/>
        <v>0</v>
      </c>
    </row>
    <row r="86" spans="1:35" ht="18.75" x14ac:dyDescent="0.2">
      <c r="A86" s="435">
        <v>84</v>
      </c>
      <c r="B86" s="441" t="s">
        <v>313</v>
      </c>
      <c r="C86" s="84" t="s">
        <v>282</v>
      </c>
      <c r="D86" s="97"/>
      <c r="E86" s="97"/>
      <c r="F86" s="97"/>
      <c r="G86" s="97"/>
      <c r="H86" s="97"/>
      <c r="I86" s="97"/>
      <c r="J86" s="97"/>
      <c r="K86" s="97"/>
      <c r="L86" s="97"/>
      <c r="M86" s="97"/>
      <c r="N86" s="97"/>
      <c r="O86" s="97"/>
      <c r="P86" s="97"/>
      <c r="Q86" s="97"/>
      <c r="R86" s="97"/>
      <c r="S86" s="97"/>
      <c r="T86" s="97"/>
      <c r="U86" s="98"/>
      <c r="V86" s="98"/>
      <c r="W86" s="98"/>
      <c r="X86" s="98"/>
      <c r="Y86" s="98"/>
      <c r="Z86" s="98"/>
      <c r="AA86" s="98"/>
      <c r="AB86" s="98"/>
      <c r="AC86" s="97"/>
      <c r="AD86" s="97"/>
      <c r="AE86" s="97"/>
      <c r="AF86" s="97"/>
      <c r="AG86" s="97"/>
      <c r="AH86" s="97"/>
      <c r="AI86" s="96">
        <f t="shared" si="2"/>
        <v>0</v>
      </c>
    </row>
    <row r="87" spans="1:35" ht="18.75" x14ac:dyDescent="0.2">
      <c r="A87" s="435">
        <v>85</v>
      </c>
      <c r="B87" s="441" t="s">
        <v>314</v>
      </c>
      <c r="C87" s="84" t="s">
        <v>282</v>
      </c>
      <c r="D87" s="97"/>
      <c r="E87" s="97"/>
      <c r="F87" s="97"/>
      <c r="G87" s="97"/>
      <c r="H87" s="97"/>
      <c r="I87" s="97"/>
      <c r="J87" s="97"/>
      <c r="K87" s="97"/>
      <c r="L87" s="97"/>
      <c r="M87" s="97"/>
      <c r="N87" s="97"/>
      <c r="O87" s="97"/>
      <c r="P87" s="97"/>
      <c r="Q87" s="97"/>
      <c r="R87" s="97"/>
      <c r="S87" s="97"/>
      <c r="T87" s="97"/>
      <c r="U87" s="98"/>
      <c r="V87" s="98"/>
      <c r="W87" s="98"/>
      <c r="X87" s="98"/>
      <c r="Y87" s="98"/>
      <c r="Z87" s="98"/>
      <c r="AA87" s="98"/>
      <c r="AB87" s="98"/>
      <c r="AC87" s="97"/>
      <c r="AD87" s="97"/>
      <c r="AE87" s="97"/>
      <c r="AF87" s="97"/>
      <c r="AG87" s="97"/>
      <c r="AH87" s="97"/>
      <c r="AI87" s="96">
        <f t="shared" si="2"/>
        <v>0</v>
      </c>
    </row>
    <row r="88" spans="1:35" ht="18.75" x14ac:dyDescent="0.2">
      <c r="A88" s="435">
        <v>86</v>
      </c>
      <c r="B88" s="441" t="s">
        <v>315</v>
      </c>
      <c r="C88" s="84" t="s">
        <v>282</v>
      </c>
      <c r="D88" s="97"/>
      <c r="E88" s="97"/>
      <c r="F88" s="97"/>
      <c r="G88" s="97"/>
      <c r="H88" s="97"/>
      <c r="I88" s="97"/>
      <c r="J88" s="97"/>
      <c r="K88" s="97"/>
      <c r="L88" s="97"/>
      <c r="M88" s="97"/>
      <c r="N88" s="97"/>
      <c r="O88" s="97"/>
      <c r="P88" s="97"/>
      <c r="Q88" s="97"/>
      <c r="R88" s="97"/>
      <c r="S88" s="97"/>
      <c r="T88" s="97"/>
      <c r="U88" s="98"/>
      <c r="V88" s="98"/>
      <c r="W88" s="98"/>
      <c r="X88" s="98"/>
      <c r="Y88" s="98"/>
      <c r="Z88" s="98"/>
      <c r="AA88" s="98"/>
      <c r="AB88" s="98"/>
      <c r="AC88" s="97"/>
      <c r="AD88" s="97"/>
      <c r="AE88" s="97"/>
      <c r="AF88" s="97"/>
      <c r="AG88" s="97"/>
      <c r="AH88" s="97"/>
      <c r="AI88" s="96">
        <f t="shared" si="2"/>
        <v>0</v>
      </c>
    </row>
    <row r="89" spans="1:35" ht="33" x14ac:dyDescent="0.2">
      <c r="A89" s="435">
        <v>87</v>
      </c>
      <c r="B89" s="441" t="s">
        <v>316</v>
      </c>
      <c r="C89" s="84" t="s">
        <v>282</v>
      </c>
      <c r="D89" s="97"/>
      <c r="E89" s="97"/>
      <c r="F89" s="97"/>
      <c r="G89" s="97"/>
      <c r="H89" s="97"/>
      <c r="I89" s="97"/>
      <c r="J89" s="97"/>
      <c r="K89" s="97"/>
      <c r="L89" s="97"/>
      <c r="M89" s="97"/>
      <c r="N89" s="97"/>
      <c r="O89" s="97"/>
      <c r="P89" s="97"/>
      <c r="Q89" s="97"/>
      <c r="R89" s="97"/>
      <c r="S89" s="97"/>
      <c r="T89" s="97"/>
      <c r="U89" s="98"/>
      <c r="V89" s="98"/>
      <c r="W89" s="98"/>
      <c r="X89" s="98"/>
      <c r="Y89" s="98"/>
      <c r="Z89" s="98"/>
      <c r="AA89" s="98"/>
      <c r="AB89" s="98"/>
      <c r="AC89" s="97"/>
      <c r="AD89" s="97"/>
      <c r="AE89" s="97"/>
      <c r="AF89" s="97"/>
      <c r="AG89" s="97"/>
      <c r="AH89" s="97"/>
      <c r="AI89" s="96">
        <f t="shared" si="2"/>
        <v>0</v>
      </c>
    </row>
    <row r="90" spans="1:35" ht="33" x14ac:dyDescent="0.2">
      <c r="A90" s="435">
        <v>88</v>
      </c>
      <c r="B90" s="441" t="s">
        <v>317</v>
      </c>
      <c r="C90" s="84" t="s">
        <v>282</v>
      </c>
      <c r="D90" s="97"/>
      <c r="E90" s="97"/>
      <c r="F90" s="97"/>
      <c r="G90" s="97"/>
      <c r="H90" s="97"/>
      <c r="I90" s="97"/>
      <c r="J90" s="97"/>
      <c r="K90" s="97"/>
      <c r="L90" s="97"/>
      <c r="M90" s="97"/>
      <c r="N90" s="97"/>
      <c r="O90" s="97"/>
      <c r="P90" s="97"/>
      <c r="Q90" s="97"/>
      <c r="R90" s="97"/>
      <c r="S90" s="97"/>
      <c r="T90" s="97"/>
      <c r="U90" s="98"/>
      <c r="V90" s="98"/>
      <c r="W90" s="98"/>
      <c r="X90" s="98"/>
      <c r="Y90" s="98"/>
      <c r="Z90" s="98"/>
      <c r="AA90" s="98"/>
      <c r="AB90" s="98"/>
      <c r="AC90" s="97"/>
      <c r="AD90" s="97"/>
      <c r="AE90" s="97"/>
      <c r="AF90" s="97"/>
      <c r="AG90" s="97"/>
      <c r="AH90" s="97"/>
      <c r="AI90" s="96">
        <f t="shared" si="2"/>
        <v>0</v>
      </c>
    </row>
    <row r="91" spans="1:35" ht="18.75" x14ac:dyDescent="0.2">
      <c r="A91" s="435">
        <v>89</v>
      </c>
      <c r="B91" s="441" t="s">
        <v>318</v>
      </c>
      <c r="C91" s="84" t="s">
        <v>282</v>
      </c>
      <c r="D91" s="97"/>
      <c r="E91" s="97"/>
      <c r="F91" s="97"/>
      <c r="G91" s="97"/>
      <c r="H91" s="97"/>
      <c r="I91" s="97"/>
      <c r="J91" s="97"/>
      <c r="K91" s="97"/>
      <c r="L91" s="97"/>
      <c r="M91" s="97"/>
      <c r="N91" s="97"/>
      <c r="O91" s="97"/>
      <c r="P91" s="97"/>
      <c r="Q91" s="97"/>
      <c r="R91" s="97"/>
      <c r="S91" s="97"/>
      <c r="T91" s="97"/>
      <c r="U91" s="98"/>
      <c r="V91" s="98"/>
      <c r="W91" s="98"/>
      <c r="X91" s="98"/>
      <c r="Y91" s="98"/>
      <c r="Z91" s="98"/>
      <c r="AA91" s="98"/>
      <c r="AB91" s="98"/>
      <c r="AC91" s="97"/>
      <c r="AD91" s="97"/>
      <c r="AE91" s="97"/>
      <c r="AF91" s="97"/>
      <c r="AG91" s="97"/>
      <c r="AH91" s="97"/>
      <c r="AI91" s="96">
        <f t="shared" si="2"/>
        <v>0</v>
      </c>
    </row>
    <row r="92" spans="1:35" ht="18.75" x14ac:dyDescent="0.2">
      <c r="A92" s="435">
        <v>90</v>
      </c>
      <c r="B92" s="441" t="s">
        <v>319</v>
      </c>
      <c r="C92" s="84" t="s">
        <v>282</v>
      </c>
      <c r="D92" s="97"/>
      <c r="E92" s="97"/>
      <c r="F92" s="97"/>
      <c r="G92" s="97"/>
      <c r="H92" s="97"/>
      <c r="I92" s="97"/>
      <c r="J92" s="97"/>
      <c r="K92" s="97"/>
      <c r="L92" s="97"/>
      <c r="M92" s="97"/>
      <c r="N92" s="97"/>
      <c r="O92" s="97"/>
      <c r="P92" s="97"/>
      <c r="Q92" s="97"/>
      <c r="R92" s="97"/>
      <c r="S92" s="97"/>
      <c r="T92" s="97"/>
      <c r="U92" s="97"/>
      <c r="V92" s="97"/>
      <c r="W92" s="97"/>
      <c r="X92" s="97"/>
      <c r="Y92" s="97"/>
      <c r="Z92" s="97"/>
      <c r="AA92" s="97"/>
      <c r="AB92" s="97"/>
      <c r="AC92" s="97"/>
      <c r="AD92" s="97"/>
      <c r="AE92" s="97"/>
      <c r="AF92" s="97"/>
      <c r="AG92" s="97"/>
      <c r="AH92" s="97"/>
      <c r="AI92" s="96">
        <f t="shared" si="2"/>
        <v>0</v>
      </c>
    </row>
    <row r="93" spans="1:35" ht="18.75" x14ac:dyDescent="0.2">
      <c r="A93" s="435">
        <v>91</v>
      </c>
      <c r="B93" s="441" t="s">
        <v>320</v>
      </c>
      <c r="C93" s="84" t="s">
        <v>282</v>
      </c>
      <c r="D93" s="97"/>
      <c r="E93" s="97"/>
      <c r="F93" s="97"/>
      <c r="G93" s="97"/>
      <c r="H93" s="97"/>
      <c r="I93" s="97"/>
      <c r="J93" s="97"/>
      <c r="K93" s="97"/>
      <c r="L93" s="97"/>
      <c r="M93" s="97"/>
      <c r="N93" s="97"/>
      <c r="O93" s="97"/>
      <c r="P93" s="97"/>
      <c r="Q93" s="97"/>
      <c r="R93" s="97"/>
      <c r="S93" s="97"/>
      <c r="T93" s="97"/>
      <c r="U93" s="98"/>
      <c r="V93" s="98"/>
      <c r="W93" s="98"/>
      <c r="X93" s="98"/>
      <c r="Y93" s="98"/>
      <c r="Z93" s="98"/>
      <c r="AA93" s="98"/>
      <c r="AB93" s="98"/>
      <c r="AC93" s="97"/>
      <c r="AD93" s="97"/>
      <c r="AE93" s="97"/>
      <c r="AF93" s="97"/>
      <c r="AG93" s="97"/>
      <c r="AH93" s="97"/>
      <c r="AI93" s="96">
        <f t="shared" si="2"/>
        <v>0</v>
      </c>
    </row>
    <row r="94" spans="1:35" ht="18.75" x14ac:dyDescent="0.2">
      <c r="A94" s="435">
        <v>92</v>
      </c>
      <c r="B94" s="441" t="s">
        <v>321</v>
      </c>
      <c r="C94" s="84" t="s">
        <v>282</v>
      </c>
      <c r="D94" s="97"/>
      <c r="E94" s="97"/>
      <c r="F94" s="97"/>
      <c r="G94" s="97"/>
      <c r="H94" s="97"/>
      <c r="I94" s="97"/>
      <c r="J94" s="97"/>
      <c r="K94" s="97"/>
      <c r="L94" s="97"/>
      <c r="M94" s="97"/>
      <c r="N94" s="97"/>
      <c r="O94" s="97"/>
      <c r="P94" s="97"/>
      <c r="Q94" s="97"/>
      <c r="R94" s="97"/>
      <c r="S94" s="97"/>
      <c r="T94" s="97"/>
      <c r="U94" s="98"/>
      <c r="V94" s="98"/>
      <c r="W94" s="98"/>
      <c r="X94" s="98"/>
      <c r="Y94" s="98"/>
      <c r="Z94" s="98"/>
      <c r="AA94" s="98"/>
      <c r="AB94" s="98"/>
      <c r="AC94" s="97"/>
      <c r="AD94" s="97"/>
      <c r="AE94" s="97"/>
      <c r="AF94" s="97"/>
      <c r="AG94" s="97"/>
      <c r="AH94" s="97"/>
      <c r="AI94" s="96">
        <f t="shared" si="2"/>
        <v>0</v>
      </c>
    </row>
    <row r="95" spans="1:35" ht="18.75" x14ac:dyDescent="0.2">
      <c r="A95" s="435">
        <v>93</v>
      </c>
      <c r="B95" s="441" t="s">
        <v>322</v>
      </c>
      <c r="C95" s="84" t="s">
        <v>282</v>
      </c>
      <c r="D95" s="97"/>
      <c r="E95" s="97"/>
      <c r="F95" s="97"/>
      <c r="G95" s="97"/>
      <c r="H95" s="97"/>
      <c r="I95" s="97"/>
      <c r="J95" s="97"/>
      <c r="K95" s="97"/>
      <c r="L95" s="97"/>
      <c r="M95" s="97"/>
      <c r="N95" s="97"/>
      <c r="O95" s="97"/>
      <c r="P95" s="97"/>
      <c r="Q95" s="97"/>
      <c r="R95" s="97"/>
      <c r="S95" s="97"/>
      <c r="T95" s="97"/>
      <c r="U95" s="98"/>
      <c r="V95" s="98"/>
      <c r="W95" s="98"/>
      <c r="X95" s="98"/>
      <c r="Y95" s="98"/>
      <c r="Z95" s="98"/>
      <c r="AA95" s="98"/>
      <c r="AB95" s="98"/>
      <c r="AC95" s="97"/>
      <c r="AD95" s="97"/>
      <c r="AE95" s="97"/>
      <c r="AF95" s="97"/>
      <c r="AG95" s="97"/>
      <c r="AH95" s="97"/>
      <c r="AI95" s="96">
        <f t="shared" si="2"/>
        <v>0</v>
      </c>
    </row>
    <row r="96" spans="1:35" ht="18.75" x14ac:dyDescent="0.2">
      <c r="A96" s="435">
        <v>94</v>
      </c>
      <c r="B96" s="441" t="s">
        <v>323</v>
      </c>
      <c r="C96" s="84" t="s">
        <v>282</v>
      </c>
      <c r="D96" s="97"/>
      <c r="E96" s="97"/>
      <c r="F96" s="97"/>
      <c r="G96" s="98"/>
      <c r="H96" s="97"/>
      <c r="I96" s="98"/>
      <c r="J96" s="98"/>
      <c r="K96" s="98"/>
      <c r="L96" s="97"/>
      <c r="M96" s="98"/>
      <c r="N96" s="97"/>
      <c r="O96" s="98"/>
      <c r="P96" s="97"/>
      <c r="Q96" s="98"/>
      <c r="R96" s="98"/>
      <c r="S96" s="98"/>
      <c r="T96" s="97"/>
      <c r="U96" s="98"/>
      <c r="V96" s="98"/>
      <c r="W96" s="98"/>
      <c r="X96" s="98"/>
      <c r="Y96" s="98"/>
      <c r="Z96" s="98"/>
      <c r="AA96" s="98"/>
      <c r="AB96" s="98">
        <v>7.5</v>
      </c>
      <c r="AC96" s="97"/>
      <c r="AD96" s="97"/>
      <c r="AE96" s="97"/>
      <c r="AF96" s="97"/>
      <c r="AG96" s="97"/>
      <c r="AH96" s="97"/>
      <c r="AI96" s="96">
        <f t="shared" si="2"/>
        <v>7.5</v>
      </c>
    </row>
    <row r="97" spans="1:35" ht="18.75" x14ac:dyDescent="0.2">
      <c r="A97" s="435">
        <v>95</v>
      </c>
      <c r="B97" s="441" t="s">
        <v>324</v>
      </c>
      <c r="C97" s="84" t="s">
        <v>282</v>
      </c>
      <c r="D97" s="97"/>
      <c r="E97" s="97"/>
      <c r="F97" s="97"/>
      <c r="G97" s="199"/>
      <c r="H97" s="97"/>
      <c r="I97" s="97"/>
      <c r="J97" s="97"/>
      <c r="K97" s="97"/>
      <c r="L97" s="97"/>
      <c r="M97" s="97"/>
      <c r="N97" s="97"/>
      <c r="O97" s="97"/>
      <c r="P97" s="97"/>
      <c r="Q97" s="97"/>
      <c r="R97" s="97"/>
      <c r="S97" s="97"/>
      <c r="T97" s="97"/>
      <c r="U97" s="97"/>
      <c r="V97" s="97"/>
      <c r="W97" s="98"/>
      <c r="X97" s="98"/>
      <c r="Y97" s="98"/>
      <c r="Z97" s="98"/>
      <c r="AA97" s="359"/>
      <c r="AB97" s="359"/>
      <c r="AC97" s="97"/>
      <c r="AD97" s="97"/>
      <c r="AE97" s="97"/>
      <c r="AF97" s="97"/>
      <c r="AG97" s="97"/>
      <c r="AH97" s="97"/>
      <c r="AI97" s="96">
        <f t="shared" si="2"/>
        <v>0</v>
      </c>
    </row>
    <row r="98" spans="1:35" ht="18.75" x14ac:dyDescent="0.2">
      <c r="A98" s="435">
        <v>96</v>
      </c>
      <c r="B98" s="441" t="s">
        <v>325</v>
      </c>
      <c r="C98" s="84" t="s">
        <v>282</v>
      </c>
      <c r="D98" s="97"/>
      <c r="E98" s="97"/>
      <c r="F98" s="97"/>
      <c r="G98" s="97"/>
      <c r="H98" s="199"/>
      <c r="I98" s="97"/>
      <c r="J98" s="97"/>
      <c r="K98" s="97"/>
      <c r="L98" s="97"/>
      <c r="M98" s="97"/>
      <c r="N98" s="97"/>
      <c r="O98" s="97"/>
      <c r="P98" s="97"/>
      <c r="Q98" s="97"/>
      <c r="R98" s="97"/>
      <c r="S98" s="97"/>
      <c r="T98" s="97"/>
      <c r="U98" s="98"/>
      <c r="V98" s="98"/>
      <c r="W98" s="98"/>
      <c r="X98" s="98"/>
      <c r="Y98" s="98"/>
      <c r="Z98" s="98"/>
      <c r="AA98" s="359"/>
      <c r="AB98" s="359"/>
      <c r="AC98" s="97"/>
      <c r="AD98" s="97"/>
      <c r="AE98" s="97"/>
      <c r="AF98" s="97"/>
      <c r="AG98" s="97"/>
      <c r="AH98" s="97"/>
      <c r="AI98" s="96">
        <f t="shared" si="2"/>
        <v>0</v>
      </c>
    </row>
    <row r="99" spans="1:35" ht="18.75" x14ac:dyDescent="0.2">
      <c r="A99" s="435">
        <v>97</v>
      </c>
      <c r="B99" s="441" t="s">
        <v>326</v>
      </c>
      <c r="C99" s="84" t="s">
        <v>282</v>
      </c>
      <c r="D99" s="97"/>
      <c r="E99" s="97"/>
      <c r="F99" s="97"/>
      <c r="G99" s="97"/>
      <c r="H99" s="97"/>
      <c r="I99" s="97"/>
      <c r="J99" s="97"/>
      <c r="K99" s="97"/>
      <c r="L99" s="97"/>
      <c r="M99" s="97"/>
      <c r="N99" s="97"/>
      <c r="O99" s="97"/>
      <c r="P99" s="97"/>
      <c r="Q99" s="97"/>
      <c r="R99" s="97"/>
      <c r="S99" s="97"/>
      <c r="T99" s="97"/>
      <c r="U99" s="98"/>
      <c r="V99" s="98"/>
      <c r="W99" s="98"/>
      <c r="X99" s="98"/>
      <c r="Y99" s="98"/>
      <c r="Z99" s="98"/>
      <c r="AA99" s="98"/>
      <c r="AB99" s="98"/>
      <c r="AC99" s="98"/>
      <c r="AD99" s="98"/>
      <c r="AE99" s="97"/>
      <c r="AF99" s="97"/>
      <c r="AG99" s="97"/>
      <c r="AH99" s="97"/>
      <c r="AI99" s="96">
        <f t="shared" ref="AI99:AI148" si="3">SUM(D99:AH99)</f>
        <v>0</v>
      </c>
    </row>
    <row r="100" spans="1:35" ht="18.75" x14ac:dyDescent="0.2">
      <c r="A100" s="435">
        <v>98</v>
      </c>
      <c r="B100" s="441" t="s">
        <v>327</v>
      </c>
      <c r="C100" s="84" t="s">
        <v>282</v>
      </c>
      <c r="D100" s="97"/>
      <c r="E100" s="97"/>
      <c r="F100" s="97"/>
      <c r="G100" s="97"/>
      <c r="H100" s="97"/>
      <c r="I100" s="97"/>
      <c r="J100" s="97"/>
      <c r="K100" s="97"/>
      <c r="L100" s="97"/>
      <c r="M100" s="97"/>
      <c r="N100" s="97"/>
      <c r="O100" s="97"/>
      <c r="P100" s="97"/>
      <c r="Q100" s="97"/>
      <c r="R100" s="97"/>
      <c r="S100" s="97"/>
      <c r="T100" s="97"/>
      <c r="U100" s="97"/>
      <c r="V100" s="97"/>
      <c r="W100" s="98"/>
      <c r="X100" s="98"/>
      <c r="Y100" s="98"/>
      <c r="Z100" s="98"/>
      <c r="AA100" s="98"/>
      <c r="AB100" s="98"/>
      <c r="AC100" s="97"/>
      <c r="AD100" s="97"/>
      <c r="AE100" s="97"/>
      <c r="AF100" s="97"/>
      <c r="AG100" s="97"/>
      <c r="AH100" s="97"/>
      <c r="AI100" s="96">
        <f t="shared" si="3"/>
        <v>0</v>
      </c>
    </row>
    <row r="101" spans="1:35" ht="18.75" x14ac:dyDescent="0.2">
      <c r="A101" s="435">
        <v>99</v>
      </c>
      <c r="B101" s="441" t="s">
        <v>328</v>
      </c>
      <c r="C101" s="84" t="s">
        <v>282</v>
      </c>
      <c r="D101" s="97"/>
      <c r="E101" s="97"/>
      <c r="F101" s="97"/>
      <c r="G101" s="97"/>
      <c r="H101" s="97"/>
      <c r="I101" s="97"/>
      <c r="J101" s="97"/>
      <c r="K101" s="97"/>
      <c r="L101" s="97"/>
      <c r="M101" s="97"/>
      <c r="N101" s="97"/>
      <c r="O101" s="97"/>
      <c r="P101" s="97"/>
      <c r="Q101" s="97"/>
      <c r="R101" s="97"/>
      <c r="S101" s="97"/>
      <c r="T101" s="97"/>
      <c r="U101" s="98"/>
      <c r="V101" s="98"/>
      <c r="W101" s="98"/>
      <c r="X101" s="98"/>
      <c r="Y101" s="98"/>
      <c r="Z101" s="98"/>
      <c r="AA101" s="98"/>
      <c r="AB101" s="98"/>
      <c r="AC101" s="98"/>
      <c r="AD101" s="97"/>
      <c r="AE101" s="97"/>
      <c r="AF101" s="97"/>
      <c r="AG101" s="97"/>
      <c r="AH101" s="97"/>
      <c r="AI101" s="96">
        <f t="shared" si="3"/>
        <v>0</v>
      </c>
    </row>
    <row r="102" spans="1:35" ht="18.75" x14ac:dyDescent="0.2">
      <c r="A102" s="435">
        <v>100</v>
      </c>
      <c r="B102" s="441" t="s">
        <v>329</v>
      </c>
      <c r="C102" s="84" t="s">
        <v>282</v>
      </c>
      <c r="D102" s="97"/>
      <c r="E102" s="97"/>
      <c r="F102" s="97"/>
      <c r="G102" s="97"/>
      <c r="H102" s="97"/>
      <c r="I102" s="97"/>
      <c r="J102" s="97"/>
      <c r="K102" s="97"/>
      <c r="L102" s="97"/>
      <c r="M102" s="97"/>
      <c r="N102" s="97"/>
      <c r="O102" s="97"/>
      <c r="P102" s="97"/>
      <c r="Q102" s="97"/>
      <c r="R102" s="97"/>
      <c r="S102" s="97"/>
      <c r="T102" s="97"/>
      <c r="U102" s="97"/>
      <c r="V102" s="98"/>
      <c r="W102" s="98"/>
      <c r="X102" s="98"/>
      <c r="Y102" s="98"/>
      <c r="Z102" s="98"/>
      <c r="AA102" s="98"/>
      <c r="AB102" s="98"/>
      <c r="AC102" s="97"/>
      <c r="AD102" s="97"/>
      <c r="AE102" s="97"/>
      <c r="AF102" s="97"/>
      <c r="AG102" s="97"/>
      <c r="AH102" s="97"/>
      <c r="AI102" s="96">
        <f t="shared" si="3"/>
        <v>0</v>
      </c>
    </row>
    <row r="103" spans="1:35" ht="18.75" x14ac:dyDescent="0.2">
      <c r="A103" s="435">
        <v>101</v>
      </c>
      <c r="B103" s="441" t="s">
        <v>330</v>
      </c>
      <c r="C103" s="84" t="s">
        <v>282</v>
      </c>
      <c r="D103" s="97"/>
      <c r="E103" s="97"/>
      <c r="F103" s="97"/>
      <c r="G103" s="97"/>
      <c r="H103" s="97"/>
      <c r="I103" s="97"/>
      <c r="J103" s="97"/>
      <c r="K103" s="97"/>
      <c r="L103" s="97"/>
      <c r="M103" s="97"/>
      <c r="N103" s="97"/>
      <c r="O103" s="97"/>
      <c r="P103" s="97"/>
      <c r="Q103" s="97"/>
      <c r="R103" s="97"/>
      <c r="S103" s="97"/>
      <c r="T103" s="97"/>
      <c r="U103" s="97"/>
      <c r="V103" s="97"/>
      <c r="W103" s="97"/>
      <c r="X103" s="97"/>
      <c r="Y103" s="97"/>
      <c r="Z103" s="97"/>
      <c r="AA103" s="97"/>
      <c r="AB103" s="97"/>
      <c r="AC103" s="97"/>
      <c r="AD103" s="97"/>
      <c r="AE103" s="97"/>
      <c r="AF103" s="97"/>
      <c r="AG103" s="97"/>
      <c r="AH103" s="97"/>
      <c r="AI103" s="96">
        <f t="shared" si="3"/>
        <v>0</v>
      </c>
    </row>
    <row r="104" spans="1:35" ht="18.75" x14ac:dyDescent="0.2">
      <c r="A104" s="435">
        <v>102</v>
      </c>
      <c r="B104" s="441" t="s">
        <v>331</v>
      </c>
      <c r="C104" s="84" t="s">
        <v>282</v>
      </c>
      <c r="D104" s="97"/>
      <c r="E104" s="97"/>
      <c r="F104" s="97"/>
      <c r="G104" s="97"/>
      <c r="H104" s="97"/>
      <c r="I104" s="97"/>
      <c r="J104" s="97"/>
      <c r="K104" s="97"/>
      <c r="L104" s="97"/>
      <c r="M104" s="97"/>
      <c r="N104" s="97"/>
      <c r="O104" s="97"/>
      <c r="P104" s="97"/>
      <c r="Q104" s="97"/>
      <c r="R104" s="97"/>
      <c r="S104" s="97"/>
      <c r="T104" s="97"/>
      <c r="U104" s="98"/>
      <c r="V104" s="98"/>
      <c r="W104" s="98"/>
      <c r="X104" s="98"/>
      <c r="Y104" s="98"/>
      <c r="Z104" s="98"/>
      <c r="AA104" s="98"/>
      <c r="AB104" s="98"/>
      <c r="AC104" s="97"/>
      <c r="AD104" s="97"/>
      <c r="AE104" s="97"/>
      <c r="AF104" s="97"/>
      <c r="AG104" s="97"/>
      <c r="AH104" s="97"/>
      <c r="AI104" s="96">
        <f t="shared" si="3"/>
        <v>0</v>
      </c>
    </row>
    <row r="105" spans="1:35" ht="18.75" x14ac:dyDescent="0.2">
      <c r="A105" s="435">
        <v>103</v>
      </c>
      <c r="B105" s="441" t="s">
        <v>332</v>
      </c>
      <c r="C105" s="84" t="s">
        <v>282</v>
      </c>
      <c r="D105" s="97"/>
      <c r="E105" s="97"/>
      <c r="F105" s="97"/>
      <c r="G105" s="97"/>
      <c r="H105" s="97"/>
      <c r="I105" s="97"/>
      <c r="J105" s="97"/>
      <c r="K105" s="97"/>
      <c r="L105" s="97"/>
      <c r="M105" s="97"/>
      <c r="N105" s="97"/>
      <c r="O105" s="97"/>
      <c r="P105" s="97"/>
      <c r="Q105" s="97"/>
      <c r="R105" s="97"/>
      <c r="S105" s="97"/>
      <c r="T105" s="97"/>
      <c r="U105" s="98"/>
      <c r="V105" s="98"/>
      <c r="W105" s="98"/>
      <c r="X105" s="98"/>
      <c r="Y105" s="98"/>
      <c r="Z105" s="98"/>
      <c r="AA105" s="98"/>
      <c r="AB105" s="98"/>
      <c r="AC105" s="97"/>
      <c r="AD105" s="97"/>
      <c r="AE105" s="97"/>
      <c r="AF105" s="97"/>
      <c r="AG105" s="97"/>
      <c r="AH105" s="97"/>
      <c r="AI105" s="96">
        <f t="shared" si="3"/>
        <v>0</v>
      </c>
    </row>
    <row r="106" spans="1:35" ht="18.75" x14ac:dyDescent="0.2">
      <c r="A106" s="435">
        <v>104</v>
      </c>
      <c r="B106" s="441" t="s">
        <v>333</v>
      </c>
      <c r="C106" s="84" t="s">
        <v>282</v>
      </c>
      <c r="D106" s="97"/>
      <c r="E106" s="97"/>
      <c r="F106" s="97"/>
      <c r="G106" s="97"/>
      <c r="H106" s="97"/>
      <c r="I106" s="97"/>
      <c r="J106" s="97"/>
      <c r="K106" s="97"/>
      <c r="L106" s="97"/>
      <c r="M106" s="97"/>
      <c r="N106" s="97"/>
      <c r="O106" s="97"/>
      <c r="P106" s="97"/>
      <c r="Q106" s="97"/>
      <c r="R106" s="97"/>
      <c r="S106" s="97"/>
      <c r="T106" s="97"/>
      <c r="U106" s="98"/>
      <c r="V106" s="98"/>
      <c r="W106" s="98"/>
      <c r="X106" s="98"/>
      <c r="Y106" s="98"/>
      <c r="Z106" s="98"/>
      <c r="AA106" s="98"/>
      <c r="AB106" s="98"/>
      <c r="AC106" s="97"/>
      <c r="AD106" s="97"/>
      <c r="AE106" s="97"/>
      <c r="AF106" s="97"/>
      <c r="AG106" s="97"/>
      <c r="AH106" s="97"/>
      <c r="AI106" s="96">
        <f t="shared" si="3"/>
        <v>0</v>
      </c>
    </row>
    <row r="107" spans="1:35" ht="18.75" x14ac:dyDescent="0.2">
      <c r="A107" s="435">
        <v>105</v>
      </c>
      <c r="B107" s="441" t="s">
        <v>334</v>
      </c>
      <c r="C107" s="84" t="s">
        <v>282</v>
      </c>
      <c r="D107" s="98"/>
      <c r="E107" s="98"/>
      <c r="F107" s="98"/>
      <c r="G107" s="98"/>
      <c r="H107" s="97"/>
      <c r="I107" s="97"/>
      <c r="J107" s="97"/>
      <c r="K107" s="97"/>
      <c r="L107" s="97"/>
      <c r="M107" s="97"/>
      <c r="N107" s="97"/>
      <c r="O107" s="97"/>
      <c r="P107" s="97"/>
      <c r="Q107" s="97"/>
      <c r="R107" s="97"/>
      <c r="S107" s="97"/>
      <c r="T107" s="97"/>
      <c r="U107" s="98"/>
      <c r="V107" s="98"/>
      <c r="W107" s="98"/>
      <c r="X107" s="98"/>
      <c r="Y107" s="98"/>
      <c r="Z107" s="98"/>
      <c r="AA107" s="98"/>
      <c r="AB107" s="98"/>
      <c r="AC107" s="98"/>
      <c r="AD107" s="98"/>
      <c r="AE107" s="98"/>
      <c r="AF107" s="98"/>
      <c r="AG107" s="98"/>
      <c r="AH107" s="98"/>
      <c r="AI107" s="96">
        <f t="shared" si="3"/>
        <v>0</v>
      </c>
    </row>
    <row r="108" spans="1:35" ht="18.75" x14ac:dyDescent="0.2">
      <c r="A108" s="435">
        <v>106</v>
      </c>
      <c r="B108" s="441" t="s">
        <v>335</v>
      </c>
      <c r="C108" s="84" t="s">
        <v>282</v>
      </c>
      <c r="D108" s="97"/>
      <c r="E108" s="97"/>
      <c r="F108" s="97"/>
      <c r="G108" s="97"/>
      <c r="H108" s="97"/>
      <c r="I108" s="97"/>
      <c r="J108" s="97"/>
      <c r="K108" s="97"/>
      <c r="L108" s="97"/>
      <c r="M108" s="97"/>
      <c r="N108" s="97"/>
      <c r="O108" s="97"/>
      <c r="P108" s="97"/>
      <c r="Q108" s="97"/>
      <c r="R108" s="97"/>
      <c r="S108" s="97"/>
      <c r="T108" s="97"/>
      <c r="U108" s="98"/>
      <c r="V108" s="98"/>
      <c r="W108" s="98"/>
      <c r="X108" s="98"/>
      <c r="Y108" s="98"/>
      <c r="Z108" s="343"/>
      <c r="AA108" s="98"/>
      <c r="AB108" s="98"/>
      <c r="AC108" s="97"/>
      <c r="AD108" s="97"/>
      <c r="AE108" s="97"/>
      <c r="AF108" s="97"/>
      <c r="AG108" s="97"/>
      <c r="AH108" s="97"/>
      <c r="AI108" s="96">
        <f t="shared" si="3"/>
        <v>0</v>
      </c>
    </row>
    <row r="109" spans="1:35" ht="18.75" x14ac:dyDescent="0.2">
      <c r="A109" s="435">
        <v>107</v>
      </c>
      <c r="B109" s="441" t="s">
        <v>336</v>
      </c>
      <c r="C109" s="84" t="s">
        <v>282</v>
      </c>
      <c r="D109" s="97"/>
      <c r="E109" s="97"/>
      <c r="F109" s="97"/>
      <c r="G109" s="97"/>
      <c r="H109" s="97"/>
      <c r="I109" s="97"/>
      <c r="J109" s="97"/>
      <c r="K109" s="97"/>
      <c r="L109" s="97"/>
      <c r="M109" s="97"/>
      <c r="N109" s="97"/>
      <c r="O109" s="97"/>
      <c r="P109" s="97"/>
      <c r="Q109" s="97"/>
      <c r="R109" s="97"/>
      <c r="S109" s="97"/>
      <c r="T109" s="97"/>
      <c r="U109" s="97"/>
      <c r="V109" s="97"/>
      <c r="W109" s="97"/>
      <c r="X109" s="97"/>
      <c r="Y109" s="97"/>
      <c r="Z109" s="97"/>
      <c r="AA109" s="97"/>
      <c r="AB109" s="97"/>
      <c r="AC109" s="97"/>
      <c r="AD109" s="97"/>
      <c r="AE109" s="97"/>
      <c r="AF109" s="97"/>
      <c r="AG109" s="97"/>
      <c r="AH109" s="97"/>
      <c r="AI109" s="96">
        <f t="shared" si="3"/>
        <v>0</v>
      </c>
    </row>
    <row r="110" spans="1:35" ht="18.75" x14ac:dyDescent="0.2">
      <c r="A110" s="435">
        <v>108</v>
      </c>
      <c r="B110" s="441" t="s">
        <v>337</v>
      </c>
      <c r="C110" s="84" t="s">
        <v>282</v>
      </c>
      <c r="D110" s="97"/>
      <c r="E110" s="97"/>
      <c r="F110" s="97"/>
      <c r="G110" s="97"/>
      <c r="H110" s="97"/>
      <c r="I110" s="97"/>
      <c r="J110" s="97"/>
      <c r="K110" s="97"/>
      <c r="L110" s="97"/>
      <c r="M110" s="97"/>
      <c r="N110" s="97"/>
      <c r="O110" s="97"/>
      <c r="P110" s="97"/>
      <c r="Q110" s="97"/>
      <c r="R110" s="97"/>
      <c r="S110" s="97"/>
      <c r="T110" s="97"/>
      <c r="U110" s="97"/>
      <c r="V110" s="98"/>
      <c r="W110" s="98"/>
      <c r="X110" s="98"/>
      <c r="Y110" s="98"/>
      <c r="Z110" s="98"/>
      <c r="AA110" s="98"/>
      <c r="AB110" s="98"/>
      <c r="AC110" s="98"/>
      <c r="AD110" s="97"/>
      <c r="AE110" s="97"/>
      <c r="AF110" s="97"/>
      <c r="AG110" s="97"/>
      <c r="AH110" s="97"/>
      <c r="AI110" s="96">
        <f t="shared" si="3"/>
        <v>0</v>
      </c>
    </row>
    <row r="111" spans="1:35" ht="18.75" x14ac:dyDescent="0.2">
      <c r="A111" s="435">
        <v>109</v>
      </c>
      <c r="B111" s="441" t="s">
        <v>338</v>
      </c>
      <c r="C111" s="84" t="s">
        <v>282</v>
      </c>
      <c r="D111" s="97"/>
      <c r="E111" s="97"/>
      <c r="F111" s="97"/>
      <c r="G111" s="97"/>
      <c r="H111" s="97"/>
      <c r="I111" s="97"/>
      <c r="J111" s="97"/>
      <c r="K111" s="97"/>
      <c r="L111" s="97"/>
      <c r="M111" s="97"/>
      <c r="N111" s="97"/>
      <c r="O111" s="97"/>
      <c r="P111" s="97"/>
      <c r="Q111" s="97"/>
      <c r="R111" s="97"/>
      <c r="S111" s="97"/>
      <c r="T111" s="97"/>
      <c r="U111" s="97"/>
      <c r="V111" s="97"/>
      <c r="W111" s="97"/>
      <c r="X111" s="97"/>
      <c r="Y111" s="97"/>
      <c r="Z111" s="97"/>
      <c r="AA111" s="97"/>
      <c r="AB111" s="97"/>
      <c r="AC111" s="97"/>
      <c r="AD111" s="97"/>
      <c r="AE111" s="97"/>
      <c r="AF111" s="97"/>
      <c r="AG111" s="97"/>
      <c r="AH111" s="97"/>
      <c r="AI111" s="96">
        <f t="shared" si="3"/>
        <v>0</v>
      </c>
    </row>
    <row r="112" spans="1:35" ht="18.75" x14ac:dyDescent="0.2">
      <c r="A112" s="435">
        <v>110</v>
      </c>
      <c r="B112" s="441" t="s">
        <v>339</v>
      </c>
      <c r="C112" s="84" t="s">
        <v>282</v>
      </c>
      <c r="D112" s="97"/>
      <c r="E112" s="98"/>
      <c r="F112" s="98"/>
      <c r="G112" s="98"/>
      <c r="H112" s="98"/>
      <c r="I112" s="98"/>
      <c r="J112" s="98"/>
      <c r="K112" s="98"/>
      <c r="L112" s="98"/>
      <c r="M112" s="98"/>
      <c r="N112" s="98"/>
      <c r="O112" s="98"/>
      <c r="P112" s="98"/>
      <c r="Q112" s="98"/>
      <c r="R112" s="98"/>
      <c r="S112" s="98"/>
      <c r="T112" s="98"/>
      <c r="U112" s="97"/>
      <c r="V112" s="97"/>
      <c r="W112" s="97"/>
      <c r="X112" s="97"/>
      <c r="Y112" s="97"/>
      <c r="Z112" s="97"/>
      <c r="AA112" s="97"/>
      <c r="AB112" s="97"/>
      <c r="AC112" s="97"/>
      <c r="AD112" s="97"/>
      <c r="AE112" s="97"/>
      <c r="AF112" s="97"/>
      <c r="AG112" s="97"/>
      <c r="AH112" s="97"/>
      <c r="AI112" s="96">
        <f t="shared" si="3"/>
        <v>0</v>
      </c>
    </row>
    <row r="113" spans="1:35" ht="18.75" x14ac:dyDescent="0.2">
      <c r="A113" s="435">
        <v>111</v>
      </c>
      <c r="B113" s="441" t="s">
        <v>340</v>
      </c>
      <c r="C113" s="84" t="s">
        <v>282</v>
      </c>
      <c r="D113" s="97"/>
      <c r="E113" s="97"/>
      <c r="F113" s="97"/>
      <c r="G113" s="97"/>
      <c r="H113" s="97"/>
      <c r="I113" s="97"/>
      <c r="J113" s="97"/>
      <c r="K113" s="97"/>
      <c r="L113" s="97"/>
      <c r="M113" s="97"/>
      <c r="N113" s="97"/>
      <c r="O113" s="97"/>
      <c r="P113" s="97"/>
      <c r="Q113" s="97"/>
      <c r="R113" s="97"/>
      <c r="S113" s="97"/>
      <c r="T113" s="97"/>
      <c r="U113" s="98"/>
      <c r="V113" s="98"/>
      <c r="W113" s="98"/>
      <c r="X113" s="98"/>
      <c r="Y113" s="98"/>
      <c r="Z113" s="98"/>
      <c r="AA113" s="98"/>
      <c r="AB113" s="98"/>
      <c r="AC113" s="97"/>
      <c r="AD113" s="97"/>
      <c r="AE113" s="97"/>
      <c r="AF113" s="97"/>
      <c r="AG113" s="97"/>
      <c r="AH113" s="97"/>
      <c r="AI113" s="96">
        <f t="shared" si="3"/>
        <v>0</v>
      </c>
    </row>
    <row r="114" spans="1:35" ht="27" customHeight="1" x14ac:dyDescent="0.2">
      <c r="A114" s="435">
        <v>112</v>
      </c>
      <c r="B114" s="441" t="s">
        <v>341</v>
      </c>
      <c r="C114" s="84" t="s">
        <v>282</v>
      </c>
      <c r="D114" s="97"/>
      <c r="E114" s="97"/>
      <c r="F114" s="97">
        <v>24</v>
      </c>
      <c r="G114" s="97">
        <v>24</v>
      </c>
      <c r="H114" s="97">
        <v>24</v>
      </c>
      <c r="I114" s="97">
        <v>24</v>
      </c>
      <c r="J114" s="97">
        <v>24</v>
      </c>
      <c r="K114" s="97">
        <v>24</v>
      </c>
      <c r="L114" s="97">
        <v>24</v>
      </c>
      <c r="M114" s="97">
        <v>24</v>
      </c>
      <c r="N114" s="97">
        <v>24</v>
      </c>
      <c r="O114" s="97">
        <v>24</v>
      </c>
      <c r="P114" s="97">
        <v>24</v>
      </c>
      <c r="Q114" s="97">
        <v>24</v>
      </c>
      <c r="R114" s="97">
        <v>24</v>
      </c>
      <c r="S114" s="97">
        <v>13</v>
      </c>
      <c r="T114" s="97"/>
      <c r="U114" s="97"/>
      <c r="V114" s="97"/>
      <c r="W114" s="97"/>
      <c r="X114" s="97"/>
      <c r="Y114" s="97"/>
      <c r="Z114" s="97"/>
      <c r="AA114" s="97"/>
      <c r="AB114" s="97"/>
      <c r="AC114" s="97"/>
      <c r="AD114" s="97"/>
      <c r="AE114" s="97"/>
      <c r="AF114" s="97"/>
      <c r="AG114" s="97"/>
      <c r="AH114" s="97"/>
      <c r="AI114" s="96">
        <f t="shared" si="3"/>
        <v>325</v>
      </c>
    </row>
    <row r="115" spans="1:35" ht="35.25" customHeight="1" x14ac:dyDescent="0.2">
      <c r="A115" s="435">
        <v>113</v>
      </c>
      <c r="B115" s="441" t="s">
        <v>342</v>
      </c>
      <c r="C115" s="84" t="s">
        <v>282</v>
      </c>
      <c r="D115" s="97"/>
      <c r="E115" s="97"/>
      <c r="F115" s="97"/>
      <c r="G115" s="97"/>
      <c r="H115" s="97"/>
      <c r="I115" s="97"/>
      <c r="J115" s="97"/>
      <c r="K115" s="97"/>
      <c r="L115" s="97"/>
      <c r="M115" s="97"/>
      <c r="N115" s="97"/>
      <c r="O115" s="97"/>
      <c r="P115" s="97"/>
      <c r="Q115" s="97"/>
      <c r="R115" s="97"/>
      <c r="S115" s="97"/>
      <c r="T115" s="97"/>
      <c r="U115" s="98"/>
      <c r="V115" s="98"/>
      <c r="W115" s="98"/>
      <c r="X115" s="98"/>
      <c r="Y115" s="98"/>
      <c r="Z115" s="98"/>
      <c r="AA115" s="98"/>
      <c r="AB115" s="98"/>
      <c r="AC115" s="97"/>
      <c r="AD115" s="97"/>
      <c r="AE115" s="97"/>
      <c r="AF115" s="97"/>
      <c r="AG115" s="97"/>
      <c r="AH115" s="97"/>
      <c r="AI115" s="96">
        <f t="shared" si="3"/>
        <v>0</v>
      </c>
    </row>
    <row r="116" spans="1:35" ht="39" customHeight="1" x14ac:dyDescent="0.2">
      <c r="A116" s="435">
        <v>114</v>
      </c>
      <c r="B116" s="441" t="s">
        <v>343</v>
      </c>
      <c r="C116" s="84" t="s">
        <v>282</v>
      </c>
      <c r="D116" s="97"/>
      <c r="E116" s="97">
        <v>24</v>
      </c>
      <c r="F116" s="97">
        <v>24</v>
      </c>
      <c r="G116" s="97">
        <v>24</v>
      </c>
      <c r="H116" s="97">
        <v>24</v>
      </c>
      <c r="I116" s="97">
        <v>24</v>
      </c>
      <c r="J116" s="97">
        <v>24</v>
      </c>
      <c r="K116" s="97">
        <v>24</v>
      </c>
      <c r="L116" s="97">
        <v>24</v>
      </c>
      <c r="M116" s="97">
        <v>24</v>
      </c>
      <c r="N116" s="97">
        <v>24</v>
      </c>
      <c r="O116" s="97">
        <v>24</v>
      </c>
      <c r="P116" s="97">
        <v>24</v>
      </c>
      <c r="Q116" s="97">
        <v>24</v>
      </c>
      <c r="R116" s="97">
        <v>24</v>
      </c>
      <c r="S116" s="97">
        <v>24</v>
      </c>
      <c r="T116" s="97">
        <v>24</v>
      </c>
      <c r="U116" s="97">
        <v>24</v>
      </c>
      <c r="V116" s="97">
        <v>24</v>
      </c>
      <c r="W116" s="97">
        <v>24</v>
      </c>
      <c r="X116" s="98">
        <v>24</v>
      </c>
      <c r="Y116" s="98">
        <v>24</v>
      </c>
      <c r="Z116" s="98">
        <v>24</v>
      </c>
      <c r="AA116" s="98">
        <v>24</v>
      </c>
      <c r="AB116" s="98">
        <v>24</v>
      </c>
      <c r="AC116" s="98">
        <v>24</v>
      </c>
      <c r="AD116" s="98">
        <v>24</v>
      </c>
      <c r="AE116" s="98">
        <v>24</v>
      </c>
      <c r="AF116" s="97">
        <v>24</v>
      </c>
      <c r="AG116" s="97">
        <v>24</v>
      </c>
      <c r="AH116" s="97"/>
      <c r="AI116" s="96">
        <f t="shared" si="3"/>
        <v>696</v>
      </c>
    </row>
    <row r="117" spans="1:35" ht="18.75" x14ac:dyDescent="0.2">
      <c r="A117" s="435">
        <v>115</v>
      </c>
      <c r="B117" s="441" t="s">
        <v>344</v>
      </c>
      <c r="C117" s="84" t="s">
        <v>282</v>
      </c>
      <c r="D117" s="97"/>
      <c r="E117" s="97"/>
      <c r="F117" s="97"/>
      <c r="G117" s="97"/>
      <c r="H117" s="97"/>
      <c r="I117" s="97"/>
      <c r="J117" s="97"/>
      <c r="K117" s="97"/>
      <c r="L117" s="97"/>
      <c r="M117" s="97"/>
      <c r="N117" s="97"/>
      <c r="O117" s="97"/>
      <c r="P117" s="97"/>
      <c r="Q117" s="97"/>
      <c r="R117" s="97"/>
      <c r="S117" s="97"/>
      <c r="T117" s="97"/>
      <c r="U117" s="98"/>
      <c r="V117" s="98"/>
      <c r="W117" s="98"/>
      <c r="X117" s="98"/>
      <c r="Y117" s="98"/>
      <c r="Z117" s="98"/>
      <c r="AA117" s="98"/>
      <c r="AB117" s="98"/>
      <c r="AC117" s="97"/>
      <c r="AD117" s="97"/>
      <c r="AE117" s="97"/>
      <c r="AF117" s="97"/>
      <c r="AG117" s="97"/>
      <c r="AH117" s="97"/>
      <c r="AI117" s="96">
        <f t="shared" si="3"/>
        <v>0</v>
      </c>
    </row>
    <row r="118" spans="1:35" ht="18.75" x14ac:dyDescent="0.2">
      <c r="A118" s="435">
        <v>116</v>
      </c>
      <c r="B118" s="441" t="s">
        <v>345</v>
      </c>
      <c r="C118" s="84" t="s">
        <v>282</v>
      </c>
      <c r="D118" s="97"/>
      <c r="E118" s="97"/>
      <c r="F118" s="97"/>
      <c r="G118" s="97"/>
      <c r="H118" s="97"/>
      <c r="I118" s="97"/>
      <c r="J118" s="97"/>
      <c r="K118" s="97"/>
      <c r="L118" s="97"/>
      <c r="M118" s="97"/>
      <c r="N118" s="97"/>
      <c r="O118" s="97"/>
      <c r="P118" s="97"/>
      <c r="Q118" s="97"/>
      <c r="R118" s="97"/>
      <c r="S118" s="97"/>
      <c r="T118" s="97"/>
      <c r="U118" s="98"/>
      <c r="V118" s="98"/>
      <c r="W118" s="98"/>
      <c r="X118" s="98"/>
      <c r="Y118" s="98"/>
      <c r="Z118" s="98"/>
      <c r="AA118" s="98"/>
      <c r="AB118" s="98"/>
      <c r="AC118" s="97"/>
      <c r="AD118" s="97"/>
      <c r="AE118" s="97"/>
      <c r="AF118" s="97"/>
      <c r="AG118" s="97"/>
      <c r="AH118" s="97"/>
      <c r="AI118" s="96">
        <f t="shared" si="3"/>
        <v>0</v>
      </c>
    </row>
    <row r="119" spans="1:35" ht="18.75" x14ac:dyDescent="0.2">
      <c r="A119" s="435">
        <v>117</v>
      </c>
      <c r="B119" s="441" t="s">
        <v>346</v>
      </c>
      <c r="C119" s="84" t="s">
        <v>282</v>
      </c>
      <c r="D119" s="97"/>
      <c r="E119" s="97"/>
      <c r="F119" s="97"/>
      <c r="G119" s="97"/>
      <c r="H119" s="97"/>
      <c r="I119" s="97"/>
      <c r="J119" s="97"/>
      <c r="K119" s="97"/>
      <c r="L119" s="97"/>
      <c r="M119" s="97"/>
      <c r="N119" s="97"/>
      <c r="O119" s="97"/>
      <c r="P119" s="97"/>
      <c r="Q119" s="97"/>
      <c r="R119" s="97"/>
      <c r="S119" s="97"/>
      <c r="T119" s="97"/>
      <c r="U119" s="98"/>
      <c r="V119" s="98"/>
      <c r="W119" s="98"/>
      <c r="X119" s="98"/>
      <c r="Y119" s="98"/>
      <c r="Z119" s="98"/>
      <c r="AA119" s="98"/>
      <c r="AB119" s="98"/>
      <c r="AC119" s="97"/>
      <c r="AD119" s="97"/>
      <c r="AE119" s="97"/>
      <c r="AF119" s="97"/>
      <c r="AG119" s="97"/>
      <c r="AH119" s="97"/>
      <c r="AI119" s="96">
        <f t="shared" si="3"/>
        <v>0</v>
      </c>
    </row>
    <row r="120" spans="1:35" ht="18.75" x14ac:dyDescent="0.2">
      <c r="A120" s="435">
        <v>118</v>
      </c>
      <c r="B120" s="441" t="s">
        <v>347</v>
      </c>
      <c r="C120" s="84" t="s">
        <v>282</v>
      </c>
      <c r="D120" s="97"/>
      <c r="E120" s="97"/>
      <c r="F120" s="97"/>
      <c r="G120" s="97"/>
      <c r="H120" s="97"/>
      <c r="I120" s="97"/>
      <c r="J120" s="97"/>
      <c r="K120" s="97"/>
      <c r="L120" s="97"/>
      <c r="M120" s="97"/>
      <c r="N120" s="97"/>
      <c r="O120" s="97"/>
      <c r="P120" s="97"/>
      <c r="Q120" s="97"/>
      <c r="R120" s="97"/>
      <c r="S120" s="97"/>
      <c r="T120" s="97"/>
      <c r="U120" s="98"/>
      <c r="V120" s="98"/>
      <c r="W120" s="98"/>
      <c r="X120" s="98"/>
      <c r="Y120" s="98"/>
      <c r="Z120" s="98"/>
      <c r="AA120" s="98"/>
      <c r="AB120" s="98"/>
      <c r="AC120" s="97"/>
      <c r="AD120" s="97"/>
      <c r="AE120" s="97"/>
      <c r="AF120" s="97"/>
      <c r="AG120" s="97"/>
      <c r="AH120" s="97"/>
      <c r="AI120" s="96">
        <f t="shared" si="3"/>
        <v>0</v>
      </c>
    </row>
    <row r="121" spans="1:35" ht="18.75" x14ac:dyDescent="0.2">
      <c r="A121" s="435">
        <v>119</v>
      </c>
      <c r="B121" s="441" t="s">
        <v>348</v>
      </c>
      <c r="C121" s="84" t="s">
        <v>282</v>
      </c>
      <c r="D121" s="97"/>
      <c r="E121" s="97"/>
      <c r="F121" s="97"/>
      <c r="G121" s="97"/>
      <c r="H121" s="97"/>
      <c r="I121" s="97"/>
      <c r="J121" s="97"/>
      <c r="K121" s="97"/>
      <c r="L121" s="97"/>
      <c r="M121" s="97"/>
      <c r="N121" s="97"/>
      <c r="O121" s="97"/>
      <c r="P121" s="97"/>
      <c r="Q121" s="97"/>
      <c r="R121" s="97"/>
      <c r="S121" s="97"/>
      <c r="T121" s="97"/>
      <c r="U121" s="98"/>
      <c r="V121" s="98"/>
      <c r="W121" s="98"/>
      <c r="X121" s="98"/>
      <c r="Y121" s="98"/>
      <c r="Z121" s="98"/>
      <c r="AA121" s="98"/>
      <c r="AB121" s="98"/>
      <c r="AC121" s="97"/>
      <c r="AD121" s="97"/>
      <c r="AE121" s="97"/>
      <c r="AF121" s="97"/>
      <c r="AG121" s="97"/>
      <c r="AH121" s="97"/>
      <c r="AI121" s="96">
        <f t="shared" si="3"/>
        <v>0</v>
      </c>
    </row>
    <row r="122" spans="1:35" ht="18.75" x14ac:dyDescent="0.2">
      <c r="A122" s="435">
        <v>120</v>
      </c>
      <c r="B122" s="441" t="s">
        <v>349</v>
      </c>
      <c r="C122" s="84" t="s">
        <v>282</v>
      </c>
      <c r="D122" s="97"/>
      <c r="E122" s="97"/>
      <c r="F122" s="97"/>
      <c r="G122" s="97"/>
      <c r="H122" s="97"/>
      <c r="I122" s="97"/>
      <c r="J122" s="97"/>
      <c r="K122" s="97"/>
      <c r="L122" s="97"/>
      <c r="M122" s="97"/>
      <c r="N122" s="97"/>
      <c r="O122" s="97"/>
      <c r="P122" s="97"/>
      <c r="Q122" s="97"/>
      <c r="R122" s="97"/>
      <c r="S122" s="97"/>
      <c r="T122" s="97"/>
      <c r="U122" s="98"/>
      <c r="V122" s="98"/>
      <c r="W122" s="98"/>
      <c r="X122" s="98"/>
      <c r="Y122" s="98"/>
      <c r="Z122" s="98"/>
      <c r="AA122" s="98"/>
      <c r="AB122" s="98"/>
      <c r="AC122" s="97"/>
      <c r="AD122" s="97"/>
      <c r="AE122" s="97"/>
      <c r="AF122" s="97"/>
      <c r="AG122" s="97"/>
      <c r="AH122" s="97"/>
      <c r="AI122" s="96">
        <f t="shared" si="3"/>
        <v>0</v>
      </c>
    </row>
    <row r="123" spans="1:35" ht="18.75" x14ac:dyDescent="0.2">
      <c r="A123" s="435">
        <v>121</v>
      </c>
      <c r="B123" s="441" t="s">
        <v>350</v>
      </c>
      <c r="C123" s="84" t="s">
        <v>282</v>
      </c>
      <c r="D123" s="97"/>
      <c r="E123" s="97"/>
      <c r="F123" s="97"/>
      <c r="G123" s="97"/>
      <c r="H123" s="97"/>
      <c r="I123" s="97"/>
      <c r="J123" s="97"/>
      <c r="K123" s="97"/>
      <c r="L123" s="97"/>
      <c r="M123" s="97"/>
      <c r="N123" s="97"/>
      <c r="O123" s="97"/>
      <c r="P123" s="97"/>
      <c r="Q123" s="97"/>
      <c r="R123" s="97"/>
      <c r="S123" s="97"/>
      <c r="T123" s="97"/>
      <c r="U123" s="98"/>
      <c r="V123" s="98"/>
      <c r="W123" s="98"/>
      <c r="X123" s="98"/>
      <c r="Y123" s="98"/>
      <c r="Z123" s="98"/>
      <c r="AA123" s="98"/>
      <c r="AB123" s="98"/>
      <c r="AC123" s="97"/>
      <c r="AD123" s="97"/>
      <c r="AE123" s="97"/>
      <c r="AF123" s="97"/>
      <c r="AG123" s="97"/>
      <c r="AH123" s="97"/>
      <c r="AI123" s="96">
        <f t="shared" si="3"/>
        <v>0</v>
      </c>
    </row>
    <row r="124" spans="1:35" ht="18.75" x14ac:dyDescent="0.2">
      <c r="A124" s="435">
        <v>122</v>
      </c>
      <c r="B124" s="441" t="s">
        <v>351</v>
      </c>
      <c r="C124" s="84" t="s">
        <v>282</v>
      </c>
      <c r="D124" s="97"/>
      <c r="E124" s="97"/>
      <c r="F124" s="97"/>
      <c r="G124" s="97"/>
      <c r="H124" s="97"/>
      <c r="I124" s="97"/>
      <c r="J124" s="97"/>
      <c r="K124" s="97"/>
      <c r="L124" s="97"/>
      <c r="M124" s="97"/>
      <c r="N124" s="97"/>
      <c r="O124" s="97"/>
      <c r="P124" s="97"/>
      <c r="Q124" s="97"/>
      <c r="R124" s="97"/>
      <c r="S124" s="97"/>
      <c r="T124" s="97"/>
      <c r="U124" s="98"/>
      <c r="V124" s="98"/>
      <c r="W124" s="98"/>
      <c r="X124" s="98"/>
      <c r="Y124" s="98"/>
      <c r="Z124" s="98"/>
      <c r="AA124" s="98"/>
      <c r="AB124" s="98"/>
      <c r="AC124" s="97"/>
      <c r="AD124" s="97"/>
      <c r="AE124" s="97"/>
      <c r="AF124" s="97"/>
      <c r="AG124" s="97"/>
      <c r="AH124" s="97"/>
      <c r="AI124" s="96">
        <f t="shared" si="3"/>
        <v>0</v>
      </c>
    </row>
    <row r="125" spans="1:35" ht="18.75" x14ac:dyDescent="0.2">
      <c r="A125" s="435">
        <v>123</v>
      </c>
      <c r="B125" s="441" t="s">
        <v>352</v>
      </c>
      <c r="C125" s="84" t="s">
        <v>282</v>
      </c>
      <c r="D125" s="97"/>
      <c r="E125" s="97"/>
      <c r="F125" s="97"/>
      <c r="G125" s="97"/>
      <c r="H125" s="97"/>
      <c r="I125" s="97"/>
      <c r="J125" s="97"/>
      <c r="K125" s="97"/>
      <c r="L125" s="97"/>
      <c r="M125" s="97"/>
      <c r="N125" s="97"/>
      <c r="O125" s="97"/>
      <c r="P125" s="97"/>
      <c r="Q125" s="97"/>
      <c r="R125" s="97"/>
      <c r="S125" s="97"/>
      <c r="T125" s="97"/>
      <c r="U125" s="98"/>
      <c r="V125" s="98"/>
      <c r="W125" s="98"/>
      <c r="X125" s="98"/>
      <c r="Y125" s="98"/>
      <c r="Z125" s="98"/>
      <c r="AA125" s="98"/>
      <c r="AB125" s="98"/>
      <c r="AC125" s="97"/>
      <c r="AD125" s="97"/>
      <c r="AE125" s="97"/>
      <c r="AF125" s="97"/>
      <c r="AG125" s="97"/>
      <c r="AH125" s="97"/>
      <c r="AI125" s="96">
        <f t="shared" si="3"/>
        <v>0</v>
      </c>
    </row>
    <row r="126" spans="1:35" ht="18.75" x14ac:dyDescent="0.2">
      <c r="A126" s="435">
        <v>124</v>
      </c>
      <c r="B126" s="441" t="s">
        <v>353</v>
      </c>
      <c r="C126" s="84" t="s">
        <v>282</v>
      </c>
      <c r="D126" s="97"/>
      <c r="E126" s="97"/>
      <c r="F126" s="97"/>
      <c r="G126" s="97"/>
      <c r="H126" s="97"/>
      <c r="I126" s="97"/>
      <c r="J126" s="97"/>
      <c r="K126" s="97"/>
      <c r="L126" s="97"/>
      <c r="M126" s="97"/>
      <c r="N126" s="97"/>
      <c r="O126" s="97"/>
      <c r="P126" s="97"/>
      <c r="Q126" s="97"/>
      <c r="R126" s="97"/>
      <c r="S126" s="97"/>
      <c r="T126" s="97"/>
      <c r="U126" s="98"/>
      <c r="V126" s="98"/>
      <c r="W126" s="98"/>
      <c r="X126" s="98"/>
      <c r="Y126" s="98"/>
      <c r="Z126" s="98"/>
      <c r="AA126" s="98"/>
      <c r="AB126" s="98"/>
      <c r="AC126" s="97"/>
      <c r="AD126" s="97"/>
      <c r="AE126" s="97"/>
      <c r="AF126" s="97"/>
      <c r="AG126" s="97"/>
      <c r="AH126" s="97"/>
      <c r="AI126" s="96">
        <f t="shared" si="3"/>
        <v>0</v>
      </c>
    </row>
    <row r="127" spans="1:35" ht="18.75" x14ac:dyDescent="0.25">
      <c r="A127" s="435">
        <v>125</v>
      </c>
      <c r="B127" s="88" t="s">
        <v>354</v>
      </c>
      <c r="C127" s="84" t="s">
        <v>282</v>
      </c>
      <c r="D127" s="97"/>
      <c r="E127" s="97"/>
      <c r="F127" s="97"/>
      <c r="G127" s="97"/>
      <c r="H127" s="97"/>
      <c r="I127" s="97"/>
      <c r="J127" s="97"/>
      <c r="K127" s="97"/>
      <c r="L127" s="97"/>
      <c r="M127" s="97"/>
      <c r="N127" s="97"/>
      <c r="O127" s="97"/>
      <c r="P127" s="97"/>
      <c r="Q127" s="97"/>
      <c r="R127" s="97"/>
      <c r="S127" s="97"/>
      <c r="T127" s="97"/>
      <c r="U127" s="98"/>
      <c r="V127" s="98"/>
      <c r="W127" s="98"/>
      <c r="X127" s="98"/>
      <c r="Y127" s="98"/>
      <c r="Z127" s="98"/>
      <c r="AA127" s="98"/>
      <c r="AB127" s="98"/>
      <c r="AC127" s="97"/>
      <c r="AD127" s="97"/>
      <c r="AE127" s="97"/>
      <c r="AF127" s="97"/>
      <c r="AG127" s="97"/>
      <c r="AH127" s="97"/>
      <c r="AI127" s="96">
        <f t="shared" si="3"/>
        <v>0</v>
      </c>
    </row>
    <row r="128" spans="1:35" ht="18.75" x14ac:dyDescent="0.25">
      <c r="A128" s="435">
        <v>126</v>
      </c>
      <c r="B128" s="88" t="s">
        <v>355</v>
      </c>
      <c r="C128" s="84" t="s">
        <v>282</v>
      </c>
      <c r="D128" s="97"/>
      <c r="E128" s="97"/>
      <c r="F128" s="97"/>
      <c r="G128" s="97"/>
      <c r="H128" s="97"/>
      <c r="I128" s="97"/>
      <c r="J128" s="97"/>
      <c r="K128" s="97"/>
      <c r="L128" s="97"/>
      <c r="M128" s="97"/>
      <c r="N128" s="97"/>
      <c r="O128" s="97"/>
      <c r="P128" s="97"/>
      <c r="Q128" s="97"/>
      <c r="R128" s="97"/>
      <c r="S128" s="97"/>
      <c r="T128" s="97"/>
      <c r="U128" s="98"/>
      <c r="V128" s="98"/>
      <c r="W128" s="98"/>
      <c r="X128" s="98"/>
      <c r="Y128" s="98"/>
      <c r="Z128" s="98"/>
      <c r="AA128" s="98"/>
      <c r="AB128" s="98"/>
      <c r="AC128" s="97"/>
      <c r="AD128" s="97"/>
      <c r="AE128" s="97"/>
      <c r="AF128" s="97"/>
      <c r="AG128" s="97"/>
      <c r="AH128" s="97"/>
      <c r="AI128" s="96">
        <f t="shared" si="3"/>
        <v>0</v>
      </c>
    </row>
    <row r="129" spans="1:35" ht="18.75" x14ac:dyDescent="0.2">
      <c r="A129" s="435">
        <v>127</v>
      </c>
      <c r="B129" s="441" t="s">
        <v>356</v>
      </c>
      <c r="C129" s="84" t="s">
        <v>282</v>
      </c>
      <c r="D129" s="97"/>
      <c r="E129" s="97"/>
      <c r="F129" s="97"/>
      <c r="G129" s="97"/>
      <c r="H129" s="97"/>
      <c r="I129" s="97"/>
      <c r="J129" s="97"/>
      <c r="K129" s="97"/>
      <c r="L129" s="97"/>
      <c r="M129" s="97"/>
      <c r="N129" s="97"/>
      <c r="O129" s="97"/>
      <c r="P129" s="97"/>
      <c r="Q129" s="97"/>
      <c r="R129" s="97"/>
      <c r="S129" s="97"/>
      <c r="T129" s="97"/>
      <c r="U129" s="98"/>
      <c r="V129" s="98"/>
      <c r="W129" s="98"/>
      <c r="X129" s="98"/>
      <c r="Y129" s="98"/>
      <c r="Z129" s="98"/>
      <c r="AA129" s="98"/>
      <c r="AB129" s="98"/>
      <c r="AC129" s="97"/>
      <c r="AD129" s="97"/>
      <c r="AE129" s="97"/>
      <c r="AF129" s="97"/>
      <c r="AG129" s="97"/>
      <c r="AH129" s="97"/>
      <c r="AI129" s="96">
        <f t="shared" si="3"/>
        <v>0</v>
      </c>
    </row>
    <row r="130" spans="1:35" ht="18.75" x14ac:dyDescent="0.2">
      <c r="A130" s="435">
        <v>128</v>
      </c>
      <c r="B130" s="441" t="s">
        <v>357</v>
      </c>
      <c r="C130" s="84" t="s">
        <v>282</v>
      </c>
      <c r="D130" s="97"/>
      <c r="E130" s="97"/>
      <c r="F130" s="97"/>
      <c r="G130" s="97"/>
      <c r="H130" s="97"/>
      <c r="I130" s="97"/>
      <c r="J130" s="97"/>
      <c r="K130" s="97"/>
      <c r="L130" s="97"/>
      <c r="M130" s="97"/>
      <c r="N130" s="97"/>
      <c r="O130" s="97"/>
      <c r="P130" s="97"/>
      <c r="Q130" s="97"/>
      <c r="R130" s="97"/>
      <c r="S130" s="97"/>
      <c r="T130" s="97"/>
      <c r="U130" s="98"/>
      <c r="V130" s="98"/>
      <c r="W130" s="98"/>
      <c r="X130" s="98"/>
      <c r="Y130" s="98"/>
      <c r="Z130" s="98"/>
      <c r="AA130" s="98"/>
      <c r="AB130" s="98"/>
      <c r="AC130" s="97"/>
      <c r="AD130" s="97"/>
      <c r="AE130" s="97"/>
      <c r="AF130" s="97"/>
      <c r="AG130" s="97"/>
      <c r="AH130" s="97"/>
      <c r="AI130" s="96">
        <f t="shared" si="3"/>
        <v>0</v>
      </c>
    </row>
    <row r="131" spans="1:35" ht="18.75" x14ac:dyDescent="0.2">
      <c r="A131" s="435">
        <v>129</v>
      </c>
      <c r="B131" s="441" t="s">
        <v>358</v>
      </c>
      <c r="C131" s="84" t="s">
        <v>282</v>
      </c>
      <c r="D131" s="98"/>
      <c r="E131" s="98"/>
      <c r="F131" s="97"/>
      <c r="G131" s="97"/>
      <c r="H131" s="97"/>
      <c r="I131" s="97"/>
      <c r="J131" s="97"/>
      <c r="K131" s="97"/>
      <c r="L131" s="97"/>
      <c r="M131" s="97"/>
      <c r="N131" s="97"/>
      <c r="O131" s="97"/>
      <c r="P131" s="97"/>
      <c r="Q131" s="97"/>
      <c r="R131" s="97"/>
      <c r="S131" s="97"/>
      <c r="T131" s="97"/>
      <c r="U131" s="97"/>
      <c r="V131" s="97"/>
      <c r="W131" s="98"/>
      <c r="X131" s="98"/>
      <c r="Y131" s="98"/>
      <c r="Z131" s="98"/>
      <c r="AA131" s="98"/>
      <c r="AB131" s="98"/>
      <c r="AC131" s="98"/>
      <c r="AD131" s="98"/>
      <c r="AE131" s="98"/>
      <c r="AF131" s="98"/>
      <c r="AG131" s="98"/>
      <c r="AH131" s="98"/>
      <c r="AI131" s="96">
        <f t="shared" si="3"/>
        <v>0</v>
      </c>
    </row>
    <row r="132" spans="1:35" ht="18.75" x14ac:dyDescent="0.2">
      <c r="A132" s="435">
        <v>130</v>
      </c>
      <c r="B132" s="441" t="s">
        <v>359</v>
      </c>
      <c r="C132" s="84" t="s">
        <v>282</v>
      </c>
      <c r="D132" s="97"/>
      <c r="E132" s="97"/>
      <c r="F132" s="97"/>
      <c r="G132" s="97"/>
      <c r="H132" s="97"/>
      <c r="I132" s="97"/>
      <c r="J132" s="97"/>
      <c r="K132" s="97"/>
      <c r="L132" s="97"/>
      <c r="M132" s="97"/>
      <c r="N132" s="97"/>
      <c r="O132" s="97"/>
      <c r="P132" s="97"/>
      <c r="Q132" s="97"/>
      <c r="R132" s="97"/>
      <c r="S132" s="97"/>
      <c r="T132" s="97"/>
      <c r="U132" s="98"/>
      <c r="V132" s="98"/>
      <c r="W132" s="98"/>
      <c r="X132" s="98"/>
      <c r="Y132" s="98"/>
      <c r="Z132" s="98"/>
      <c r="AA132" s="98"/>
      <c r="AB132" s="98"/>
      <c r="AC132" s="97"/>
      <c r="AD132" s="97"/>
      <c r="AE132" s="97"/>
      <c r="AF132" s="97"/>
      <c r="AG132" s="97"/>
      <c r="AH132" s="97"/>
      <c r="AI132" s="96">
        <f t="shared" si="3"/>
        <v>0</v>
      </c>
    </row>
    <row r="133" spans="1:35" ht="18.75" x14ac:dyDescent="0.2">
      <c r="A133" s="435">
        <v>131</v>
      </c>
      <c r="B133" s="441" t="s">
        <v>360</v>
      </c>
      <c r="C133" s="84" t="s">
        <v>282</v>
      </c>
      <c r="D133" s="97"/>
      <c r="E133" s="97"/>
      <c r="F133" s="97"/>
      <c r="G133" s="97"/>
      <c r="H133" s="97"/>
      <c r="I133" s="97"/>
      <c r="J133" s="97"/>
      <c r="K133" s="97"/>
      <c r="L133" s="97"/>
      <c r="M133" s="97"/>
      <c r="N133" s="97"/>
      <c r="O133" s="97"/>
      <c r="P133" s="97"/>
      <c r="Q133" s="97"/>
      <c r="R133" s="97"/>
      <c r="S133" s="97"/>
      <c r="T133" s="97"/>
      <c r="U133" s="98"/>
      <c r="V133" s="98"/>
      <c r="W133" s="98"/>
      <c r="X133" s="98"/>
      <c r="Y133" s="98"/>
      <c r="Z133" s="98"/>
      <c r="AA133" s="98"/>
      <c r="AB133" s="98"/>
      <c r="AC133" s="97"/>
      <c r="AD133" s="97"/>
      <c r="AE133" s="97"/>
      <c r="AF133" s="97"/>
      <c r="AG133" s="97"/>
      <c r="AH133" s="97"/>
      <c r="AI133" s="96">
        <f t="shared" si="3"/>
        <v>0</v>
      </c>
    </row>
    <row r="134" spans="1:35" ht="18.75" x14ac:dyDescent="0.2">
      <c r="A134" s="435">
        <v>132</v>
      </c>
      <c r="B134" s="441" t="s">
        <v>361</v>
      </c>
      <c r="C134" s="84" t="s">
        <v>282</v>
      </c>
      <c r="D134" s="98"/>
      <c r="E134" s="97"/>
      <c r="F134" s="97"/>
      <c r="G134" s="97"/>
      <c r="H134" s="97"/>
      <c r="I134" s="97"/>
      <c r="J134" s="97"/>
      <c r="K134" s="97"/>
      <c r="L134" s="97"/>
      <c r="M134" s="97"/>
      <c r="N134" s="97"/>
      <c r="O134" s="97"/>
      <c r="P134" s="97"/>
      <c r="Q134" s="97"/>
      <c r="R134" s="97"/>
      <c r="S134" s="97"/>
      <c r="T134" s="97"/>
      <c r="U134" s="98"/>
      <c r="V134" s="98"/>
      <c r="W134" s="98"/>
      <c r="X134" s="98"/>
      <c r="Y134" s="98"/>
      <c r="Z134" s="98"/>
      <c r="AA134" s="98"/>
      <c r="AB134" s="98"/>
      <c r="AC134" s="98"/>
      <c r="AD134" s="98"/>
      <c r="AE134" s="98"/>
      <c r="AF134" s="98"/>
      <c r="AG134" s="98"/>
      <c r="AH134" s="98"/>
      <c r="AI134" s="96">
        <f t="shared" si="3"/>
        <v>0</v>
      </c>
    </row>
    <row r="135" spans="1:35" ht="18.75" x14ac:dyDescent="0.2">
      <c r="A135" s="435">
        <v>133</v>
      </c>
      <c r="B135" s="442" t="s">
        <v>362</v>
      </c>
      <c r="C135" s="84" t="s">
        <v>363</v>
      </c>
      <c r="D135" s="97"/>
      <c r="E135" s="97"/>
      <c r="F135" s="97"/>
      <c r="G135" s="97"/>
      <c r="H135" s="97"/>
      <c r="I135" s="97"/>
      <c r="J135" s="97"/>
      <c r="K135" s="97"/>
      <c r="L135" s="97"/>
      <c r="M135" s="97"/>
      <c r="N135" s="97"/>
      <c r="O135" s="97"/>
      <c r="P135" s="97"/>
      <c r="Q135" s="97"/>
      <c r="R135" s="97"/>
      <c r="S135" s="97"/>
      <c r="T135" s="97"/>
      <c r="U135" s="98"/>
      <c r="V135" s="98"/>
      <c r="W135" s="98"/>
      <c r="X135" s="98"/>
      <c r="Y135" s="98"/>
      <c r="Z135" s="98"/>
      <c r="AA135" s="98"/>
      <c r="AB135" s="98"/>
      <c r="AC135" s="97"/>
      <c r="AD135" s="97"/>
      <c r="AE135" s="97"/>
      <c r="AF135" s="97"/>
      <c r="AG135" s="97"/>
      <c r="AH135" s="97"/>
      <c r="AI135" s="96">
        <f t="shared" si="3"/>
        <v>0</v>
      </c>
    </row>
    <row r="136" spans="1:35" ht="18.75" x14ac:dyDescent="0.2">
      <c r="A136" s="435">
        <v>134</v>
      </c>
      <c r="B136" s="442" t="s">
        <v>364</v>
      </c>
      <c r="C136" s="84" t="s">
        <v>363</v>
      </c>
      <c r="D136" s="97"/>
      <c r="E136" s="97"/>
      <c r="F136" s="97"/>
      <c r="G136" s="97"/>
      <c r="H136" s="97"/>
      <c r="I136" s="97"/>
      <c r="J136" s="97"/>
      <c r="K136" s="97"/>
      <c r="L136" s="97"/>
      <c r="M136" s="97"/>
      <c r="N136" s="97"/>
      <c r="O136" s="97"/>
      <c r="P136" s="97"/>
      <c r="Q136" s="97"/>
      <c r="R136" s="97"/>
      <c r="S136" s="97"/>
      <c r="T136" s="97"/>
      <c r="U136" s="98"/>
      <c r="V136" s="98"/>
      <c r="W136" s="98"/>
      <c r="X136" s="98"/>
      <c r="Y136" s="98"/>
      <c r="Z136" s="98"/>
      <c r="AA136" s="98"/>
      <c r="AB136" s="98"/>
      <c r="AC136" s="97"/>
      <c r="AD136" s="97"/>
      <c r="AE136" s="97"/>
      <c r="AF136" s="97"/>
      <c r="AG136" s="97"/>
      <c r="AH136" s="97"/>
      <c r="AI136" s="96">
        <f t="shared" si="3"/>
        <v>0</v>
      </c>
    </row>
    <row r="137" spans="1:35" ht="18.75" x14ac:dyDescent="0.2">
      <c r="A137" s="435">
        <v>135</v>
      </c>
      <c r="B137" s="442" t="s">
        <v>365</v>
      </c>
      <c r="C137" s="84" t="s">
        <v>363</v>
      </c>
      <c r="D137" s="97"/>
      <c r="E137" s="97"/>
      <c r="F137" s="97"/>
      <c r="G137" s="97"/>
      <c r="H137" s="97"/>
      <c r="I137" s="97"/>
      <c r="J137" s="97"/>
      <c r="K137" s="97"/>
      <c r="L137" s="97"/>
      <c r="M137" s="97"/>
      <c r="N137" s="97"/>
      <c r="O137" s="97"/>
      <c r="P137" s="97"/>
      <c r="Q137" s="97"/>
      <c r="R137" s="97"/>
      <c r="S137" s="97"/>
      <c r="T137" s="97"/>
      <c r="U137" s="98"/>
      <c r="V137" s="98"/>
      <c r="W137" s="98"/>
      <c r="X137" s="98"/>
      <c r="Y137" s="98"/>
      <c r="Z137" s="98"/>
      <c r="AA137" s="98"/>
      <c r="AB137" s="98"/>
      <c r="AC137" s="97"/>
      <c r="AD137" s="97"/>
      <c r="AE137" s="97"/>
      <c r="AF137" s="97"/>
      <c r="AG137" s="97"/>
      <c r="AH137" s="97"/>
      <c r="AI137" s="96">
        <f t="shared" si="3"/>
        <v>0</v>
      </c>
    </row>
    <row r="138" spans="1:35" ht="18.75" x14ac:dyDescent="0.2">
      <c r="A138" s="435">
        <v>136</v>
      </c>
      <c r="B138" s="443" t="s">
        <v>366</v>
      </c>
      <c r="C138" s="84" t="s">
        <v>363</v>
      </c>
      <c r="D138" s="97"/>
      <c r="E138" s="97"/>
      <c r="F138" s="97"/>
      <c r="G138" s="97"/>
      <c r="H138" s="97"/>
      <c r="I138" s="97"/>
      <c r="J138" s="97"/>
      <c r="K138" s="97"/>
      <c r="L138" s="97"/>
      <c r="M138" s="97"/>
      <c r="N138" s="97"/>
      <c r="O138" s="97"/>
      <c r="P138" s="97"/>
      <c r="Q138" s="97"/>
      <c r="R138" s="97"/>
      <c r="S138" s="97"/>
      <c r="T138" s="97"/>
      <c r="U138" s="97"/>
      <c r="V138" s="97"/>
      <c r="W138" s="97"/>
      <c r="X138" s="97"/>
      <c r="Y138" s="97"/>
      <c r="Z138" s="97"/>
      <c r="AA138" s="97"/>
      <c r="AB138" s="97"/>
      <c r="AC138" s="97"/>
      <c r="AD138" s="97"/>
      <c r="AE138" s="97"/>
      <c r="AF138" s="97"/>
      <c r="AG138" s="97"/>
      <c r="AH138" s="97"/>
      <c r="AI138" s="96">
        <f t="shared" si="3"/>
        <v>0</v>
      </c>
    </row>
    <row r="139" spans="1:35" ht="18.75" x14ac:dyDescent="0.2">
      <c r="A139" s="435">
        <v>137</v>
      </c>
      <c r="B139" s="442" t="s">
        <v>367</v>
      </c>
      <c r="C139" s="84" t="s">
        <v>363</v>
      </c>
      <c r="D139" s="97"/>
      <c r="E139" s="97"/>
      <c r="F139" s="97"/>
      <c r="G139" s="97"/>
      <c r="H139" s="97"/>
      <c r="I139" s="97"/>
      <c r="J139" s="97"/>
      <c r="K139" s="97"/>
      <c r="L139" s="97"/>
      <c r="M139" s="97"/>
      <c r="N139" s="97"/>
      <c r="O139" s="97"/>
      <c r="P139" s="97"/>
      <c r="Q139" s="97"/>
      <c r="R139" s="97"/>
      <c r="S139" s="97"/>
      <c r="T139" s="97"/>
      <c r="U139" s="97"/>
      <c r="V139" s="97"/>
      <c r="W139" s="97"/>
      <c r="X139" s="97"/>
      <c r="Y139" s="97"/>
      <c r="Z139" s="97"/>
      <c r="AA139" s="97"/>
      <c r="AB139" s="97"/>
      <c r="AC139" s="97"/>
      <c r="AD139" s="97"/>
      <c r="AE139" s="97"/>
      <c r="AF139" s="97"/>
      <c r="AG139" s="97"/>
      <c r="AH139" s="97"/>
      <c r="AI139" s="96">
        <f t="shared" si="3"/>
        <v>0</v>
      </c>
    </row>
    <row r="140" spans="1:35" ht="18.75" x14ac:dyDescent="0.2">
      <c r="A140" s="435">
        <v>138</v>
      </c>
      <c r="B140" s="442" t="s">
        <v>368</v>
      </c>
      <c r="C140" s="84" t="s">
        <v>363</v>
      </c>
      <c r="D140" s="97"/>
      <c r="E140" s="97"/>
      <c r="F140" s="97"/>
      <c r="G140" s="97"/>
      <c r="H140" s="97"/>
      <c r="I140" s="97"/>
      <c r="J140" s="97"/>
      <c r="K140" s="97"/>
      <c r="L140" s="97"/>
      <c r="M140" s="97"/>
      <c r="N140" s="97"/>
      <c r="O140" s="97"/>
      <c r="P140" s="97"/>
      <c r="Q140" s="97"/>
      <c r="R140" s="97"/>
      <c r="S140" s="97"/>
      <c r="T140" s="97"/>
      <c r="U140" s="97"/>
      <c r="V140" s="98"/>
      <c r="W140" s="98"/>
      <c r="X140" s="98"/>
      <c r="Y140" s="98"/>
      <c r="Z140" s="98"/>
      <c r="AA140" s="98"/>
      <c r="AB140" s="98"/>
      <c r="AC140" s="97"/>
      <c r="AD140" s="97"/>
      <c r="AE140" s="97"/>
      <c r="AF140" s="97"/>
      <c r="AG140" s="97"/>
      <c r="AH140" s="97"/>
      <c r="AI140" s="96">
        <f t="shared" si="3"/>
        <v>0</v>
      </c>
    </row>
    <row r="141" spans="1:35" ht="18.75" x14ac:dyDescent="0.2">
      <c r="A141" s="435">
        <v>139</v>
      </c>
      <c r="B141" s="442" t="s">
        <v>369</v>
      </c>
      <c r="C141" s="84" t="s">
        <v>363</v>
      </c>
      <c r="D141" s="97"/>
      <c r="E141" s="97"/>
      <c r="F141" s="97"/>
      <c r="G141" s="97"/>
      <c r="H141" s="97"/>
      <c r="I141" s="97"/>
      <c r="J141" s="97"/>
      <c r="K141" s="97"/>
      <c r="L141" s="97"/>
      <c r="M141" s="97"/>
      <c r="N141" s="97"/>
      <c r="O141" s="97"/>
      <c r="P141" s="97"/>
      <c r="Q141" s="97"/>
      <c r="R141" s="97"/>
      <c r="S141" s="97"/>
      <c r="T141" s="97"/>
      <c r="U141" s="97"/>
      <c r="V141" s="98"/>
      <c r="W141" s="98"/>
      <c r="X141" s="98"/>
      <c r="Y141" s="98"/>
      <c r="Z141" s="98"/>
      <c r="AA141" s="98"/>
      <c r="AB141" s="98"/>
      <c r="AC141" s="97"/>
      <c r="AD141" s="97"/>
      <c r="AE141" s="97"/>
      <c r="AF141" s="97">
        <v>4.5</v>
      </c>
      <c r="AG141" s="97"/>
      <c r="AH141" s="97"/>
      <c r="AI141" s="96">
        <f t="shared" si="3"/>
        <v>4.5</v>
      </c>
    </row>
    <row r="142" spans="1:35" ht="18.75" x14ac:dyDescent="0.2">
      <c r="A142" s="435">
        <v>140</v>
      </c>
      <c r="B142" s="442" t="s">
        <v>370</v>
      </c>
      <c r="C142" s="84" t="s">
        <v>363</v>
      </c>
      <c r="D142" s="97"/>
      <c r="E142" s="97"/>
      <c r="F142" s="97"/>
      <c r="G142" s="97"/>
      <c r="H142" s="97"/>
      <c r="I142" s="97"/>
      <c r="J142" s="97"/>
      <c r="K142" s="97"/>
      <c r="L142" s="97"/>
      <c r="M142" s="97"/>
      <c r="N142" s="97"/>
      <c r="O142" s="97"/>
      <c r="P142" s="97">
        <v>5.25</v>
      </c>
      <c r="Q142" s="97">
        <v>16</v>
      </c>
      <c r="R142" s="97"/>
      <c r="S142" s="97"/>
      <c r="T142" s="97"/>
      <c r="U142" s="98"/>
      <c r="V142" s="98"/>
      <c r="W142" s="98"/>
      <c r="X142" s="98"/>
      <c r="Y142" s="98"/>
      <c r="Z142" s="98"/>
      <c r="AA142" s="98"/>
      <c r="AB142" s="98"/>
      <c r="AC142" s="97"/>
      <c r="AD142" s="97"/>
      <c r="AE142" s="97"/>
      <c r="AF142" s="97"/>
      <c r="AG142" s="97"/>
      <c r="AH142" s="97"/>
      <c r="AI142" s="96">
        <f t="shared" si="3"/>
        <v>21.25</v>
      </c>
    </row>
    <row r="143" spans="1:35" ht="18.75" x14ac:dyDescent="0.2">
      <c r="A143" s="435">
        <v>141</v>
      </c>
      <c r="B143" s="442" t="s">
        <v>371</v>
      </c>
      <c r="C143" s="84" t="s">
        <v>363</v>
      </c>
      <c r="D143" s="97"/>
      <c r="E143" s="97"/>
      <c r="F143" s="97"/>
      <c r="G143" s="97"/>
      <c r="H143" s="97"/>
      <c r="I143" s="97"/>
      <c r="J143" s="97"/>
      <c r="K143" s="97"/>
      <c r="L143" s="97"/>
      <c r="M143" s="97"/>
      <c r="N143" s="97"/>
      <c r="O143" s="97"/>
      <c r="P143" s="97"/>
      <c r="Q143" s="97"/>
      <c r="R143" s="97"/>
      <c r="S143" s="97"/>
      <c r="T143" s="97"/>
      <c r="U143" s="98"/>
      <c r="V143" s="98"/>
      <c r="W143" s="98"/>
      <c r="X143" s="98"/>
      <c r="Y143" s="98"/>
      <c r="Z143" s="98"/>
      <c r="AA143" s="98"/>
      <c r="AB143" s="98"/>
      <c r="AC143" s="97"/>
      <c r="AD143" s="97"/>
      <c r="AE143" s="97"/>
      <c r="AF143" s="97"/>
      <c r="AG143" s="97"/>
      <c r="AH143" s="97"/>
      <c r="AI143" s="96">
        <f t="shared" si="3"/>
        <v>0</v>
      </c>
    </row>
    <row r="144" spans="1:35" ht="18.75" x14ac:dyDescent="0.2">
      <c r="A144" s="435">
        <v>142</v>
      </c>
      <c r="B144" s="442" t="s">
        <v>372</v>
      </c>
      <c r="C144" s="84" t="s">
        <v>363</v>
      </c>
      <c r="D144" s="97"/>
      <c r="E144" s="97"/>
      <c r="F144" s="97"/>
      <c r="G144" s="97"/>
      <c r="H144" s="97"/>
      <c r="I144" s="97"/>
      <c r="J144" s="97"/>
      <c r="K144" s="97"/>
      <c r="L144" s="97"/>
      <c r="M144" s="97"/>
      <c r="N144" s="97"/>
      <c r="O144" s="97"/>
      <c r="P144" s="97"/>
      <c r="Q144" s="97"/>
      <c r="R144" s="97"/>
      <c r="S144" s="97"/>
      <c r="T144" s="97"/>
      <c r="U144" s="98"/>
      <c r="V144" s="98"/>
      <c r="W144" s="98"/>
      <c r="X144" s="98"/>
      <c r="Y144" s="98"/>
      <c r="Z144" s="98"/>
      <c r="AA144" s="98"/>
      <c r="AB144" s="98"/>
      <c r="AC144" s="97"/>
      <c r="AD144" s="97"/>
      <c r="AE144" s="97"/>
      <c r="AF144" s="97"/>
      <c r="AG144" s="97"/>
      <c r="AH144" s="97"/>
      <c r="AI144" s="96">
        <f t="shared" si="3"/>
        <v>0</v>
      </c>
    </row>
    <row r="145" spans="1:35" ht="18.75" x14ac:dyDescent="0.2">
      <c r="A145" s="435">
        <v>143</v>
      </c>
      <c r="B145" s="442" t="s">
        <v>373</v>
      </c>
      <c r="C145" s="84" t="s">
        <v>363</v>
      </c>
      <c r="D145" s="97"/>
      <c r="E145" s="97"/>
      <c r="F145" s="97"/>
      <c r="G145" s="199"/>
      <c r="H145" s="97"/>
      <c r="I145" s="97"/>
      <c r="J145" s="97"/>
      <c r="K145" s="97"/>
      <c r="L145" s="97"/>
      <c r="M145" s="97"/>
      <c r="N145" s="97"/>
      <c r="O145" s="97"/>
      <c r="P145" s="97"/>
      <c r="Q145" s="97"/>
      <c r="R145" s="97"/>
      <c r="S145" s="97"/>
      <c r="T145" s="97"/>
      <c r="U145" s="98"/>
      <c r="V145" s="98"/>
      <c r="W145" s="98"/>
      <c r="X145" s="98"/>
      <c r="Y145" s="98"/>
      <c r="Z145" s="98"/>
      <c r="AA145" s="98"/>
      <c r="AB145" s="98"/>
      <c r="AC145" s="97"/>
      <c r="AD145" s="97"/>
      <c r="AE145" s="97"/>
      <c r="AF145" s="97"/>
      <c r="AG145" s="97"/>
      <c r="AH145" s="97"/>
      <c r="AI145" s="96">
        <f t="shared" si="3"/>
        <v>0</v>
      </c>
    </row>
    <row r="146" spans="1:35" ht="18.75" x14ac:dyDescent="0.2">
      <c r="A146" s="435">
        <v>144</v>
      </c>
      <c r="B146" s="442" t="s">
        <v>374</v>
      </c>
      <c r="C146" s="84" t="s">
        <v>363</v>
      </c>
      <c r="D146" s="97"/>
      <c r="E146" s="97"/>
      <c r="F146" s="97"/>
      <c r="G146" s="97"/>
      <c r="H146" s="97"/>
      <c r="I146" s="97"/>
      <c r="J146" s="97"/>
      <c r="K146" s="97"/>
      <c r="L146" s="97"/>
      <c r="M146" s="97"/>
      <c r="N146" s="97"/>
      <c r="O146" s="97"/>
      <c r="P146" s="97"/>
      <c r="Q146" s="97"/>
      <c r="R146" s="97"/>
      <c r="S146" s="97"/>
      <c r="T146" s="97"/>
      <c r="U146" s="97"/>
      <c r="V146" s="98"/>
      <c r="W146" s="98"/>
      <c r="X146" s="98"/>
      <c r="Y146" s="98"/>
      <c r="Z146" s="98"/>
      <c r="AA146" s="98"/>
      <c r="AB146" s="98"/>
      <c r="AC146" s="97"/>
      <c r="AD146" s="97"/>
      <c r="AE146" s="97"/>
      <c r="AF146" s="97"/>
      <c r="AG146" s="97"/>
      <c r="AH146" s="97"/>
      <c r="AI146" s="96">
        <f t="shared" si="3"/>
        <v>0</v>
      </c>
    </row>
    <row r="147" spans="1:35" ht="18.75" x14ac:dyDescent="0.2">
      <c r="A147" s="435">
        <v>145</v>
      </c>
      <c r="B147" s="442" t="s">
        <v>375</v>
      </c>
      <c r="C147" s="84" t="s">
        <v>363</v>
      </c>
      <c r="D147" s="98"/>
      <c r="E147" s="98"/>
      <c r="F147" s="97"/>
      <c r="G147" s="97"/>
      <c r="H147" s="97"/>
      <c r="I147" s="97"/>
      <c r="J147" s="97"/>
      <c r="K147" s="97"/>
      <c r="L147" s="97"/>
      <c r="M147" s="97"/>
      <c r="N147" s="97"/>
      <c r="O147" s="97"/>
      <c r="P147" s="97"/>
      <c r="Q147" s="97"/>
      <c r="R147" s="97"/>
      <c r="S147" s="97"/>
      <c r="T147" s="97"/>
      <c r="U147" s="97"/>
      <c r="V147" s="97"/>
      <c r="W147" s="97"/>
      <c r="X147" s="97"/>
      <c r="Y147" s="97"/>
      <c r="Z147" s="98"/>
      <c r="AA147" s="98"/>
      <c r="AB147" s="98"/>
      <c r="AC147" s="98"/>
      <c r="AD147" s="98"/>
      <c r="AE147" s="98"/>
      <c r="AF147" s="98"/>
      <c r="AG147" s="98"/>
      <c r="AH147" s="98"/>
      <c r="AI147" s="96">
        <f t="shared" si="3"/>
        <v>0</v>
      </c>
    </row>
    <row r="148" spans="1:35" ht="18.75" x14ac:dyDescent="0.2">
      <c r="A148" s="435">
        <v>146</v>
      </c>
      <c r="B148" s="442" t="s">
        <v>376</v>
      </c>
      <c r="C148" s="84" t="s">
        <v>363</v>
      </c>
      <c r="D148" s="97"/>
      <c r="E148" s="97"/>
      <c r="F148" s="97"/>
      <c r="G148" s="97"/>
      <c r="H148" s="97"/>
      <c r="I148" s="97"/>
      <c r="J148" s="97"/>
      <c r="K148" s="97"/>
      <c r="L148" s="97"/>
      <c r="M148" s="97"/>
      <c r="N148" s="97"/>
      <c r="O148" s="97"/>
      <c r="P148" s="97"/>
      <c r="Q148" s="97"/>
      <c r="R148" s="97"/>
      <c r="S148" s="97"/>
      <c r="T148" s="97"/>
      <c r="U148" s="98"/>
      <c r="V148" s="98"/>
      <c r="W148" s="98"/>
      <c r="X148" s="98"/>
      <c r="Y148" s="98"/>
      <c r="Z148" s="98"/>
      <c r="AA148" s="98"/>
      <c r="AB148" s="98"/>
      <c r="AC148" s="97"/>
      <c r="AD148" s="97"/>
      <c r="AE148" s="97"/>
      <c r="AF148" s="97"/>
      <c r="AG148" s="97"/>
      <c r="AH148" s="97"/>
      <c r="AI148" s="96">
        <f t="shared" si="3"/>
        <v>0</v>
      </c>
    </row>
    <row r="149" spans="1:35" x14ac:dyDescent="0.2">
      <c r="D149" s="545"/>
      <c r="E149" s="545"/>
      <c r="F149" s="545"/>
      <c r="G149" s="545"/>
      <c r="H149" s="545"/>
      <c r="I149" s="545"/>
      <c r="J149" s="545"/>
      <c r="K149" s="545"/>
      <c r="L149" s="545"/>
      <c r="M149" s="545"/>
      <c r="N149" s="545"/>
      <c r="O149" s="545"/>
      <c r="P149" s="545"/>
      <c r="Q149" s="545"/>
      <c r="R149" s="545"/>
      <c r="S149" s="545"/>
      <c r="T149" s="545"/>
      <c r="U149" s="545"/>
      <c r="V149" s="545"/>
      <c r="W149" s="545"/>
      <c r="X149" s="545"/>
      <c r="Y149" s="545"/>
      <c r="Z149" s="545"/>
      <c r="AA149" s="545"/>
      <c r="AB149" s="545"/>
      <c r="AC149" s="545"/>
      <c r="AD149" s="545"/>
      <c r="AE149" s="545"/>
      <c r="AF149" s="545"/>
      <c r="AG149" s="545"/>
      <c r="AH149" s="545"/>
      <c r="AI149" s="545"/>
    </row>
    <row r="150" spans="1:35" ht="18.75" x14ac:dyDescent="0.3">
      <c r="A150" s="264" t="s">
        <v>377</v>
      </c>
      <c r="B150" s="264"/>
      <c r="C150" s="81">
        <v>45323</v>
      </c>
      <c r="D150" s="546"/>
      <c r="E150" s="546"/>
      <c r="F150" s="546"/>
      <c r="G150" s="546"/>
      <c r="H150" s="546"/>
      <c r="I150" s="546"/>
      <c r="J150" s="546"/>
      <c r="K150" s="546"/>
      <c r="L150" s="546"/>
      <c r="M150" s="546"/>
      <c r="N150" s="546"/>
      <c r="O150" s="546"/>
      <c r="P150" s="546"/>
      <c r="Q150" s="546"/>
      <c r="R150" s="546"/>
      <c r="S150" s="546"/>
      <c r="T150" s="546"/>
      <c r="U150" s="546"/>
      <c r="V150" s="546"/>
      <c r="W150" s="546"/>
      <c r="X150" s="546"/>
      <c r="Y150" s="546"/>
      <c r="Z150" s="546"/>
      <c r="AA150" s="546"/>
      <c r="AB150" s="546"/>
      <c r="AC150" s="546"/>
      <c r="AD150" s="546"/>
      <c r="AE150" s="546"/>
      <c r="AF150" s="546"/>
      <c r="AG150" s="546"/>
      <c r="AH150" s="546"/>
      <c r="AI150" s="546"/>
    </row>
    <row r="151" spans="1:35" x14ac:dyDescent="0.2">
      <c r="D151" s="547"/>
      <c r="E151" s="547"/>
      <c r="F151" s="547"/>
      <c r="G151" s="547"/>
      <c r="H151" s="547"/>
      <c r="I151" s="547"/>
      <c r="J151" s="547"/>
      <c r="K151" s="547"/>
      <c r="L151" s="547"/>
      <c r="M151" s="547"/>
      <c r="N151" s="547"/>
      <c r="O151" s="547"/>
      <c r="P151" s="547"/>
      <c r="Q151" s="547"/>
      <c r="R151" s="547"/>
      <c r="S151" s="547"/>
      <c r="T151" s="547"/>
      <c r="U151" s="547"/>
      <c r="V151" s="547"/>
      <c r="W151" s="547"/>
      <c r="X151" s="547"/>
      <c r="Y151" s="547"/>
      <c r="Z151" s="547"/>
      <c r="AA151" s="547"/>
      <c r="AB151" s="547"/>
      <c r="AC151" s="547"/>
      <c r="AD151" s="547"/>
      <c r="AE151" s="547"/>
      <c r="AF151" s="547"/>
      <c r="AG151" s="547"/>
      <c r="AH151" s="547"/>
      <c r="AI151" s="547"/>
    </row>
    <row r="152" spans="1:35" ht="18.75" x14ac:dyDescent="0.2">
      <c r="A152" s="226">
        <v>1</v>
      </c>
      <c r="B152" s="227" t="s">
        <v>378</v>
      </c>
      <c r="C152" s="225" t="s">
        <v>363</v>
      </c>
      <c r="D152" s="97"/>
      <c r="E152" s="97"/>
      <c r="F152" s="97"/>
      <c r="G152" s="97"/>
      <c r="H152" s="97"/>
      <c r="I152" s="97"/>
      <c r="J152" s="97"/>
      <c r="K152" s="97"/>
      <c r="L152" s="97"/>
      <c r="M152" s="97"/>
      <c r="N152" s="97"/>
      <c r="O152" s="97"/>
      <c r="P152" s="97"/>
      <c r="Q152" s="97"/>
      <c r="R152" s="97"/>
      <c r="S152" s="97"/>
      <c r="T152" s="97"/>
      <c r="U152" s="97"/>
      <c r="V152" s="97"/>
      <c r="W152" s="97"/>
      <c r="X152" s="97"/>
      <c r="Y152" s="97"/>
      <c r="Z152" s="97"/>
      <c r="AA152" s="97"/>
      <c r="AB152" s="97"/>
      <c r="AC152" s="97"/>
      <c r="AD152" s="97"/>
      <c r="AE152" s="97"/>
      <c r="AF152" s="97"/>
      <c r="AG152" s="97"/>
      <c r="AH152" s="97"/>
      <c r="AI152" s="96">
        <f t="shared" ref="AI152:AI160" si="4">SUM(D152:AH152)</f>
        <v>0</v>
      </c>
    </row>
    <row r="153" spans="1:35" ht="18.75" x14ac:dyDescent="0.2">
      <c r="A153" s="226">
        <v>2</v>
      </c>
      <c r="B153" s="227" t="s">
        <v>379</v>
      </c>
      <c r="C153" s="225" t="s">
        <v>363</v>
      </c>
      <c r="D153" s="97"/>
      <c r="E153" s="97"/>
      <c r="F153" s="97"/>
      <c r="G153" s="97"/>
      <c r="H153" s="97"/>
      <c r="I153" s="97"/>
      <c r="J153" s="97"/>
      <c r="K153" s="97"/>
      <c r="L153" s="97"/>
      <c r="M153" s="97"/>
      <c r="N153" s="97"/>
      <c r="O153" s="97"/>
      <c r="P153" s="97"/>
      <c r="Q153" s="97"/>
      <c r="R153" s="97"/>
      <c r="S153" s="97"/>
      <c r="T153" s="97"/>
      <c r="U153" s="97"/>
      <c r="V153" s="97"/>
      <c r="W153" s="97"/>
      <c r="X153" s="97"/>
      <c r="Y153" s="97"/>
      <c r="Z153" s="97"/>
      <c r="AA153" s="97"/>
      <c r="AB153" s="97"/>
      <c r="AC153" s="97"/>
      <c r="AD153" s="97"/>
      <c r="AE153" s="97"/>
      <c r="AF153" s="97"/>
      <c r="AG153" s="97"/>
      <c r="AH153" s="97"/>
      <c r="AI153" s="96">
        <f t="shared" si="4"/>
        <v>0</v>
      </c>
    </row>
    <row r="154" spans="1:35" ht="18.75" x14ac:dyDescent="0.2">
      <c r="A154" s="226">
        <v>3</v>
      </c>
      <c r="B154" s="227" t="s">
        <v>380</v>
      </c>
      <c r="C154" s="225" t="s">
        <v>363</v>
      </c>
      <c r="D154" s="97"/>
      <c r="E154" s="97"/>
      <c r="F154" s="97"/>
      <c r="G154" s="97"/>
      <c r="H154" s="97"/>
      <c r="I154" s="97"/>
      <c r="J154" s="97"/>
      <c r="K154" s="97"/>
      <c r="L154" s="97"/>
      <c r="M154" s="97"/>
      <c r="N154" s="97"/>
      <c r="O154" s="97"/>
      <c r="P154" s="97"/>
      <c r="Q154" s="97"/>
      <c r="R154" s="97"/>
      <c r="S154" s="97"/>
      <c r="T154" s="97"/>
      <c r="U154" s="97"/>
      <c r="V154" s="97"/>
      <c r="W154" s="97"/>
      <c r="X154" s="97"/>
      <c r="Y154" s="97"/>
      <c r="Z154" s="97"/>
      <c r="AA154" s="97"/>
      <c r="AB154" s="97"/>
      <c r="AC154" s="97"/>
      <c r="AD154" s="97"/>
      <c r="AE154" s="97"/>
      <c r="AF154" s="97"/>
      <c r="AG154" s="97"/>
      <c r="AH154" s="97"/>
      <c r="AI154" s="96">
        <f t="shared" si="4"/>
        <v>0</v>
      </c>
    </row>
    <row r="155" spans="1:35" ht="18.75" x14ac:dyDescent="0.2">
      <c r="A155" s="226">
        <v>4</v>
      </c>
      <c r="B155" s="227" t="s">
        <v>381</v>
      </c>
      <c r="C155" s="225" t="s">
        <v>363</v>
      </c>
      <c r="D155" s="97"/>
      <c r="E155" s="97"/>
      <c r="F155" s="97"/>
      <c r="G155" s="97"/>
      <c r="H155" s="97"/>
      <c r="I155" s="97"/>
      <c r="J155" s="97"/>
      <c r="K155" s="97"/>
      <c r="L155" s="97"/>
      <c r="M155" s="97"/>
      <c r="N155" s="97"/>
      <c r="O155" s="97"/>
      <c r="P155" s="97"/>
      <c r="Q155" s="97"/>
      <c r="R155" s="97"/>
      <c r="S155" s="97"/>
      <c r="T155" s="97"/>
      <c r="U155" s="97"/>
      <c r="V155" s="97"/>
      <c r="W155" s="97"/>
      <c r="X155" s="97"/>
      <c r="Y155" s="97"/>
      <c r="Z155" s="97"/>
      <c r="AA155" s="97"/>
      <c r="AB155" s="97"/>
      <c r="AC155" s="97"/>
      <c r="AD155" s="97"/>
      <c r="AE155" s="97"/>
      <c r="AF155" s="97"/>
      <c r="AG155" s="97"/>
      <c r="AH155" s="97"/>
      <c r="AI155" s="96">
        <f t="shared" si="4"/>
        <v>0</v>
      </c>
    </row>
    <row r="156" spans="1:35" ht="18.75" x14ac:dyDescent="0.2">
      <c r="A156" s="226">
        <v>5</v>
      </c>
      <c r="B156" s="269" t="s">
        <v>382</v>
      </c>
      <c r="C156" s="225" t="s">
        <v>229</v>
      </c>
      <c r="D156" s="97"/>
      <c r="E156" s="97"/>
      <c r="F156" s="97"/>
      <c r="G156" s="97"/>
      <c r="H156" s="97">
        <v>24</v>
      </c>
      <c r="I156" s="97">
        <v>24</v>
      </c>
      <c r="J156" s="97">
        <v>24</v>
      </c>
      <c r="K156" s="97">
        <v>24</v>
      </c>
      <c r="L156" s="97">
        <v>24</v>
      </c>
      <c r="M156" s="97">
        <v>24</v>
      </c>
      <c r="N156" s="97">
        <v>24</v>
      </c>
      <c r="O156" s="97">
        <v>24</v>
      </c>
      <c r="P156" s="97">
        <v>24</v>
      </c>
      <c r="Q156" s="97">
        <v>24</v>
      </c>
      <c r="R156" s="97">
        <v>24</v>
      </c>
      <c r="S156" s="97">
        <v>24</v>
      </c>
      <c r="T156" s="97">
        <v>24</v>
      </c>
      <c r="U156" s="97">
        <v>24</v>
      </c>
      <c r="V156" s="97">
        <v>24</v>
      </c>
      <c r="W156" s="97">
        <v>24</v>
      </c>
      <c r="X156" s="97">
        <v>24</v>
      </c>
      <c r="Y156" s="97">
        <v>24</v>
      </c>
      <c r="Z156" s="97">
        <v>24</v>
      </c>
      <c r="AA156" s="97">
        <v>24</v>
      </c>
      <c r="AB156" s="97">
        <v>24</v>
      </c>
      <c r="AC156" s="97">
        <v>24</v>
      </c>
      <c r="AD156" s="97">
        <v>24</v>
      </c>
      <c r="AE156" s="97">
        <v>24</v>
      </c>
      <c r="AF156" s="97">
        <v>24</v>
      </c>
      <c r="AG156" s="97">
        <v>24</v>
      </c>
      <c r="AH156" s="97"/>
      <c r="AI156" s="96">
        <f t="shared" si="4"/>
        <v>624</v>
      </c>
    </row>
    <row r="157" spans="1:35" ht="18.75" x14ac:dyDescent="0.2">
      <c r="A157" s="226"/>
      <c r="B157" s="269" t="s">
        <v>383</v>
      </c>
      <c r="C157" s="225" t="s">
        <v>229</v>
      </c>
      <c r="D157" s="97">
        <v>24</v>
      </c>
      <c r="E157" s="97">
        <v>24</v>
      </c>
      <c r="F157" s="97"/>
      <c r="G157" s="97">
        <v>24</v>
      </c>
      <c r="H157" s="97">
        <v>24</v>
      </c>
      <c r="I157" s="97">
        <v>24</v>
      </c>
      <c r="J157" s="97">
        <v>24</v>
      </c>
      <c r="K157" s="97">
        <v>24</v>
      </c>
      <c r="L157" s="97">
        <v>24</v>
      </c>
      <c r="M157" s="97">
        <v>24</v>
      </c>
      <c r="N157" s="97">
        <v>24</v>
      </c>
      <c r="O157" s="97">
        <v>24</v>
      </c>
      <c r="P157" s="97">
        <v>24</v>
      </c>
      <c r="Q157" s="97">
        <v>24</v>
      </c>
      <c r="R157" s="97">
        <v>24</v>
      </c>
      <c r="S157" s="97">
        <v>24</v>
      </c>
      <c r="T157" s="97">
        <v>24</v>
      </c>
      <c r="U157" s="97">
        <v>24</v>
      </c>
      <c r="V157" s="97">
        <v>24</v>
      </c>
      <c r="W157" s="97">
        <v>24</v>
      </c>
      <c r="X157" s="97">
        <v>24</v>
      </c>
      <c r="Y157" s="97">
        <v>24</v>
      </c>
      <c r="Z157" s="97">
        <v>24</v>
      </c>
      <c r="AA157" s="97">
        <v>24</v>
      </c>
      <c r="AB157" s="97">
        <v>24</v>
      </c>
      <c r="AC157" s="97">
        <v>24</v>
      </c>
      <c r="AD157" s="97">
        <v>24</v>
      </c>
      <c r="AE157" s="97">
        <v>24</v>
      </c>
      <c r="AF157" s="97">
        <v>24</v>
      </c>
      <c r="AG157" s="97">
        <v>24</v>
      </c>
      <c r="AH157" s="97"/>
      <c r="AI157" s="96">
        <f t="shared" si="4"/>
        <v>696</v>
      </c>
    </row>
    <row r="158" spans="1:35" ht="18.75" x14ac:dyDescent="0.2">
      <c r="A158" s="226"/>
      <c r="B158" s="269" t="s">
        <v>384</v>
      </c>
      <c r="C158" s="225" t="s">
        <v>229</v>
      </c>
      <c r="D158" s="97">
        <v>24</v>
      </c>
      <c r="E158" s="97">
        <v>24</v>
      </c>
      <c r="F158" s="97"/>
      <c r="G158" s="97">
        <v>24</v>
      </c>
      <c r="H158" s="97"/>
      <c r="I158" s="97"/>
      <c r="J158" s="97"/>
      <c r="K158" s="97"/>
      <c r="L158" s="97"/>
      <c r="M158" s="97"/>
      <c r="N158" s="97"/>
      <c r="O158" s="97"/>
      <c r="P158" s="97"/>
      <c r="Q158" s="97"/>
      <c r="R158" s="97"/>
      <c r="S158" s="97"/>
      <c r="T158" s="97"/>
      <c r="U158" s="97"/>
      <c r="V158" s="97"/>
      <c r="W158" s="97"/>
      <c r="X158" s="97"/>
      <c r="Y158" s="97"/>
      <c r="Z158" s="97"/>
      <c r="AA158" s="97"/>
      <c r="AB158" s="97"/>
      <c r="AC158" s="97"/>
      <c r="AD158" s="97"/>
      <c r="AE158" s="97"/>
      <c r="AF158" s="97"/>
      <c r="AG158" s="97"/>
      <c r="AH158" s="97"/>
      <c r="AI158" s="96">
        <f t="shared" si="4"/>
        <v>72</v>
      </c>
    </row>
    <row r="159" spans="1:35" ht="18.75" x14ac:dyDescent="0.2">
      <c r="A159" s="226"/>
      <c r="B159" s="269" t="s">
        <v>385</v>
      </c>
      <c r="C159" s="225" t="s">
        <v>229</v>
      </c>
      <c r="D159" s="97"/>
      <c r="E159" s="97"/>
      <c r="F159" s="97"/>
      <c r="G159" s="97"/>
      <c r="H159" s="97"/>
      <c r="I159" s="97"/>
      <c r="J159" s="97"/>
      <c r="K159" s="97"/>
      <c r="L159" s="97"/>
      <c r="M159" s="97"/>
      <c r="N159" s="97"/>
      <c r="O159" s="97"/>
      <c r="P159" s="97"/>
      <c r="Q159" s="97"/>
      <c r="R159" s="97"/>
      <c r="S159" s="97"/>
      <c r="T159" s="97"/>
      <c r="U159" s="97"/>
      <c r="V159" s="97"/>
      <c r="W159" s="97"/>
      <c r="X159" s="97"/>
      <c r="Y159" s="97"/>
      <c r="Z159" s="97"/>
      <c r="AA159" s="97"/>
      <c r="AB159" s="97"/>
      <c r="AC159" s="97"/>
      <c r="AD159" s="97"/>
      <c r="AE159" s="97"/>
      <c r="AF159" s="97"/>
      <c r="AG159" s="97"/>
      <c r="AH159" s="97"/>
      <c r="AI159" s="96">
        <f t="shared" si="4"/>
        <v>0</v>
      </c>
    </row>
    <row r="160" spans="1:35" ht="18.75" x14ac:dyDescent="0.2">
      <c r="A160" s="226">
        <v>6</v>
      </c>
      <c r="B160" s="269" t="s">
        <v>386</v>
      </c>
      <c r="C160" s="225" t="s">
        <v>229</v>
      </c>
      <c r="D160" s="97"/>
      <c r="E160" s="97"/>
      <c r="F160" s="97"/>
      <c r="G160" s="97"/>
      <c r="H160" s="97"/>
      <c r="I160" s="97"/>
      <c r="J160" s="97"/>
      <c r="K160" s="97"/>
      <c r="L160" s="97"/>
      <c r="M160" s="97"/>
      <c r="N160" s="97"/>
      <c r="O160" s="97"/>
      <c r="P160" s="97"/>
      <c r="Q160" s="97"/>
      <c r="R160" s="97"/>
      <c r="S160" s="97"/>
      <c r="T160" s="97"/>
      <c r="U160" s="97"/>
      <c r="V160" s="97"/>
      <c r="W160" s="97"/>
      <c r="X160" s="97"/>
      <c r="Y160" s="97"/>
      <c r="Z160" s="97"/>
      <c r="AA160" s="97"/>
      <c r="AB160" s="97"/>
      <c r="AC160" s="97"/>
      <c r="AD160" s="97"/>
      <c r="AE160" s="97"/>
      <c r="AF160" s="97"/>
      <c r="AG160" s="97"/>
      <c r="AH160" s="97"/>
      <c r="AI160" s="96">
        <f t="shared" si="4"/>
        <v>0</v>
      </c>
    </row>
    <row r="161" spans="1:35" ht="18.75" x14ac:dyDescent="0.2">
      <c r="A161" s="226">
        <v>7</v>
      </c>
      <c r="B161" s="227" t="s">
        <v>387</v>
      </c>
      <c r="C161" s="225" t="s">
        <v>363</v>
      </c>
      <c r="D161" s="97"/>
      <c r="E161" s="97"/>
      <c r="F161" s="97"/>
      <c r="G161" s="97"/>
      <c r="H161" s="97"/>
      <c r="I161" s="97"/>
      <c r="J161" s="97"/>
      <c r="K161" s="97"/>
      <c r="L161" s="97"/>
      <c r="M161" s="97"/>
      <c r="N161" s="97"/>
      <c r="O161" s="97"/>
      <c r="P161" s="97"/>
      <c r="Q161" s="97"/>
      <c r="R161" s="97"/>
      <c r="S161" s="97"/>
      <c r="T161" s="97"/>
      <c r="U161" s="97"/>
      <c r="V161" s="97"/>
      <c r="W161" s="97"/>
      <c r="X161" s="97"/>
      <c r="Y161" s="97"/>
      <c r="Z161" s="97"/>
      <c r="AA161" s="97"/>
      <c r="AB161" s="97"/>
      <c r="AC161" s="97"/>
      <c r="AD161" s="97"/>
      <c r="AE161" s="97"/>
      <c r="AF161" s="97"/>
      <c r="AG161" s="97"/>
      <c r="AH161" s="97"/>
      <c r="AI161" s="96">
        <f>SUM(D161:AH161)</f>
        <v>0</v>
      </c>
    </row>
    <row r="162" spans="1:35" ht="18.75" x14ac:dyDescent="0.2">
      <c r="A162" s="226">
        <v>8</v>
      </c>
      <c r="B162" s="227" t="s">
        <v>388</v>
      </c>
      <c r="C162" s="225" t="s">
        <v>363</v>
      </c>
      <c r="D162" s="97"/>
      <c r="E162" s="97"/>
      <c r="F162" s="97"/>
      <c r="G162" s="97"/>
      <c r="H162" s="97"/>
      <c r="I162" s="97"/>
      <c r="J162" s="97"/>
      <c r="K162" s="97"/>
      <c r="L162" s="97"/>
      <c r="M162" s="97"/>
      <c r="N162" s="97"/>
      <c r="O162" s="199"/>
      <c r="P162" s="97"/>
      <c r="Q162" s="97"/>
      <c r="R162" s="97"/>
      <c r="S162" s="97"/>
      <c r="T162" s="97"/>
      <c r="U162" s="97"/>
      <c r="V162" s="97"/>
      <c r="W162" s="97"/>
      <c r="X162" s="97"/>
      <c r="Y162" s="97"/>
      <c r="Z162" s="97"/>
      <c r="AA162" s="97"/>
      <c r="AB162" s="97"/>
      <c r="AC162" s="97"/>
      <c r="AD162" s="97"/>
      <c r="AE162" s="97"/>
      <c r="AF162" s="97"/>
      <c r="AG162" s="97"/>
      <c r="AH162" s="97"/>
      <c r="AI162" s="96">
        <f>SUM(D162:AH162)</f>
        <v>0</v>
      </c>
    </row>
    <row r="163" spans="1:35" x14ac:dyDescent="0.2">
      <c r="P163" s="102"/>
      <c r="AI163"/>
    </row>
    <row r="164" spans="1:35" x14ac:dyDescent="0.2">
      <c r="P164" s="102"/>
      <c r="AI164"/>
    </row>
    <row r="165" spans="1:35" x14ac:dyDescent="0.2">
      <c r="P165" s="102"/>
      <c r="AI165"/>
    </row>
    <row r="166" spans="1:35" x14ac:dyDescent="0.2">
      <c r="P166" s="102"/>
      <c r="AI166"/>
    </row>
    <row r="167" spans="1:35" x14ac:dyDescent="0.2">
      <c r="P167" s="102"/>
      <c r="AI167"/>
    </row>
    <row r="168" spans="1:35" x14ac:dyDescent="0.2">
      <c r="P168" s="102"/>
      <c r="AI168"/>
    </row>
    <row r="169" spans="1:35" x14ac:dyDescent="0.2">
      <c r="P169" s="102"/>
      <c r="AI169"/>
    </row>
    <row r="170" spans="1:35" x14ac:dyDescent="0.2">
      <c r="P170" s="102"/>
      <c r="AI170"/>
    </row>
    <row r="171" spans="1:35" x14ac:dyDescent="0.2">
      <c r="P171" s="102"/>
      <c r="AI171"/>
    </row>
    <row r="172" spans="1:35" x14ac:dyDescent="0.2">
      <c r="P172" s="102"/>
      <c r="AI172"/>
    </row>
    <row r="173" spans="1:35" x14ac:dyDescent="0.2">
      <c r="P173" s="102"/>
      <c r="AI173"/>
    </row>
    <row r="174" spans="1:35" x14ac:dyDescent="0.2">
      <c r="P174" s="102"/>
      <c r="AI174"/>
    </row>
    <row r="175" spans="1:35" x14ac:dyDescent="0.2">
      <c r="P175" s="102"/>
      <c r="AI175"/>
    </row>
    <row r="176" spans="1:35" x14ac:dyDescent="0.2">
      <c r="P176" s="102"/>
      <c r="AI176"/>
    </row>
    <row r="177" spans="16:35" x14ac:dyDescent="0.2">
      <c r="P177" s="102"/>
      <c r="AI177"/>
    </row>
    <row r="178" spans="16:35" x14ac:dyDescent="0.2">
      <c r="P178" s="102"/>
      <c r="AI178"/>
    </row>
    <row r="179" spans="16:35" x14ac:dyDescent="0.2">
      <c r="P179" s="102"/>
      <c r="AI179"/>
    </row>
    <row r="180" spans="16:35" x14ac:dyDescent="0.2">
      <c r="P180" s="102"/>
      <c r="AI180"/>
    </row>
    <row r="181" spans="16:35" x14ac:dyDescent="0.2">
      <c r="P181" s="102"/>
      <c r="AI181"/>
    </row>
    <row r="182" spans="16:35" x14ac:dyDescent="0.2">
      <c r="P182" s="102"/>
      <c r="AI182"/>
    </row>
    <row r="183" spans="16:35" x14ac:dyDescent="0.2">
      <c r="P183" s="102"/>
      <c r="AI183"/>
    </row>
    <row r="184" spans="16:35" x14ac:dyDescent="0.2">
      <c r="P184" s="102"/>
      <c r="AI184"/>
    </row>
    <row r="185" spans="16:35" x14ac:dyDescent="0.2">
      <c r="P185" s="102"/>
      <c r="AI185"/>
    </row>
    <row r="186" spans="16:35" x14ac:dyDescent="0.2">
      <c r="P186" s="102"/>
      <c r="AI186"/>
    </row>
    <row r="187" spans="16:35" x14ac:dyDescent="0.2">
      <c r="P187" s="102"/>
      <c r="AI187"/>
    </row>
    <row r="188" spans="16:35" x14ac:dyDescent="0.2">
      <c r="P188" s="102"/>
      <c r="AI188"/>
    </row>
    <row r="189" spans="16:35" x14ac:dyDescent="0.2">
      <c r="P189" s="102"/>
      <c r="AI189"/>
    </row>
    <row r="190" spans="16:35" x14ac:dyDescent="0.2">
      <c r="P190" s="102"/>
      <c r="AI190"/>
    </row>
    <row r="191" spans="16:35" x14ac:dyDescent="0.2">
      <c r="P191" s="102"/>
      <c r="AI191"/>
    </row>
    <row r="192" spans="16:35" x14ac:dyDescent="0.2">
      <c r="P192" s="102"/>
      <c r="AI192"/>
    </row>
    <row r="193" spans="16:35" x14ac:dyDescent="0.2">
      <c r="P193" s="102"/>
      <c r="AI193"/>
    </row>
    <row r="194" spans="16:35" x14ac:dyDescent="0.2">
      <c r="P194" s="102"/>
      <c r="AI194"/>
    </row>
    <row r="195" spans="16:35" x14ac:dyDescent="0.2">
      <c r="P195" s="102"/>
      <c r="AI195"/>
    </row>
    <row r="196" spans="16:35" x14ac:dyDescent="0.2">
      <c r="P196" s="102"/>
      <c r="AI196"/>
    </row>
    <row r="197" spans="16:35" x14ac:dyDescent="0.2">
      <c r="P197" s="102"/>
      <c r="AI197"/>
    </row>
    <row r="198" spans="16:35" x14ac:dyDescent="0.2">
      <c r="P198" s="102"/>
      <c r="AI198"/>
    </row>
    <row r="199" spans="16:35" x14ac:dyDescent="0.2">
      <c r="P199" s="102"/>
      <c r="AI199"/>
    </row>
    <row r="200" spans="16:35" x14ac:dyDescent="0.2">
      <c r="P200" s="102"/>
      <c r="AI200"/>
    </row>
    <row r="201" spans="16:35" x14ac:dyDescent="0.2">
      <c r="P201" s="102"/>
      <c r="AI201"/>
    </row>
    <row r="202" spans="16:35" x14ac:dyDescent="0.2">
      <c r="P202" s="102"/>
      <c r="AI202"/>
    </row>
    <row r="203" spans="16:35" x14ac:dyDescent="0.2">
      <c r="P203" s="102"/>
      <c r="AI203"/>
    </row>
    <row r="204" spans="16:35" x14ac:dyDescent="0.2">
      <c r="P204" s="102"/>
      <c r="AI204"/>
    </row>
    <row r="205" spans="16:35" x14ac:dyDescent="0.2">
      <c r="P205" s="102"/>
      <c r="AI205"/>
    </row>
    <row r="206" spans="16:35" x14ac:dyDescent="0.2">
      <c r="P206" s="102"/>
      <c r="AI206"/>
    </row>
    <row r="207" spans="16:35" x14ac:dyDescent="0.2">
      <c r="P207" s="102"/>
      <c r="AI207"/>
    </row>
    <row r="208" spans="16:35" x14ac:dyDescent="0.2">
      <c r="P208" s="102"/>
      <c r="AI208"/>
    </row>
    <row r="209" spans="4:35" x14ac:dyDescent="0.2">
      <c r="P209" s="102"/>
      <c r="AI209"/>
    </row>
    <row r="210" spans="4:35" x14ac:dyDescent="0.2">
      <c r="P210" s="102"/>
      <c r="AI210"/>
    </row>
    <row r="211" spans="4:35" x14ac:dyDescent="0.2">
      <c r="P211" s="102"/>
      <c r="AI211"/>
    </row>
    <row r="212" spans="4:35" x14ac:dyDescent="0.2">
      <c r="P212" s="102"/>
      <c r="AI212"/>
    </row>
    <row r="213" spans="4:35" x14ac:dyDescent="0.2">
      <c r="P213" s="102"/>
      <c r="AI213"/>
    </row>
    <row r="214" spans="4:35" x14ac:dyDescent="0.2">
      <c r="P214" s="102"/>
      <c r="AI214"/>
    </row>
    <row r="216" spans="4:35" x14ac:dyDescent="0.2">
      <c r="D216" s="31">
        <v>24</v>
      </c>
    </row>
  </sheetData>
  <mergeCells count="3">
    <mergeCell ref="A1:B1"/>
    <mergeCell ref="D1:AH1"/>
    <mergeCell ref="D149:AI15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B2:X108"/>
  <sheetViews>
    <sheetView topLeftCell="D1" zoomScaleNormal="100" workbookViewId="0">
      <selection activeCell="I25" sqref="I25"/>
    </sheetView>
  </sheetViews>
  <sheetFormatPr defaultColWidth="9.140625" defaultRowHeight="12.75" x14ac:dyDescent="0.2"/>
  <cols>
    <col min="1" max="16384" width="9.140625" style="29"/>
  </cols>
  <sheetData>
    <row r="2" spans="2:21" ht="21" customHeight="1" x14ac:dyDescent="0.2">
      <c r="B2" s="548" t="s">
        <v>389</v>
      </c>
      <c r="C2" s="548"/>
      <c r="D2" s="548"/>
      <c r="E2" s="548"/>
      <c r="F2" s="548"/>
      <c r="G2" s="548"/>
      <c r="H2" s="548"/>
      <c r="I2" s="548"/>
      <c r="J2" s="548"/>
      <c r="K2" s="548"/>
      <c r="L2" s="548"/>
      <c r="M2" s="548"/>
      <c r="N2" s="548"/>
      <c r="O2" s="548"/>
      <c r="P2" s="548"/>
      <c r="Q2" s="548"/>
      <c r="R2" s="548"/>
      <c r="S2" s="548"/>
      <c r="T2" s="548"/>
      <c r="U2" s="548"/>
    </row>
    <row r="48" ht="21" customHeight="1" x14ac:dyDescent="0.2"/>
    <row r="50" spans="2:21" ht="18" x14ac:dyDescent="0.2">
      <c r="B50" s="548" t="s">
        <v>390</v>
      </c>
      <c r="C50" s="548"/>
      <c r="D50" s="548"/>
      <c r="E50" s="548"/>
      <c r="F50" s="548"/>
      <c r="G50" s="548"/>
      <c r="H50" s="548"/>
      <c r="I50" s="548"/>
      <c r="J50" s="548"/>
      <c r="K50" s="548"/>
      <c r="L50" s="548"/>
      <c r="M50" s="548"/>
      <c r="N50" s="548"/>
      <c r="O50" s="548"/>
      <c r="P50" s="548"/>
      <c r="Q50" s="548"/>
      <c r="R50" s="548"/>
      <c r="S50" s="548"/>
      <c r="T50" s="548"/>
      <c r="U50" s="548"/>
    </row>
    <row r="93" spans="2:21" ht="21" customHeight="1" x14ac:dyDescent="0.2"/>
    <row r="94" spans="2:21" ht="18" x14ac:dyDescent="0.2">
      <c r="B94" s="549"/>
      <c r="C94" s="549"/>
      <c r="D94" s="549"/>
      <c r="E94" s="549"/>
      <c r="F94" s="549"/>
      <c r="G94" s="549"/>
      <c r="H94" s="549"/>
      <c r="I94" s="549"/>
      <c r="J94" s="549"/>
      <c r="K94" s="549"/>
      <c r="L94" s="549"/>
      <c r="M94" s="549"/>
      <c r="N94" s="549"/>
      <c r="O94" s="549"/>
      <c r="P94" s="549"/>
      <c r="Q94" s="549"/>
      <c r="R94" s="549"/>
      <c r="S94" s="549"/>
      <c r="T94" s="549"/>
      <c r="U94" s="549"/>
    </row>
    <row r="105" spans="5:24" ht="18" x14ac:dyDescent="0.2">
      <c r="E105" s="548" t="s">
        <v>391</v>
      </c>
      <c r="F105" s="548"/>
      <c r="G105" s="548"/>
      <c r="H105" s="548"/>
      <c r="I105" s="548"/>
      <c r="J105" s="548"/>
      <c r="K105" s="548"/>
      <c r="L105" s="548"/>
      <c r="M105" s="548"/>
      <c r="N105" s="548"/>
      <c r="O105" s="548"/>
      <c r="P105" s="548"/>
      <c r="Q105" s="548"/>
      <c r="R105" s="548"/>
      <c r="S105" s="548"/>
      <c r="T105" s="548"/>
      <c r="U105" s="548"/>
      <c r="V105" s="548"/>
      <c r="W105" s="548"/>
      <c r="X105" s="548"/>
    </row>
    <row r="108" spans="5:24" x14ac:dyDescent="0.2">
      <c r="I108" s="90"/>
    </row>
  </sheetData>
  <mergeCells count="4">
    <mergeCell ref="B2:U2"/>
    <mergeCell ref="B50:U50"/>
    <mergeCell ref="B94:U94"/>
    <mergeCell ref="E105:X105"/>
  </mergeCells>
  <phoneticPr fontId="24" type="noConversion"/>
  <printOptions horizontalCentered="1" verticalCentered="1"/>
  <pageMargins left="0.25" right="0.25" top="0.25" bottom="0.25" header="0.25" footer="0.25"/>
  <pageSetup scale="43" orientation="portrait" horizontalDpi="300" verticalDpi="300"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F659F9DE55821499A113E757D649075" ma:contentTypeVersion="11" ma:contentTypeDescription="Create a new document." ma:contentTypeScope="" ma:versionID="c0890b4e2f32cce2d1da8ac3d50d21a7">
  <xsd:schema xmlns:xsd="http://www.w3.org/2001/XMLSchema" xmlns:xs="http://www.w3.org/2001/XMLSchema" xmlns:p="http://schemas.microsoft.com/office/2006/metadata/properties" xmlns:ns3="0d96cb44-41ba-42be-948d-6bc05d514bf8" xmlns:ns4="53a6ba30-a323-406b-a0d3-ffdc4a13edfc" targetNamespace="http://schemas.microsoft.com/office/2006/metadata/properties" ma:root="true" ma:fieldsID="aa6736283ee6d91d5e538a6b1f58ba31" ns3:_="" ns4:_="">
    <xsd:import namespace="0d96cb44-41ba-42be-948d-6bc05d514bf8"/>
    <xsd:import namespace="53a6ba30-a323-406b-a0d3-ffdc4a13edfc"/>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96cb44-41ba-42be-948d-6bc05d514b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3a6ba30-a323-406b-a0d3-ffdc4a13edfc"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C96BC5-5FFF-4B8D-889B-9586FB4658D9}">
  <ds:schemaRefs>
    <ds:schemaRef ds:uri="53a6ba30-a323-406b-a0d3-ffdc4a13edfc"/>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0d96cb44-41ba-42be-948d-6bc05d514bf8"/>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8CD33B72-3275-4518-8697-47BC9ADE9F2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d96cb44-41ba-42be-948d-6bc05d514bf8"/>
    <ds:schemaRef ds:uri="53a6ba30-a323-406b-a0d3-ffdc4a13edf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329E2EA-EF9F-4CDB-B4B4-182F08F6C63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STATION</vt:lpstr>
      <vt:lpstr>UNITS</vt:lpstr>
      <vt:lpstr>Totalizer</vt:lpstr>
      <vt:lpstr>BOILERS</vt:lpstr>
      <vt:lpstr>Variance</vt:lpstr>
      <vt:lpstr>EQUIPMENT outage</vt:lpstr>
      <vt:lpstr>ASSET outage</vt:lpstr>
      <vt:lpstr>Equipment Status</vt:lpstr>
      <vt:lpstr>GRAPHS</vt:lpstr>
      <vt:lpstr>KPI tracker</vt:lpstr>
      <vt:lpstr>Remarks</vt:lpstr>
      <vt:lpstr>KPI analysis</vt:lpstr>
      <vt:lpstr>Best Achievments</vt:lpstr>
      <vt:lpstr>BOILERS!Print_Titles</vt:lpstr>
      <vt:lpstr>STATION!Print_Titles</vt:lpstr>
      <vt:lpstr>UNITS!Print_Titles</vt:lpstr>
    </vt:vector>
  </TitlesOfParts>
  <Manager/>
  <Company>The Tata Power Company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PxxxEmpnumCxxxx</dc:creator>
  <cp:keywords/>
  <dc:description/>
  <cp:lastModifiedBy>Kundu Partha</cp:lastModifiedBy>
  <cp:revision/>
  <dcterms:created xsi:type="dcterms:W3CDTF">2008-11-01T17:13:50Z</dcterms:created>
  <dcterms:modified xsi:type="dcterms:W3CDTF">2024-08-30T07:23:02Z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b8ed580-7b07-4de3-bcfc-baf51b37f0d5_Enabled">
    <vt:lpwstr>True</vt:lpwstr>
  </property>
  <property fmtid="{D5CDD505-2E9C-101B-9397-08002B2CF9AE}" pid="3" name="MSIP_Label_9b8ed580-7b07-4de3-bcfc-baf51b37f0d5_SiteId">
    <vt:lpwstr>04ea39e3-ac5b-4971-937c-8344c97a4509</vt:lpwstr>
  </property>
  <property fmtid="{D5CDD505-2E9C-101B-9397-08002B2CF9AE}" pid="4" name="MSIP_Label_9b8ed580-7b07-4de3-bcfc-baf51b37f0d5_Owner">
    <vt:lpwstr>amitsadhukhan@tatapower.com</vt:lpwstr>
  </property>
  <property fmtid="{D5CDD505-2E9C-101B-9397-08002B2CF9AE}" pid="5" name="MSIP_Label_9b8ed580-7b07-4de3-bcfc-baf51b37f0d5_SetDate">
    <vt:lpwstr>2019-02-15T18:04:24.7963772Z</vt:lpwstr>
  </property>
  <property fmtid="{D5CDD505-2E9C-101B-9397-08002B2CF9AE}" pid="6" name="MSIP_Label_9b8ed580-7b07-4de3-bcfc-baf51b37f0d5_Name">
    <vt:lpwstr>Public</vt:lpwstr>
  </property>
  <property fmtid="{D5CDD505-2E9C-101B-9397-08002B2CF9AE}" pid="7" name="MSIP_Label_9b8ed580-7b07-4de3-bcfc-baf51b37f0d5_Application">
    <vt:lpwstr>Microsoft Azure Information Protection</vt:lpwstr>
  </property>
  <property fmtid="{D5CDD505-2E9C-101B-9397-08002B2CF9AE}" pid="8" name="MSIP_Label_9b8ed580-7b07-4de3-bcfc-baf51b37f0d5_Extended_MSFT_Method">
    <vt:lpwstr>Automatic</vt:lpwstr>
  </property>
  <property fmtid="{D5CDD505-2E9C-101B-9397-08002B2CF9AE}" pid="9" name="Sensitivity">
    <vt:lpwstr>Public</vt:lpwstr>
  </property>
  <property fmtid="{D5CDD505-2E9C-101B-9397-08002B2CF9AE}" pid="10" name="ContentTypeId">
    <vt:lpwstr>0x0101003F659F9DE55821499A113E757D649075</vt:lpwstr>
  </property>
</Properties>
</file>