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always" codeName="ThisWorkbook" defaultThemeVersion="124226"/>
  <mc:AlternateContent xmlns:mc="http://schemas.openxmlformats.org/markup-compatibility/2006">
    <mc:Choice Requires="x15">
      <x15ac:absPath xmlns:x15ac="http://schemas.microsoft.com/office/spreadsheetml/2010/11/ac" url="https://tatapower-my.sharepoint.com/personal/pkundu_tatapower_com/Documents/Daily Station Report haldia/FY 24-25/"/>
    </mc:Choice>
  </mc:AlternateContent>
  <xr:revisionPtr revIDLastSave="7159" documentId="13_ncr:1_{9DA7098F-4980-48BD-8FB2-C61F4C787C70}" xr6:coauthVersionLast="47" xr6:coauthVersionMax="47" xr10:uidLastSave="{66896556-7FBD-4FB6-AE4A-CF7F2BFA7E22}"/>
  <bookViews>
    <workbookView xWindow="-120" yWindow="-120" windowWidth="20730" windowHeight="11160" tabRatio="645" activeTab="3" xr2:uid="{00000000-000D-0000-FFFF-FFFF00000000}"/>
  </bookViews>
  <sheets>
    <sheet name="STATION" sheetId="12" r:id="rId1"/>
    <sheet name="UNITS" sheetId="10" r:id="rId2"/>
    <sheet name="Totalizer" sheetId="16" r:id="rId3"/>
    <sheet name="BOILERS" sheetId="1" r:id="rId4"/>
    <sheet name="Variance" sheetId="13" state="hidden" r:id="rId5"/>
    <sheet name="EQUIPMENT outage" sheetId="20" state="hidden" r:id="rId6"/>
    <sheet name="ASSET outage" sheetId="19" state="hidden" r:id="rId7"/>
    <sheet name="Equipment Status" sheetId="14" state="hidden" r:id="rId8"/>
    <sheet name="GRAPHS" sheetId="4" r:id="rId9"/>
    <sheet name="KPI tracker" sheetId="22" state="hidden" r:id="rId10"/>
    <sheet name="Remarks" sheetId="21" state="hidden" r:id="rId11"/>
    <sheet name="KPI analysis" sheetId="23" state="hidden" r:id="rId12"/>
    <sheet name="Best Achievments" sheetId="25" state="hidden" r:id="rId13"/>
  </sheets>
  <externalReferences>
    <externalReference r:id="rId14"/>
    <externalReference r:id="rId15"/>
  </externalReferences>
  <definedNames>
    <definedName name="_xlnm._FilterDatabase" localSheetId="1" hidden="1">UNITS!$A$1:$AH$29</definedName>
    <definedName name="_xlnm.Print_Titles" localSheetId="3">BOILERS!$A:$B</definedName>
    <definedName name="_xlnm.Print_Titles" localSheetId="0">STATION!$A:$A</definedName>
    <definedName name="_xlnm.Print_Titles" localSheetId="1">UNITS!$A:$A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6" i="12" l="1"/>
  <c r="AH9" i="12"/>
  <c r="AH7" i="12"/>
  <c r="AJ57" i="16" l="1"/>
  <c r="AJ58" i="16"/>
  <c r="AC81" i="16"/>
  <c r="AD81" i="16"/>
  <c r="D61" i="12"/>
  <c r="AI63" i="16"/>
  <c r="AI81" i="16"/>
  <c r="AI59" i="16"/>
  <c r="AI54" i="16"/>
  <c r="AI55" i="16"/>
  <c r="AI60" i="16" s="1"/>
  <c r="AI56" i="16"/>
  <c r="AI57" i="16"/>
  <c r="AI58" i="16"/>
  <c r="AI61" i="16"/>
  <c r="AI62" i="16"/>
  <c r="AI73" i="16" s="1"/>
  <c r="AI64" i="16"/>
  <c r="AI65" i="16"/>
  <c r="AI66" i="16"/>
  <c r="AI67" i="16"/>
  <c r="AI68" i="16"/>
  <c r="AI69" i="16"/>
  <c r="AI83" i="16" s="1"/>
  <c r="AI70" i="16"/>
  <c r="AI84" i="16"/>
  <c r="AI77" i="16" l="1"/>
  <c r="AI80" i="16" s="1"/>
  <c r="AI82" i="16"/>
  <c r="AI71" i="16"/>
  <c r="AI74" i="16"/>
  <c r="AI79" i="16"/>
  <c r="AI78" i="16" l="1"/>
  <c r="AI72" i="16" s="1"/>
  <c r="AI75" i="16"/>
  <c r="D32" i="13"/>
  <c r="F32" i="13" s="1"/>
  <c r="D31" i="13"/>
  <c r="B32" i="13"/>
  <c r="C32" i="13"/>
  <c r="AG69" i="12"/>
  <c r="AG70" i="12" s="1"/>
  <c r="AG65" i="12"/>
  <c r="AG66" i="12" s="1"/>
  <c r="AG57" i="12"/>
  <c r="AG58" i="12" s="1"/>
  <c r="AG51" i="12"/>
  <c r="AG49" i="12"/>
  <c r="AG50" i="12"/>
  <c r="AG46" i="12"/>
  <c r="AG47" i="12"/>
  <c r="AG41" i="12"/>
  <c r="AG42" i="12" s="1"/>
  <c r="AG43" i="12"/>
  <c r="AG44" i="12"/>
  <c r="AG35" i="12"/>
  <c r="AG36" i="12"/>
  <c r="AG37" i="12" s="1"/>
  <c r="AG31" i="12"/>
  <c r="AG32" i="12"/>
  <c r="AG33" i="12"/>
  <c r="AG27" i="12"/>
  <c r="AG28" i="12"/>
  <c r="AG29" i="12" s="1"/>
  <c r="AG21" i="12"/>
  <c r="AG22" i="12"/>
  <c r="AG23" i="12"/>
  <c r="AG24" i="12"/>
  <c r="AG25" i="12"/>
  <c r="AG15" i="12"/>
  <c r="AG16" i="12"/>
  <c r="AG17" i="12"/>
  <c r="AG12" i="12"/>
  <c r="AG5" i="12"/>
  <c r="AG6" i="12"/>
  <c r="AG7" i="12"/>
  <c r="AG8" i="12" s="1"/>
  <c r="AG9" i="12"/>
  <c r="AG79" i="10"/>
  <c r="AG80" i="10"/>
  <c r="AG81" i="10" s="1"/>
  <c r="AG82" i="10"/>
  <c r="AG83" i="10"/>
  <c r="AG75" i="10"/>
  <c r="AG76" i="10" s="1"/>
  <c r="AG77" i="10" s="1"/>
  <c r="AG68" i="10"/>
  <c r="AG69" i="10"/>
  <c r="AG70" i="10"/>
  <c r="AG72" i="10"/>
  <c r="AG73" i="10"/>
  <c r="AG62" i="10"/>
  <c r="AG63" i="10"/>
  <c r="AG66" i="10"/>
  <c r="AG52" i="10"/>
  <c r="AG48" i="10" s="1"/>
  <c r="AG49" i="10" s="1"/>
  <c r="AG50" i="10" s="1"/>
  <c r="AG53" i="10"/>
  <c r="AG54" i="10"/>
  <c r="AG55" i="10"/>
  <c r="AG56" i="10"/>
  <c r="AG41" i="10"/>
  <c r="AG42" i="10"/>
  <c r="AG43" i="10"/>
  <c r="AG45" i="10"/>
  <c r="AG46" i="10"/>
  <c r="AG35" i="10"/>
  <c r="AG36" i="10" s="1"/>
  <c r="AG39" i="10"/>
  <c r="AG25" i="10"/>
  <c r="AG21" i="10" s="1"/>
  <c r="AG22" i="10" s="1"/>
  <c r="AG23" i="10" s="1"/>
  <c r="AG26" i="10"/>
  <c r="AG27" i="10" s="1"/>
  <c r="AG28" i="10"/>
  <c r="AG29" i="10"/>
  <c r="AG14" i="10"/>
  <c r="AG15" i="10"/>
  <c r="AG16" i="10"/>
  <c r="AG18" i="10"/>
  <c r="AG19" i="10"/>
  <c r="AG8" i="10"/>
  <c r="AG9" i="10" s="1"/>
  <c r="AG12" i="10"/>
  <c r="AI76" i="16" l="1"/>
  <c r="AG59" i="12"/>
  <c r="AG60" i="12" s="1"/>
  <c r="AG61" i="12" s="1"/>
  <c r="E32" i="13"/>
  <c r="AH71" i="1"/>
  <c r="AH66" i="1"/>
  <c r="AH61" i="1"/>
  <c r="AH56" i="1"/>
  <c r="AH49" i="1"/>
  <c r="AH46" i="1"/>
  <c r="AH43" i="1"/>
  <c r="AH40" i="1"/>
  <c r="AH37" i="1"/>
  <c r="AH34" i="1"/>
  <c r="AH31" i="1"/>
  <c r="AH28" i="1"/>
  <c r="AH25" i="1"/>
  <c r="AH22" i="1"/>
  <c r="AH19" i="1"/>
  <c r="AH16" i="1"/>
  <c r="AH13" i="1"/>
  <c r="AH10" i="1"/>
  <c r="AH7" i="1"/>
  <c r="AH4" i="1"/>
  <c r="AH29" i="16"/>
  <c r="AH30" i="16"/>
  <c r="AH31" i="16"/>
  <c r="AH32" i="16"/>
  <c r="AH33" i="16"/>
  <c r="AH34" i="16"/>
  <c r="AH35" i="16"/>
  <c r="AH36" i="16"/>
  <c r="AH37" i="16"/>
  <c r="AH38" i="16"/>
  <c r="AH39" i="16"/>
  <c r="AH83" i="16" l="1"/>
  <c r="AH54" i="16"/>
  <c r="AH55" i="16"/>
  <c r="AH56" i="16"/>
  <c r="AH79" i="16" s="1"/>
  <c r="AH57" i="16"/>
  <c r="AH58" i="16"/>
  <c r="AH59" i="16"/>
  <c r="AH81" i="16" s="1"/>
  <c r="AH60" i="16"/>
  <c r="AH61" i="16"/>
  <c r="AH62" i="16"/>
  <c r="AH63" i="16"/>
  <c r="AH64" i="16"/>
  <c r="AH65" i="16"/>
  <c r="AH66" i="16"/>
  <c r="AH67" i="16"/>
  <c r="AH68" i="16"/>
  <c r="AH69" i="16"/>
  <c r="AH70" i="16" s="1"/>
  <c r="AH73" i="16"/>
  <c r="AH74" i="16" s="1"/>
  <c r="AH84" i="16"/>
  <c r="AH82" i="16" l="1"/>
  <c r="AH77" i="16"/>
  <c r="AH78" i="16"/>
  <c r="AH76" i="16" s="1"/>
  <c r="AH80" i="16" l="1"/>
  <c r="AH75" i="16"/>
  <c r="AH72" i="16"/>
  <c r="AH71" i="16"/>
  <c r="AG71" i="1" l="1"/>
  <c r="AG66" i="1"/>
  <c r="AG61" i="1"/>
  <c r="AG56" i="1"/>
  <c r="AG49" i="1"/>
  <c r="AG46" i="1"/>
  <c r="AG43" i="1"/>
  <c r="AG40" i="1"/>
  <c r="AG37" i="1"/>
  <c r="AG34" i="1"/>
  <c r="AG31" i="1"/>
  <c r="AG28" i="1"/>
  <c r="AG25" i="1"/>
  <c r="AG22" i="1"/>
  <c r="AG19" i="1"/>
  <c r="AG16" i="1"/>
  <c r="AG13" i="1"/>
  <c r="AG10" i="1"/>
  <c r="AG7" i="1"/>
  <c r="AG4" i="1"/>
  <c r="AG29" i="16"/>
  <c r="AG30" i="16"/>
  <c r="AG31" i="16"/>
  <c r="AG32" i="16"/>
  <c r="AG39" i="16" s="1"/>
  <c r="AG33" i="16"/>
  <c r="AG34" i="16"/>
  <c r="AG35" i="16"/>
  <c r="AG36" i="16"/>
  <c r="AG37" i="16"/>
  <c r="AG38" i="16"/>
  <c r="AF79" i="10" l="1"/>
  <c r="AF75" i="10" s="1"/>
  <c r="AF76" i="10" s="1"/>
  <c r="AF80" i="10"/>
  <c r="AF81" i="10"/>
  <c r="AF82" i="10"/>
  <c r="AF83" i="10"/>
  <c r="AF68" i="10"/>
  <c r="AF72" i="10"/>
  <c r="AF73" i="10"/>
  <c r="AF62" i="10"/>
  <c r="AF69" i="10" s="1"/>
  <c r="AF66" i="10"/>
  <c r="AF52" i="10"/>
  <c r="AF48" i="10" s="1"/>
  <c r="AF49" i="10" s="1"/>
  <c r="AF50" i="10" s="1"/>
  <c r="AF53" i="10"/>
  <c r="AF54" i="10"/>
  <c r="AF55" i="10"/>
  <c r="AF56" i="10" s="1"/>
  <c r="AF41" i="10"/>
  <c r="AF45" i="10"/>
  <c r="AF46" i="10"/>
  <c r="AF35" i="10"/>
  <c r="AF36" i="10" s="1"/>
  <c r="AF43" i="10" s="1"/>
  <c r="AF39" i="10"/>
  <c r="AF25" i="10"/>
  <c r="AF21" i="10" s="1"/>
  <c r="AF22" i="10" s="1"/>
  <c r="AF23" i="10" s="1"/>
  <c r="AF26" i="10"/>
  <c r="AF27" i="10"/>
  <c r="AF28" i="10"/>
  <c r="AF29" i="10" s="1"/>
  <c r="AF14" i="10"/>
  <c r="AF15" i="10"/>
  <c r="AF18" i="10"/>
  <c r="AF19" i="10" s="1"/>
  <c r="AF8" i="10"/>
  <c r="AF9" i="10" s="1"/>
  <c r="AF16" i="10" s="1"/>
  <c r="AF12" i="10"/>
  <c r="AF69" i="12"/>
  <c r="AF70" i="12" s="1"/>
  <c r="AF65" i="12"/>
  <c r="AF66" i="12" s="1"/>
  <c r="AF57" i="12"/>
  <c r="AF49" i="12"/>
  <c r="AF50" i="12" s="1"/>
  <c r="AF46" i="12"/>
  <c r="AF47" i="12" s="1"/>
  <c r="AF41" i="12"/>
  <c r="AF42" i="12" s="1"/>
  <c r="AF43" i="12"/>
  <c r="AF44" i="12" s="1"/>
  <c r="AF35" i="12"/>
  <c r="AF36" i="12"/>
  <c r="AF37" i="12" s="1"/>
  <c r="AF31" i="12"/>
  <c r="AF32" i="12" s="1"/>
  <c r="AF33" i="12" s="1"/>
  <c r="AF22" i="12"/>
  <c r="AF5" i="12"/>
  <c r="AF15" i="12" s="1"/>
  <c r="AF6" i="12"/>
  <c r="AF23" i="12" s="1"/>
  <c r="AG54" i="16"/>
  <c r="AG55" i="16"/>
  <c r="AG56" i="16"/>
  <c r="AG79" i="16" s="1"/>
  <c r="AG57" i="16"/>
  <c r="AG58" i="16"/>
  <c r="AG69" i="16" s="1"/>
  <c r="AG59" i="16"/>
  <c r="AG60" i="16"/>
  <c r="AG61" i="16"/>
  <c r="AG62" i="16"/>
  <c r="AG63" i="16"/>
  <c r="AG64" i="16"/>
  <c r="AG65" i="16"/>
  <c r="AG66" i="16"/>
  <c r="AG81" i="16" s="1"/>
  <c r="AG67" i="16"/>
  <c r="AG68" i="16"/>
  <c r="AG73" i="16"/>
  <c r="AG74" i="16"/>
  <c r="AG84" i="16"/>
  <c r="AF63" i="10" l="1"/>
  <c r="AF70" i="10" s="1"/>
  <c r="AF42" i="10"/>
  <c r="AF21" i="12"/>
  <c r="AF7" i="12"/>
  <c r="AF9" i="12"/>
  <c r="AF58" i="12"/>
  <c r="AF24" i="12"/>
  <c r="AF77" i="10"/>
  <c r="AF51" i="12"/>
  <c r="AF59" i="12"/>
  <c r="AF60" i="12" s="1"/>
  <c r="AF27" i="12"/>
  <c r="AF28" i="12" s="1"/>
  <c r="AF29" i="12" s="1"/>
  <c r="AG70" i="16"/>
  <c r="AG83" i="16"/>
  <c r="AG77" i="16"/>
  <c r="AG71" i="16"/>
  <c r="AG82" i="16"/>
  <c r="AG78" i="16"/>
  <c r="AG76" i="16" s="1"/>
  <c r="AF8" i="12" l="1"/>
  <c r="AF12" i="12"/>
  <c r="AF16" i="12"/>
  <c r="AG72" i="16"/>
  <c r="AG80" i="16"/>
  <c r="AG75" i="16"/>
  <c r="AF17" i="12" l="1"/>
  <c r="AF25" i="12"/>
  <c r="AF61" i="12"/>
  <c r="AE65" i="12"/>
  <c r="AE66" i="12" s="1"/>
  <c r="AE69" i="12"/>
  <c r="AE70" i="12" s="1"/>
  <c r="AE57" i="12"/>
  <c r="AE58" i="12" s="1"/>
  <c r="AE51" i="12"/>
  <c r="AE49" i="12"/>
  <c r="AE50" i="12" s="1"/>
  <c r="AE46" i="12"/>
  <c r="AE47" i="12" s="1"/>
  <c r="AE41" i="12"/>
  <c r="AE42" i="12" s="1"/>
  <c r="AE43" i="12"/>
  <c r="AE44" i="12"/>
  <c r="AE35" i="12"/>
  <c r="AE36" i="12" s="1"/>
  <c r="AE37" i="12" s="1"/>
  <c r="AE31" i="12"/>
  <c r="AE32" i="12"/>
  <c r="AE33" i="12" s="1"/>
  <c r="AE21" i="12"/>
  <c r="AE22" i="12"/>
  <c r="AE24" i="12" s="1"/>
  <c r="AE23" i="12"/>
  <c r="AE25" i="12"/>
  <c r="AE15" i="12"/>
  <c r="AE16" i="12"/>
  <c r="AE17" i="12"/>
  <c r="AE12" i="12"/>
  <c r="AE5" i="12"/>
  <c r="AE7" i="12" s="1"/>
  <c r="AE8" i="12" s="1"/>
  <c r="AE6" i="12"/>
  <c r="AF49" i="1"/>
  <c r="AF46" i="1"/>
  <c r="AF43" i="1"/>
  <c r="AF40" i="1"/>
  <c r="AF37" i="1"/>
  <c r="AF34" i="1"/>
  <c r="AF31" i="1"/>
  <c r="AF28" i="1"/>
  <c r="AF25" i="1"/>
  <c r="AF22" i="1"/>
  <c r="AF19" i="1"/>
  <c r="AF16" i="1"/>
  <c r="AF13" i="1"/>
  <c r="AF10" i="1"/>
  <c r="AF7" i="1"/>
  <c r="AF4" i="1"/>
  <c r="AF29" i="16"/>
  <c r="AF30" i="16"/>
  <c r="AF31" i="16"/>
  <c r="AE82" i="10" s="1"/>
  <c r="AE83" i="10" s="1"/>
  <c r="AF32" i="16"/>
  <c r="AF33" i="16"/>
  <c r="AF34" i="16"/>
  <c r="AF35" i="16"/>
  <c r="AF36" i="16"/>
  <c r="AF37" i="16"/>
  <c r="AF38" i="16"/>
  <c r="AF39" i="16"/>
  <c r="AE79" i="10"/>
  <c r="AE80" i="10"/>
  <c r="AE81" i="10"/>
  <c r="AE68" i="10"/>
  <c r="AE69" i="10"/>
  <c r="AE70" i="10"/>
  <c r="AE72" i="10"/>
  <c r="AE73" i="10" s="1"/>
  <c r="AE62" i="10"/>
  <c r="AE63" i="10" s="1"/>
  <c r="AE66" i="10"/>
  <c r="AE52" i="10"/>
  <c r="AE53" i="10"/>
  <c r="AE54" i="10" s="1"/>
  <c r="AE55" i="10"/>
  <c r="AE56" i="10" s="1"/>
  <c r="AE41" i="10"/>
  <c r="AE42" i="10"/>
  <c r="AE43" i="10"/>
  <c r="AE45" i="10"/>
  <c r="AE46" i="10"/>
  <c r="AE35" i="10"/>
  <c r="AE36" i="10" s="1"/>
  <c r="AE39" i="10"/>
  <c r="AE25" i="10"/>
  <c r="AE26" i="10"/>
  <c r="AE27" i="10" s="1"/>
  <c r="AE28" i="10"/>
  <c r="AE29" i="10" s="1"/>
  <c r="AE14" i="10"/>
  <c r="AE15" i="10"/>
  <c r="AE16" i="10"/>
  <c r="AE18" i="10"/>
  <c r="AE19" i="10"/>
  <c r="AE8" i="10"/>
  <c r="AE9" i="10"/>
  <c r="AE12" i="10"/>
  <c r="AE59" i="12" l="1"/>
  <c r="AE60" i="12" s="1"/>
  <c r="AE61" i="12" s="1"/>
  <c r="AE27" i="12"/>
  <c r="AE28" i="12" s="1"/>
  <c r="AE29" i="12" s="1"/>
  <c r="AE9" i="12"/>
  <c r="AF81" i="16" l="1"/>
  <c r="AF54" i="16"/>
  <c r="AF55" i="16"/>
  <c r="AF60" i="16" s="1"/>
  <c r="AF56" i="16"/>
  <c r="AF57" i="16"/>
  <c r="AF58" i="16"/>
  <c r="AF59" i="16"/>
  <c r="AF61" i="16"/>
  <c r="AF62" i="16"/>
  <c r="AF63" i="16"/>
  <c r="AF64" i="16"/>
  <c r="AF65" i="16"/>
  <c r="AF66" i="16"/>
  <c r="AF67" i="16"/>
  <c r="AF68" i="16"/>
  <c r="AF73" i="16"/>
  <c r="AF74" i="16"/>
  <c r="AF84" i="16"/>
  <c r="AF82" i="16" l="1"/>
  <c r="AF77" i="16"/>
  <c r="AF80" i="16" s="1"/>
  <c r="AF79" i="16"/>
  <c r="AF69" i="16"/>
  <c r="AF71" i="16" l="1"/>
  <c r="AF83" i="16"/>
  <c r="AF70" i="16"/>
  <c r="AF75" i="16"/>
  <c r="AF78" i="16"/>
  <c r="AF76" i="16" s="1"/>
  <c r="AF72" i="16" l="1"/>
  <c r="AE49" i="1" l="1"/>
  <c r="AE46" i="1"/>
  <c r="AE43" i="1"/>
  <c r="AE40" i="1"/>
  <c r="AE37" i="1"/>
  <c r="AE34" i="1"/>
  <c r="AE31" i="1"/>
  <c r="AE28" i="1"/>
  <c r="AE25" i="1"/>
  <c r="AE22" i="1"/>
  <c r="AE19" i="1"/>
  <c r="AE16" i="1"/>
  <c r="AE13" i="1"/>
  <c r="AE10" i="1"/>
  <c r="AE7" i="1"/>
  <c r="AE4" i="1"/>
  <c r="AE29" i="16"/>
  <c r="AE30" i="16"/>
  <c r="AE31" i="16"/>
  <c r="AE32" i="16"/>
  <c r="AE33" i="16"/>
  <c r="AE34" i="16"/>
  <c r="AE35" i="16"/>
  <c r="AE36" i="16"/>
  <c r="AE37" i="16"/>
  <c r="AE38" i="16"/>
  <c r="AE39" i="16" l="1"/>
  <c r="AD79" i="10" l="1"/>
  <c r="AD80" i="10" s="1"/>
  <c r="AD81" i="10" s="1"/>
  <c r="AD82" i="10"/>
  <c r="AD83" i="10" s="1"/>
  <c r="AD68" i="10"/>
  <c r="AD72" i="10"/>
  <c r="AD73" i="10" s="1"/>
  <c r="AD62" i="10"/>
  <c r="AD63" i="10" s="1"/>
  <c r="AD70" i="10" s="1"/>
  <c r="AD66" i="10"/>
  <c r="AD52" i="10"/>
  <c r="AD53" i="10"/>
  <c r="AD54" i="10"/>
  <c r="AD55" i="10"/>
  <c r="AD41" i="10"/>
  <c r="AD42" i="10"/>
  <c r="AD45" i="10"/>
  <c r="AD46" i="10" s="1"/>
  <c r="AD35" i="10"/>
  <c r="AD36" i="10" s="1"/>
  <c r="AD43" i="10" s="1"/>
  <c r="AD39" i="10"/>
  <c r="AD25" i="10"/>
  <c r="AD26" i="10"/>
  <c r="AD27" i="10"/>
  <c r="AD28" i="10"/>
  <c r="AD29" i="10"/>
  <c r="AD14" i="10"/>
  <c r="AD18" i="10"/>
  <c r="AD19" i="10" s="1"/>
  <c r="AD8" i="10"/>
  <c r="AD15" i="10" s="1"/>
  <c r="AD9" i="10"/>
  <c r="AD16" i="10" s="1"/>
  <c r="AD12" i="10"/>
  <c r="AD65" i="12"/>
  <c r="AD66" i="12"/>
  <c r="AD69" i="12"/>
  <c r="AD70" i="12"/>
  <c r="AD57" i="12"/>
  <c r="AD49" i="12"/>
  <c r="AD50" i="12" s="1"/>
  <c r="AD46" i="12"/>
  <c r="AD47" i="12" s="1"/>
  <c r="AD41" i="12"/>
  <c r="AD42" i="12" s="1"/>
  <c r="AD43" i="12"/>
  <c r="AD44" i="12" s="1"/>
  <c r="AD35" i="12"/>
  <c r="AD27" i="12" s="1"/>
  <c r="AD28" i="12" s="1"/>
  <c r="AD29" i="12" s="1"/>
  <c r="AD36" i="12"/>
  <c r="AD37" i="12" s="1"/>
  <c r="AD31" i="12"/>
  <c r="AD32" i="12"/>
  <c r="AD33" i="12" s="1"/>
  <c r="AD22" i="12"/>
  <c r="AD5" i="12"/>
  <c r="AD9" i="12" s="1"/>
  <c r="AD6" i="12"/>
  <c r="AD23" i="12" s="1"/>
  <c r="AE54" i="16"/>
  <c r="AE55" i="16"/>
  <c r="AE56" i="16"/>
  <c r="AE79" i="16" s="1"/>
  <c r="AE57" i="16"/>
  <c r="AE58" i="16"/>
  <c r="AE81" i="16" s="1"/>
  <c r="AE59" i="16"/>
  <c r="AE84" i="16" s="1"/>
  <c r="AE60" i="16"/>
  <c r="AE61" i="16"/>
  <c r="AE62" i="16"/>
  <c r="AE63" i="16"/>
  <c r="AE64" i="16"/>
  <c r="AE65" i="16"/>
  <c r="AE66" i="16"/>
  <c r="AE67" i="16"/>
  <c r="AE68" i="16"/>
  <c r="AE73" i="16"/>
  <c r="AE74" i="16"/>
  <c r="AD7" i="12" l="1"/>
  <c r="AD12" i="12" s="1"/>
  <c r="AD69" i="10"/>
  <c r="AD21" i="12"/>
  <c r="AD8" i="12"/>
  <c r="AD17" i="12" s="1"/>
  <c r="AD24" i="12"/>
  <c r="AD58" i="12"/>
  <c r="AD16" i="12"/>
  <c r="AD15" i="12"/>
  <c r="AD51" i="12"/>
  <c r="AD56" i="10"/>
  <c r="AD59" i="12"/>
  <c r="AD60" i="12" s="1"/>
  <c r="AE77" i="16"/>
  <c r="AE75" i="16" s="1"/>
  <c r="AE82" i="16"/>
  <c r="AE71" i="16"/>
  <c r="AE69" i="16"/>
  <c r="AE80" i="16"/>
  <c r="AD49" i="1"/>
  <c r="AD46" i="1"/>
  <c r="AD43" i="1"/>
  <c r="AD40" i="1"/>
  <c r="AD37" i="1"/>
  <c r="AD34" i="1"/>
  <c r="AD31" i="1"/>
  <c r="AD28" i="1"/>
  <c r="AD25" i="1"/>
  <c r="AD22" i="1"/>
  <c r="AD19" i="1"/>
  <c r="AD16" i="1"/>
  <c r="AD13" i="1"/>
  <c r="AD10" i="1"/>
  <c r="AD7" i="1"/>
  <c r="AD4" i="1"/>
  <c r="AD29" i="16"/>
  <c r="AD30" i="16"/>
  <c r="AD31" i="16"/>
  <c r="AD32" i="16"/>
  <c r="AD33" i="16"/>
  <c r="AD34" i="16"/>
  <c r="AD35" i="16"/>
  <c r="AD36" i="16"/>
  <c r="AD37" i="16"/>
  <c r="AD38" i="16"/>
  <c r="AD39" i="16"/>
  <c r="AD25" i="12" l="1"/>
  <c r="AD61" i="12"/>
  <c r="AE83" i="16"/>
  <c r="AE70" i="16"/>
  <c r="AE78" i="16"/>
  <c r="AE76" i="16" s="1"/>
  <c r="AC79" i="10"/>
  <c r="AC80" i="10"/>
  <c r="AC81" i="10"/>
  <c r="AC82" i="10"/>
  <c r="AC83" i="10" s="1"/>
  <c r="AC68" i="10"/>
  <c r="AC69" i="10"/>
  <c r="AC72" i="10"/>
  <c r="AC73" i="10"/>
  <c r="AC62" i="10"/>
  <c r="AC63" i="10" s="1"/>
  <c r="AC70" i="10" s="1"/>
  <c r="AC66" i="10"/>
  <c r="AC52" i="10"/>
  <c r="AC53" i="10"/>
  <c r="AC54" i="10"/>
  <c r="AC55" i="10"/>
  <c r="AC56" i="10"/>
  <c r="AC41" i="10"/>
  <c r="AC43" i="10"/>
  <c r="AC45" i="10"/>
  <c r="AC46" i="10" s="1"/>
  <c r="AC35" i="10"/>
  <c r="AC42" i="10" s="1"/>
  <c r="AC36" i="10"/>
  <c r="AC39" i="10"/>
  <c r="AC25" i="10"/>
  <c r="AC26" i="10"/>
  <c r="AC27" i="10" s="1"/>
  <c r="AC28" i="10"/>
  <c r="AC29" i="10" s="1"/>
  <c r="AC14" i="10"/>
  <c r="AC18" i="10"/>
  <c r="AC19" i="10"/>
  <c r="AC8" i="10"/>
  <c r="AC9" i="10" s="1"/>
  <c r="AC16" i="10" s="1"/>
  <c r="AC12" i="10"/>
  <c r="AC65" i="12"/>
  <c r="AC66" i="12" s="1"/>
  <c r="AC69" i="12"/>
  <c r="AC70" i="12" s="1"/>
  <c r="AC57" i="12"/>
  <c r="AC59" i="12" s="1"/>
  <c r="AC49" i="12"/>
  <c r="AC50" i="12" s="1"/>
  <c r="AC46" i="12"/>
  <c r="AC47" i="12"/>
  <c r="AC41" i="12"/>
  <c r="AC42" i="12" s="1"/>
  <c r="AC43" i="12"/>
  <c r="AC44" i="12"/>
  <c r="AC35" i="12"/>
  <c r="AC36" i="12" s="1"/>
  <c r="AC37" i="12" s="1"/>
  <c r="AC31" i="12"/>
  <c r="AC27" i="12" s="1"/>
  <c r="AC28" i="12" s="1"/>
  <c r="AC29" i="12" s="1"/>
  <c r="AC32" i="12"/>
  <c r="AC33" i="12" s="1"/>
  <c r="AC22" i="12"/>
  <c r="AC23" i="12"/>
  <c r="AC5" i="12"/>
  <c r="AC7" i="12" s="1"/>
  <c r="AC16" i="12" s="1"/>
  <c r="AC6" i="12"/>
  <c r="AE72" i="16" l="1"/>
  <c r="AC51" i="12"/>
  <c r="AC24" i="12"/>
  <c r="AC21" i="12"/>
  <c r="AC60" i="12"/>
  <c r="AC15" i="12"/>
  <c r="AC15" i="10"/>
  <c r="AC58" i="12"/>
  <c r="AC12" i="12"/>
  <c r="AC8" i="12"/>
  <c r="AC17" i="12" s="1"/>
  <c r="AC9" i="12"/>
  <c r="AC61" i="12" l="1"/>
  <c r="AC25" i="12"/>
  <c r="AC49" i="1" l="1"/>
  <c r="AC46" i="1"/>
  <c r="AC43" i="1"/>
  <c r="AC40" i="1"/>
  <c r="AC37" i="1"/>
  <c r="AC34" i="1"/>
  <c r="AC31" i="1"/>
  <c r="AC28" i="1"/>
  <c r="AC25" i="1"/>
  <c r="AC22" i="1"/>
  <c r="AC19" i="1"/>
  <c r="AC16" i="1"/>
  <c r="AC13" i="1"/>
  <c r="AC10" i="1"/>
  <c r="AC7" i="1"/>
  <c r="AC4" i="1"/>
  <c r="AC29" i="16"/>
  <c r="AC30" i="16"/>
  <c r="AC31" i="16"/>
  <c r="AC32" i="16"/>
  <c r="AC33" i="16"/>
  <c r="AC34" i="16"/>
  <c r="AC35" i="16"/>
  <c r="AC36" i="16"/>
  <c r="AC37" i="16"/>
  <c r="AC38" i="16"/>
  <c r="AC39" i="16"/>
  <c r="AC66" i="1" l="1"/>
  <c r="AB75" i="10" s="1"/>
  <c r="AC61" i="1"/>
  <c r="AB48" i="10" s="1"/>
  <c r="AC56" i="1"/>
  <c r="AB79" i="10"/>
  <c r="AB80" i="10"/>
  <c r="AB81" i="10"/>
  <c r="AB82" i="10"/>
  <c r="AB83" i="10" s="1"/>
  <c r="AB68" i="10"/>
  <c r="AB72" i="10"/>
  <c r="AB73" i="10"/>
  <c r="AB62" i="10"/>
  <c r="AB63" i="10" s="1"/>
  <c r="AB70" i="10" s="1"/>
  <c r="AB66" i="10"/>
  <c r="AB52" i="10"/>
  <c r="AB53" i="10"/>
  <c r="AB54" i="10" s="1"/>
  <c r="AB55" i="10"/>
  <c r="AB56" i="10" s="1"/>
  <c r="AB41" i="10"/>
  <c r="AB45" i="10"/>
  <c r="AB46" i="10" s="1"/>
  <c r="AB35" i="10"/>
  <c r="AB36" i="10" s="1"/>
  <c r="AB43" i="10" s="1"/>
  <c r="AB39" i="10"/>
  <c r="AB25" i="10"/>
  <c r="AB26" i="10"/>
  <c r="AB27" i="10"/>
  <c r="AB28" i="10"/>
  <c r="AB29" i="10" s="1"/>
  <c r="AB14" i="10"/>
  <c r="AB15" i="10"/>
  <c r="AB16" i="10"/>
  <c r="AB18" i="10"/>
  <c r="AB19" i="10"/>
  <c r="AB8" i="10"/>
  <c r="AB9" i="10"/>
  <c r="AB12" i="10"/>
  <c r="AB69" i="12"/>
  <c r="AB70" i="12" s="1"/>
  <c r="AB65" i="12"/>
  <c r="AB66" i="12"/>
  <c r="AB49" i="12"/>
  <c r="AB50" i="12" s="1"/>
  <c r="AB46" i="12"/>
  <c r="AB47" i="12" s="1"/>
  <c r="AB41" i="12"/>
  <c r="AB42" i="12" s="1"/>
  <c r="AB43" i="12"/>
  <c r="AB44" i="12" s="1"/>
  <c r="AB35" i="12"/>
  <c r="AB31" i="12"/>
  <c r="AB32" i="12"/>
  <c r="AB33" i="12" s="1"/>
  <c r="AB22" i="12"/>
  <c r="AB5" i="12"/>
  <c r="AB7" i="12" s="1"/>
  <c r="AB16" i="12" s="1"/>
  <c r="AB6" i="12"/>
  <c r="AB23" i="12" s="1"/>
  <c r="AC65" i="16"/>
  <c r="AD54" i="16"/>
  <c r="AD55" i="16"/>
  <c r="AD56" i="16"/>
  <c r="AD57" i="16"/>
  <c r="AD58" i="16"/>
  <c r="AD59" i="16"/>
  <c r="AD61" i="16"/>
  <c r="AD62" i="16"/>
  <c r="AD63" i="16"/>
  <c r="AD64" i="16"/>
  <c r="AD65" i="16"/>
  <c r="AD69" i="16" s="1"/>
  <c r="AD70" i="16" s="1"/>
  <c r="AD66" i="16"/>
  <c r="AD67" i="16"/>
  <c r="AD84" i="16" s="1"/>
  <c r="AD68" i="16"/>
  <c r="AD73" i="16" l="1"/>
  <c r="AB57" i="12"/>
  <c r="AB59" i="12" s="1"/>
  <c r="AB60" i="12" s="1"/>
  <c r="AD60" i="16"/>
  <c r="AD79" i="16"/>
  <c r="AB51" i="12"/>
  <c r="AB69" i="10"/>
  <c r="AB42" i="10"/>
  <c r="AB15" i="12"/>
  <c r="AB21" i="12"/>
  <c r="AB24" i="12"/>
  <c r="AB21" i="10"/>
  <c r="AB27" i="12"/>
  <c r="AB8" i="12"/>
  <c r="AB17" i="12" s="1"/>
  <c r="AB12" i="12"/>
  <c r="AB9" i="12"/>
  <c r="AD74" i="16"/>
  <c r="AD83" i="16"/>
  <c r="AA57" i="12"/>
  <c r="AC54" i="16"/>
  <c r="AC55" i="16"/>
  <c r="AC56" i="16"/>
  <c r="AC57" i="16"/>
  <c r="AC58" i="16"/>
  <c r="AC59" i="16"/>
  <c r="AC60" i="16"/>
  <c r="AC61" i="16"/>
  <c r="AC62" i="16"/>
  <c r="AC73" i="16" s="1"/>
  <c r="AC63" i="16"/>
  <c r="AC64" i="16"/>
  <c r="AC66" i="16"/>
  <c r="AC67" i="16"/>
  <c r="AC68" i="16"/>
  <c r="AC69" i="16"/>
  <c r="AC70" i="16" s="1"/>
  <c r="AC79" i="16"/>
  <c r="AC84" i="16"/>
  <c r="AB58" i="12" l="1"/>
  <c r="AD77" i="16"/>
  <c r="AD75" i="16" s="1"/>
  <c r="AB25" i="12"/>
  <c r="AB61" i="12"/>
  <c r="AC82" i="16"/>
  <c r="AD82" i="16" s="1"/>
  <c r="AD78" i="16" s="1"/>
  <c r="AD76" i="16" s="1"/>
  <c r="AC77" i="16"/>
  <c r="AC74" i="16"/>
  <c r="AC83" i="16"/>
  <c r="AD80" i="16" l="1"/>
  <c r="AD71" i="16"/>
  <c r="AC80" i="16"/>
  <c r="AC75" i="16"/>
  <c r="AD72" i="16"/>
  <c r="AC71" i="16"/>
  <c r="AC78" i="16"/>
  <c r="AC76" i="16" s="1"/>
  <c r="AC72" i="16"/>
  <c r="AB49" i="1"/>
  <c r="AB46" i="1"/>
  <c r="AB43" i="1"/>
  <c r="AB40" i="1"/>
  <c r="AB37" i="1"/>
  <c r="AB34" i="1"/>
  <c r="AB31" i="1"/>
  <c r="AB28" i="1"/>
  <c r="AB25" i="1"/>
  <c r="AB22" i="1"/>
  <c r="AB19" i="1"/>
  <c r="AB16" i="1"/>
  <c r="AB13" i="1"/>
  <c r="AB10" i="1"/>
  <c r="AB7" i="1"/>
  <c r="AB4" i="1"/>
  <c r="AB29" i="16"/>
  <c r="AB30" i="16"/>
  <c r="AA55" i="10" s="1"/>
  <c r="AA56" i="10" s="1"/>
  <c r="AB31" i="16"/>
  <c r="AB32" i="16"/>
  <c r="AB33" i="16"/>
  <c r="AB34" i="16"/>
  <c r="AB35" i="16"/>
  <c r="AB36" i="16"/>
  <c r="AB37" i="16"/>
  <c r="AB38" i="16"/>
  <c r="AA79" i="10"/>
  <c r="AA80" i="10" s="1"/>
  <c r="AA81" i="10" s="1"/>
  <c r="AA82" i="10"/>
  <c r="AA83" i="10" s="1"/>
  <c r="AA68" i="10"/>
  <c r="AA69" i="10"/>
  <c r="AA70" i="10"/>
  <c r="AA72" i="10"/>
  <c r="AA73" i="10"/>
  <c r="AA62" i="10"/>
  <c r="AA63" i="10" s="1"/>
  <c r="AA66" i="10"/>
  <c r="AA52" i="10"/>
  <c r="AA53" i="10" s="1"/>
  <c r="AA54" i="10" s="1"/>
  <c r="AA45" i="10"/>
  <c r="AA46" i="10" s="1"/>
  <c r="AA41" i="10"/>
  <c r="AA42" i="10"/>
  <c r="AA43" i="10"/>
  <c r="AA35" i="10"/>
  <c r="AA36" i="10" s="1"/>
  <c r="AA39" i="10"/>
  <c r="AA25" i="10"/>
  <c r="AA26" i="10"/>
  <c r="AA27" i="10"/>
  <c r="AA28" i="10"/>
  <c r="AA29" i="10" s="1"/>
  <c r="AA14" i="10"/>
  <c r="AA15" i="10"/>
  <c r="AA16" i="10"/>
  <c r="AA18" i="10"/>
  <c r="AA19" i="10"/>
  <c r="AA8" i="10"/>
  <c r="AA9" i="10" s="1"/>
  <c r="AA12" i="10"/>
  <c r="AA69" i="12"/>
  <c r="AA70" i="12" s="1"/>
  <c r="AA65" i="12"/>
  <c r="AA66" i="12" s="1"/>
  <c r="AA49" i="12"/>
  <c r="AA50" i="12" s="1"/>
  <c r="AA46" i="12"/>
  <c r="AA47" i="12" s="1"/>
  <c r="AA41" i="12"/>
  <c r="AA42" i="12" s="1"/>
  <c r="AA43" i="12"/>
  <c r="AA44" i="12" s="1"/>
  <c r="AA35" i="12"/>
  <c r="AA31" i="12"/>
  <c r="AA32" i="12" s="1"/>
  <c r="AA33" i="12" s="1"/>
  <c r="AA22" i="12"/>
  <c r="AA5" i="12"/>
  <c r="AA7" i="12" s="1"/>
  <c r="AA16" i="12" s="1"/>
  <c r="AA6" i="12"/>
  <c r="AA23" i="12" s="1"/>
  <c r="AB39" i="16" l="1"/>
  <c r="AA51" i="12"/>
  <c r="AA24" i="12"/>
  <c r="AA21" i="12"/>
  <c r="AA15" i="12"/>
  <c r="AA58" i="12"/>
  <c r="AA59" i="12"/>
  <c r="AA60" i="12" s="1"/>
  <c r="AA27" i="12"/>
  <c r="AA8" i="12"/>
  <c r="AA17" i="12" s="1"/>
  <c r="AA12" i="12"/>
  <c r="AA9" i="12"/>
  <c r="AB54" i="16"/>
  <c r="AB55" i="16"/>
  <c r="AB79" i="16" s="1"/>
  <c r="AB56" i="16"/>
  <c r="AB57" i="16"/>
  <c r="AB58" i="16"/>
  <c r="AB59" i="16"/>
  <c r="AB84" i="16" s="1"/>
  <c r="AB60" i="16"/>
  <c r="AB61" i="16"/>
  <c r="AB62" i="16"/>
  <c r="AB63" i="16"/>
  <c r="AB64" i="16"/>
  <c r="AB65" i="16"/>
  <c r="AB66" i="16"/>
  <c r="AB81" i="16" s="1"/>
  <c r="AB67" i="16"/>
  <c r="AB68" i="16"/>
  <c r="AB73" i="16"/>
  <c r="AB74" i="16"/>
  <c r="Z69" i="12"/>
  <c r="Z70" i="12" s="1"/>
  <c r="Z65" i="12"/>
  <c r="Z66" i="12" s="1"/>
  <c r="Z51" i="12"/>
  <c r="Z49" i="12"/>
  <c r="Z50" i="12" s="1"/>
  <c r="Z46" i="12"/>
  <c r="Z47" i="12" s="1"/>
  <c r="Z41" i="12"/>
  <c r="Z42" i="12" s="1"/>
  <c r="Z43" i="12"/>
  <c r="Z44" i="12"/>
  <c r="Z35" i="12"/>
  <c r="Z27" i="12" s="1"/>
  <c r="Z31" i="12"/>
  <c r="Z32" i="12" s="1"/>
  <c r="Z33" i="12" s="1"/>
  <c r="Z21" i="12"/>
  <c r="Z22" i="12"/>
  <c r="Z24" i="12" s="1"/>
  <c r="Z23" i="12"/>
  <c r="Z25" i="12"/>
  <c r="Z15" i="12"/>
  <c r="Z16" i="12"/>
  <c r="Z17" i="12"/>
  <c r="Z12" i="12"/>
  <c r="Z5" i="12"/>
  <c r="Z9" i="12" s="1"/>
  <c r="Z6" i="12"/>
  <c r="Z79" i="10"/>
  <c r="Z80" i="10"/>
  <c r="Z81" i="10" s="1"/>
  <c r="Z82" i="10"/>
  <c r="Z83" i="10"/>
  <c r="Z68" i="10"/>
  <c r="Z69" i="10"/>
  <c r="Z70" i="10"/>
  <c r="Z72" i="10"/>
  <c r="Z73" i="10"/>
  <c r="Z62" i="10"/>
  <c r="Z63" i="10"/>
  <c r="Z66" i="10"/>
  <c r="Z52" i="10"/>
  <c r="Z53" i="10"/>
  <c r="Z54" i="10" s="1"/>
  <c r="Z55" i="10"/>
  <c r="Z56" i="10" s="1"/>
  <c r="Z41" i="10"/>
  <c r="Z42" i="10"/>
  <c r="Z43" i="10"/>
  <c r="Z45" i="10"/>
  <c r="Z46" i="10"/>
  <c r="Z35" i="10"/>
  <c r="Z36" i="10" s="1"/>
  <c r="Z39" i="10"/>
  <c r="AA49" i="1"/>
  <c r="AA46" i="1"/>
  <c r="AA43" i="1"/>
  <c r="AA40" i="1"/>
  <c r="AA37" i="1"/>
  <c r="AA34" i="1"/>
  <c r="AA31" i="1"/>
  <c r="AA28" i="1"/>
  <c r="AA25" i="1"/>
  <c r="AA22" i="1"/>
  <c r="AA19" i="1"/>
  <c r="AA16" i="1"/>
  <c r="AA13" i="1"/>
  <c r="AA10" i="1"/>
  <c r="AA7" i="1"/>
  <c r="AA4" i="1"/>
  <c r="AA29" i="16"/>
  <c r="Z28" i="10" s="1"/>
  <c r="Z29" i="10" s="1"/>
  <c r="AA30" i="16"/>
  <c r="AA31" i="16"/>
  <c r="AA32" i="16"/>
  <c r="AA33" i="16"/>
  <c r="AA34" i="16"/>
  <c r="AA35" i="16"/>
  <c r="AA36" i="16"/>
  <c r="AA37" i="16"/>
  <c r="AA38" i="16"/>
  <c r="AA39" i="16" s="1"/>
  <c r="Z25" i="10"/>
  <c r="Z26" i="10"/>
  <c r="Z27" i="10" s="1"/>
  <c r="Z14" i="10"/>
  <c r="Z15" i="10"/>
  <c r="Z16" i="10"/>
  <c r="Z18" i="10"/>
  <c r="Z19" i="10"/>
  <c r="Z8" i="10"/>
  <c r="Z9" i="10" s="1"/>
  <c r="Z12" i="10"/>
  <c r="AA25" i="12" l="1"/>
  <c r="AA61" i="12"/>
  <c r="AB82" i="16"/>
  <c r="AB77" i="16"/>
  <c r="Z57" i="12"/>
  <c r="Z58" i="12" s="1"/>
  <c r="AB69" i="16"/>
  <c r="Z59" i="12"/>
  <c r="Z60" i="12" s="1"/>
  <c r="Z61" i="12" s="1"/>
  <c r="Z7" i="12"/>
  <c r="Z8" i="12" s="1"/>
  <c r="AB72" i="16" l="1"/>
  <c r="AB70" i="16"/>
  <c r="AB83" i="16"/>
  <c r="AB78" i="16"/>
  <c r="AB76" i="16" s="1"/>
  <c r="AB75" i="16"/>
  <c r="AB80" i="16"/>
  <c r="AB71" i="16"/>
  <c r="AA54" i="16"/>
  <c r="AA55" i="16"/>
  <c r="AA56" i="16"/>
  <c r="AA79" i="16" s="1"/>
  <c r="AA57" i="16"/>
  <c r="AA58" i="16"/>
  <c r="AA59" i="16"/>
  <c r="AA61" i="16"/>
  <c r="AA62" i="16"/>
  <c r="AA63" i="16"/>
  <c r="AA84" i="16" s="1"/>
  <c r="AA64" i="16"/>
  <c r="AA65" i="16"/>
  <c r="AA69" i="16" s="1"/>
  <c r="AA66" i="16"/>
  <c r="AA67" i="16"/>
  <c r="AA68" i="16"/>
  <c r="AA73" i="16"/>
  <c r="AA74" i="16" s="1"/>
  <c r="AA81" i="16"/>
  <c r="AA82" i="16" s="1"/>
  <c r="AA72" i="16" l="1"/>
  <c r="AA83" i="16"/>
  <c r="AA70" i="16"/>
  <c r="AA78" i="16"/>
  <c r="AA76" i="16"/>
  <c r="AA77" i="16"/>
  <c r="AA80" i="16" s="1"/>
  <c r="AA60" i="16"/>
  <c r="AA71" i="16"/>
  <c r="AA75" i="16"/>
  <c r="E26" i="10" l="1"/>
  <c r="F26" i="10"/>
  <c r="G26" i="10"/>
  <c r="H26" i="10"/>
  <c r="I26" i="10"/>
  <c r="J26" i="10"/>
  <c r="K26" i="10"/>
  <c r="L26" i="10"/>
  <c r="M26" i="10"/>
  <c r="N26" i="10"/>
  <c r="O26" i="10"/>
  <c r="P26" i="10"/>
  <c r="Q26" i="10"/>
  <c r="R26" i="10"/>
  <c r="S26" i="10"/>
  <c r="T26" i="10"/>
  <c r="U26" i="10"/>
  <c r="V26" i="10"/>
  <c r="W26" i="10"/>
  <c r="X26" i="10"/>
  <c r="Y26" i="10"/>
  <c r="D26" i="10"/>
  <c r="Y69" i="12" l="1"/>
  <c r="Y70" i="12" s="1"/>
  <c r="Y65" i="12"/>
  <c r="Y66" i="12" s="1"/>
  <c r="Y57" i="12"/>
  <c r="Y59" i="12" s="1"/>
  <c r="Y60" i="12" s="1"/>
  <c r="Y61" i="12" s="1"/>
  <c r="Y51" i="12"/>
  <c r="Y49" i="12"/>
  <c r="Y50" i="12" s="1"/>
  <c r="Y46" i="12"/>
  <c r="Y47" i="12" s="1"/>
  <c r="Y41" i="12"/>
  <c r="Y42" i="12" s="1"/>
  <c r="Y43" i="12"/>
  <c r="Y44" i="12"/>
  <c r="Y35" i="12"/>
  <c r="Y31" i="12"/>
  <c r="Y32" i="12" s="1"/>
  <c r="Y33" i="12" s="1"/>
  <c r="Y21" i="12"/>
  <c r="Y22" i="12"/>
  <c r="Y24" i="12" s="1"/>
  <c r="Y23" i="12"/>
  <c r="Y15" i="12"/>
  <c r="Y16" i="12"/>
  <c r="Y17" i="12"/>
  <c r="Y58" i="12" l="1"/>
  <c r="Y27" i="12"/>
  <c r="Y25" i="12"/>
  <c r="Y5" i="12" l="1"/>
  <c r="Y7" i="12" s="1"/>
  <c r="Y6" i="12"/>
  <c r="Y9" i="12"/>
  <c r="Y79" i="10"/>
  <c r="Y80" i="10"/>
  <c r="Y81" i="10" s="1"/>
  <c r="Y82" i="10"/>
  <c r="Y83" i="10" s="1"/>
  <c r="Y68" i="10"/>
  <c r="Y69" i="10"/>
  <c r="Y70" i="10"/>
  <c r="Y72" i="10"/>
  <c r="Y73" i="10"/>
  <c r="Y62" i="10"/>
  <c r="Y63" i="10"/>
  <c r="Y66" i="10"/>
  <c r="Y52" i="10"/>
  <c r="Y53" i="10"/>
  <c r="Y54" i="10" s="1"/>
  <c r="Y55" i="10"/>
  <c r="Y56" i="10" s="1"/>
  <c r="Y41" i="10"/>
  <c r="Y42" i="10"/>
  <c r="Y43" i="10"/>
  <c r="Y45" i="10"/>
  <c r="Y46" i="10"/>
  <c r="Y35" i="10"/>
  <c r="Y36" i="10" s="1"/>
  <c r="Y39" i="10"/>
  <c r="Y25" i="10"/>
  <c r="Y27" i="10" s="1"/>
  <c r="Y28" i="10"/>
  <c r="Y29" i="10" s="1"/>
  <c r="Y14" i="10"/>
  <c r="Y15" i="10"/>
  <c r="Y16" i="10"/>
  <c r="Y18" i="10"/>
  <c r="Y19" i="10" s="1"/>
  <c r="Y8" i="10"/>
  <c r="Y9" i="10" s="1"/>
  <c r="Y12" i="10"/>
  <c r="Z49" i="1"/>
  <c r="Z46" i="1"/>
  <c r="Z43" i="1"/>
  <c r="Z40" i="1"/>
  <c r="Z37" i="1"/>
  <c r="Z34" i="1"/>
  <c r="Z31" i="1"/>
  <c r="Z28" i="1"/>
  <c r="Z25" i="1"/>
  <c r="Z22" i="1"/>
  <c r="Z19" i="1"/>
  <c r="Z16" i="1"/>
  <c r="Z13" i="1"/>
  <c r="Z10" i="1"/>
  <c r="Z7" i="1"/>
  <c r="Z4" i="1"/>
  <c r="Z29" i="16"/>
  <c r="Z30" i="16"/>
  <c r="Z31" i="16"/>
  <c r="Z32" i="16"/>
  <c r="Z33" i="16"/>
  <c r="Z34" i="16"/>
  <c r="Z35" i="16"/>
  <c r="Z36" i="16"/>
  <c r="Z37" i="16"/>
  <c r="Z38" i="16"/>
  <c r="Z39" i="16" s="1"/>
  <c r="Y12" i="12" l="1"/>
  <c r="Y8" i="12"/>
  <c r="S69" i="16" l="1"/>
  <c r="C68" i="10"/>
  <c r="C41" i="10"/>
  <c r="C14" i="10"/>
  <c r="E80" i="10"/>
  <c r="F80" i="10"/>
  <c r="G80" i="10"/>
  <c r="H80" i="10"/>
  <c r="I80" i="10"/>
  <c r="J80" i="10"/>
  <c r="K80" i="10"/>
  <c r="L80" i="10"/>
  <c r="M80" i="10"/>
  <c r="N80" i="10"/>
  <c r="O80" i="10"/>
  <c r="P80" i="10"/>
  <c r="Q80" i="10"/>
  <c r="R80" i="10"/>
  <c r="S80" i="10"/>
  <c r="T80" i="10"/>
  <c r="U80" i="10"/>
  <c r="V80" i="10"/>
  <c r="W80" i="10"/>
  <c r="X80" i="10"/>
  <c r="D80" i="10"/>
  <c r="Z54" i="16"/>
  <c r="Z55" i="16"/>
  <c r="Z79" i="16" s="1"/>
  <c r="Z56" i="16"/>
  <c r="Z57" i="16"/>
  <c r="Z58" i="16"/>
  <c r="Z59" i="16"/>
  <c r="Z61" i="16"/>
  <c r="Z62" i="16"/>
  <c r="Z73" i="16" s="1"/>
  <c r="Z63" i="16"/>
  <c r="Z64" i="16"/>
  <c r="Z65" i="16"/>
  <c r="Z66" i="16"/>
  <c r="Z81" i="16" s="1"/>
  <c r="Z67" i="16"/>
  <c r="Z68" i="16"/>
  <c r="Z69" i="16"/>
  <c r="Z70" i="16"/>
  <c r="Z84" i="16"/>
  <c r="Z77" i="16" l="1"/>
  <c r="Z80" i="16" s="1"/>
  <c r="Z82" i="16"/>
  <c r="Z74" i="16"/>
  <c r="Z83" i="16"/>
  <c r="Z60" i="16"/>
  <c r="Z75" i="16" l="1"/>
  <c r="Z76" i="16"/>
  <c r="Z78" i="16"/>
  <c r="Z71" i="16"/>
  <c r="Z72" i="16"/>
  <c r="Y49" i="1"/>
  <c r="Y46" i="1"/>
  <c r="Y43" i="1"/>
  <c r="Y40" i="1"/>
  <c r="Y37" i="1"/>
  <c r="Y34" i="1"/>
  <c r="Y31" i="1"/>
  <c r="Y28" i="1"/>
  <c r="Y25" i="1"/>
  <c r="Y22" i="1"/>
  <c r="Y19" i="1"/>
  <c r="Y16" i="1"/>
  <c r="Y13" i="1"/>
  <c r="Y10" i="1"/>
  <c r="Y7" i="1"/>
  <c r="Y4" i="1"/>
  <c r="Y29" i="16"/>
  <c r="X28" i="10" s="1"/>
  <c r="X29" i="10" s="1"/>
  <c r="Y30" i="16"/>
  <c r="X55" i="10" s="1"/>
  <c r="X56" i="10" s="1"/>
  <c r="Y31" i="16"/>
  <c r="Y32" i="16"/>
  <c r="Y33" i="16"/>
  <c r="Y34" i="16"/>
  <c r="Y35" i="16"/>
  <c r="Y36" i="16"/>
  <c r="Y37" i="16"/>
  <c r="Y38" i="16"/>
  <c r="Y39" i="16" s="1"/>
  <c r="X79" i="10"/>
  <c r="X81" i="10" s="1"/>
  <c r="X82" i="10"/>
  <c r="X83" i="10" s="1"/>
  <c r="X68" i="10"/>
  <c r="X66" i="10"/>
  <c r="X52" i="10"/>
  <c r="X41" i="10"/>
  <c r="X39" i="10"/>
  <c r="X25" i="10"/>
  <c r="X14" i="10"/>
  <c r="X12" i="10"/>
  <c r="X57" i="12"/>
  <c r="X49" i="12"/>
  <c r="X43" i="12"/>
  <c r="X35" i="12"/>
  <c r="X31" i="12"/>
  <c r="X5" i="12"/>
  <c r="X9" i="12" s="1"/>
  <c r="X6" i="12"/>
  <c r="X23" i="12" s="1"/>
  <c r="Y54" i="16"/>
  <c r="Y55" i="16"/>
  <c r="Y56" i="16"/>
  <c r="Y57" i="16"/>
  <c r="Y58" i="16"/>
  <c r="Y69" i="16" s="1"/>
  <c r="Y59" i="16"/>
  <c r="Y61" i="16"/>
  <c r="Y62" i="16"/>
  <c r="Y63" i="16"/>
  <c r="Y84" i="16" s="1"/>
  <c r="Y64" i="16"/>
  <c r="Y65" i="16"/>
  <c r="Y66" i="16"/>
  <c r="Y67" i="16"/>
  <c r="Y68" i="16"/>
  <c r="Y73" i="16" l="1"/>
  <c r="X21" i="12"/>
  <c r="Y81" i="16"/>
  <c r="X15" i="12"/>
  <c r="X58" i="12"/>
  <c r="Y79" i="16"/>
  <c r="X27" i="10"/>
  <c r="X51" i="12"/>
  <c r="X27" i="12"/>
  <c r="Y60" i="16"/>
  <c r="X29" i="16"/>
  <c r="X30" i="16"/>
  <c r="X31" i="16"/>
  <c r="X32" i="16"/>
  <c r="X39" i="16" s="1"/>
  <c r="X33" i="16"/>
  <c r="X34" i="16"/>
  <c r="X35" i="16"/>
  <c r="X36" i="16"/>
  <c r="X37" i="16"/>
  <c r="X38" i="16"/>
  <c r="X49" i="1"/>
  <c r="X46" i="1"/>
  <c r="X43" i="1"/>
  <c r="X40" i="1"/>
  <c r="X37" i="1"/>
  <c r="X34" i="1"/>
  <c r="X31" i="1"/>
  <c r="X28" i="1"/>
  <c r="X25" i="1"/>
  <c r="X22" i="1"/>
  <c r="X19" i="1"/>
  <c r="X16" i="1"/>
  <c r="X13" i="1"/>
  <c r="X10" i="1"/>
  <c r="X7" i="1"/>
  <c r="X4" i="1"/>
  <c r="Y83" i="16" l="1"/>
  <c r="Y77" i="16"/>
  <c r="Y80" i="16" s="1"/>
  <c r="W79" i="10"/>
  <c r="W81" i="10" s="1"/>
  <c r="W82" i="10"/>
  <c r="W83" i="10" s="1"/>
  <c r="W68" i="10"/>
  <c r="W66" i="10"/>
  <c r="W52" i="10"/>
  <c r="W55" i="10"/>
  <c r="W41" i="10"/>
  <c r="W39" i="10"/>
  <c r="W25" i="10"/>
  <c r="W27" i="10" s="1"/>
  <c r="W28" i="10"/>
  <c r="W29" i="10"/>
  <c r="W14" i="10"/>
  <c r="W12" i="10"/>
  <c r="W57" i="12"/>
  <c r="W49" i="12"/>
  <c r="W43" i="12"/>
  <c r="W35" i="12"/>
  <c r="W31" i="12"/>
  <c r="W5" i="12"/>
  <c r="W9" i="12" s="1"/>
  <c r="W6" i="12"/>
  <c r="W23" i="12" s="1"/>
  <c r="W51" i="12" l="1"/>
  <c r="Y75" i="16"/>
  <c r="Y71" i="16"/>
  <c r="W56" i="10"/>
  <c r="W21" i="12"/>
  <c r="W58" i="12"/>
  <c r="W15" i="12"/>
  <c r="W27" i="12"/>
  <c r="X54" i="16" l="1"/>
  <c r="X55" i="16"/>
  <c r="X56" i="16"/>
  <c r="X57" i="16"/>
  <c r="X58" i="16"/>
  <c r="X59" i="16"/>
  <c r="X61" i="16"/>
  <c r="X62" i="16"/>
  <c r="X63" i="16"/>
  <c r="X81" i="16" s="1"/>
  <c r="X77" i="16" s="1"/>
  <c r="X71" i="16" s="1"/>
  <c r="X64" i="16"/>
  <c r="X65" i="16"/>
  <c r="X66" i="16"/>
  <c r="X67" i="16"/>
  <c r="X68" i="16"/>
  <c r="X73" i="16"/>
  <c r="X84" i="16" l="1"/>
  <c r="X75" i="16"/>
  <c r="X69" i="16"/>
  <c r="X79" i="16"/>
  <c r="X83" i="16"/>
  <c r="X60" i="16"/>
  <c r="X80" i="16"/>
  <c r="V57" i="12"/>
  <c r="V49" i="12"/>
  <c r="V43" i="12"/>
  <c r="V35" i="12"/>
  <c r="V31" i="12"/>
  <c r="V5" i="12"/>
  <c r="V21" i="12" s="1"/>
  <c r="V6" i="12"/>
  <c r="V23" i="12" s="1"/>
  <c r="W49" i="1"/>
  <c r="W46" i="1"/>
  <c r="W43" i="1"/>
  <c r="W40" i="1"/>
  <c r="W37" i="1"/>
  <c r="W34" i="1"/>
  <c r="W31" i="1"/>
  <c r="W28" i="1"/>
  <c r="W25" i="1"/>
  <c r="W22" i="1"/>
  <c r="W19" i="1"/>
  <c r="W16" i="1"/>
  <c r="W13" i="1"/>
  <c r="W10" i="1"/>
  <c r="W7" i="1"/>
  <c r="W4" i="1"/>
  <c r="W29" i="16"/>
  <c r="W30" i="16"/>
  <c r="V55" i="10" s="1"/>
  <c r="V56" i="10" s="1"/>
  <c r="W31" i="16"/>
  <c r="W32" i="16"/>
  <c r="W33" i="16"/>
  <c r="W34" i="16"/>
  <c r="W35" i="16"/>
  <c r="W36" i="16"/>
  <c r="W37" i="16"/>
  <c r="W38" i="16"/>
  <c r="V79" i="10"/>
  <c r="V81" i="10" s="1"/>
  <c r="V82" i="10"/>
  <c r="V83" i="10" s="1"/>
  <c r="V68" i="10"/>
  <c r="V66" i="10"/>
  <c r="V52" i="10"/>
  <c r="V41" i="10"/>
  <c r="V39" i="10"/>
  <c r="V25" i="10"/>
  <c r="V27" i="10" s="1"/>
  <c r="V28" i="10"/>
  <c r="V29" i="10" s="1"/>
  <c r="V14" i="10"/>
  <c r="V12" i="10"/>
  <c r="V51" i="12" l="1"/>
  <c r="V15" i="12"/>
  <c r="V58" i="12"/>
  <c r="V27" i="12"/>
  <c r="V9" i="12"/>
  <c r="W39" i="16"/>
  <c r="W54" i="16" l="1"/>
  <c r="W55" i="16"/>
  <c r="W56" i="16"/>
  <c r="W57" i="16"/>
  <c r="W58" i="16"/>
  <c r="W59" i="16"/>
  <c r="W84" i="16" s="1"/>
  <c r="W61" i="16"/>
  <c r="W62" i="16"/>
  <c r="W63" i="16"/>
  <c r="W64" i="16"/>
  <c r="W65" i="16"/>
  <c r="W66" i="16"/>
  <c r="W67" i="16"/>
  <c r="W68" i="16"/>
  <c r="W69" i="16" l="1"/>
  <c r="W83" i="16" s="1"/>
  <c r="W81" i="16"/>
  <c r="W79" i="16"/>
  <c r="W73" i="16"/>
  <c r="W77" i="16"/>
  <c r="W75" i="16" s="1"/>
  <c r="W60" i="16"/>
  <c r="W71" i="16" l="1"/>
  <c r="W80" i="16"/>
  <c r="V49" i="1"/>
  <c r="V46" i="1"/>
  <c r="V43" i="1"/>
  <c r="V40" i="1"/>
  <c r="V37" i="1"/>
  <c r="V34" i="1"/>
  <c r="V31" i="1"/>
  <c r="V28" i="1"/>
  <c r="V25" i="1"/>
  <c r="V22" i="1"/>
  <c r="V19" i="1"/>
  <c r="V16" i="1"/>
  <c r="V13" i="1"/>
  <c r="V10" i="1"/>
  <c r="V7" i="1"/>
  <c r="V4" i="1"/>
  <c r="V29" i="16"/>
  <c r="V30" i="16"/>
  <c r="V31" i="16"/>
  <c r="V32" i="16"/>
  <c r="V33" i="16"/>
  <c r="V34" i="16"/>
  <c r="V35" i="16"/>
  <c r="V36" i="16"/>
  <c r="V37" i="16"/>
  <c r="V38" i="16"/>
  <c r="V39" i="16" l="1"/>
  <c r="V71" i="1"/>
  <c r="V66" i="1"/>
  <c r="V61" i="1"/>
  <c r="V56" i="1"/>
  <c r="U21" i="10" s="1"/>
  <c r="U79" i="10"/>
  <c r="U81" i="10" s="1"/>
  <c r="U82" i="10"/>
  <c r="U83" i="10" s="1"/>
  <c r="U68" i="10"/>
  <c r="U66" i="10"/>
  <c r="U52" i="10"/>
  <c r="U55" i="10"/>
  <c r="U56" i="10" s="1"/>
  <c r="U41" i="10"/>
  <c r="U39" i="10"/>
  <c r="U25" i="10"/>
  <c r="U27" i="10" s="1"/>
  <c r="U28" i="10"/>
  <c r="U29" i="10" s="1"/>
  <c r="U14" i="10"/>
  <c r="U12" i="10"/>
  <c r="U57" i="12"/>
  <c r="U49" i="12"/>
  <c r="U43" i="12"/>
  <c r="U35" i="12"/>
  <c r="U31" i="12"/>
  <c r="U5" i="12"/>
  <c r="U6" i="12"/>
  <c r="U23" i="12" s="1"/>
  <c r="V54" i="16"/>
  <c r="V55" i="16"/>
  <c r="V56" i="16"/>
  <c r="V57" i="16"/>
  <c r="V58" i="16"/>
  <c r="V59" i="16"/>
  <c r="V61" i="16"/>
  <c r="V62" i="16"/>
  <c r="V63" i="16"/>
  <c r="V64" i="16"/>
  <c r="V65" i="16"/>
  <c r="V66" i="16"/>
  <c r="V67" i="16"/>
  <c r="V68" i="16"/>
  <c r="V73" i="16"/>
  <c r="V69" i="16" l="1"/>
  <c r="V79" i="16"/>
  <c r="U51" i="12"/>
  <c r="V81" i="16"/>
  <c r="V83" i="16" s="1"/>
  <c r="V60" i="16"/>
  <c r="V84" i="16"/>
  <c r="U21" i="12"/>
  <c r="U58" i="12"/>
  <c r="U15" i="12"/>
  <c r="U75" i="10"/>
  <c r="U48" i="10"/>
  <c r="U27" i="12"/>
  <c r="U9" i="12"/>
  <c r="V77" i="16"/>
  <c r="V80" i="16" s="1"/>
  <c r="V71" i="16" l="1"/>
  <c r="V75" i="16"/>
  <c r="T57" i="12" l="1"/>
  <c r="U71" i="1"/>
  <c r="U66" i="1"/>
  <c r="U61" i="1"/>
  <c r="U56" i="1"/>
  <c r="U49" i="1"/>
  <c r="U46" i="1"/>
  <c r="U43" i="1"/>
  <c r="U40" i="1"/>
  <c r="U37" i="1"/>
  <c r="U34" i="1"/>
  <c r="U31" i="1"/>
  <c r="U28" i="1"/>
  <c r="U25" i="1"/>
  <c r="U22" i="1"/>
  <c r="U19" i="1"/>
  <c r="U16" i="1"/>
  <c r="U13" i="1"/>
  <c r="U10" i="1"/>
  <c r="U7" i="1"/>
  <c r="U4" i="1"/>
  <c r="U29" i="16"/>
  <c r="U30" i="16"/>
  <c r="U31" i="16"/>
  <c r="U32" i="16"/>
  <c r="U33" i="16"/>
  <c r="U34" i="16"/>
  <c r="U35" i="16"/>
  <c r="U36" i="16"/>
  <c r="U37" i="16"/>
  <c r="U38" i="16"/>
  <c r="U39" i="16" l="1"/>
  <c r="T79" i="10"/>
  <c r="T81" i="10" s="1"/>
  <c r="T82" i="10"/>
  <c r="T83" i="10"/>
  <c r="T68" i="10"/>
  <c r="T66" i="10"/>
  <c r="T52" i="10"/>
  <c r="T55" i="10"/>
  <c r="T56" i="10" s="1"/>
  <c r="T48" i="10"/>
  <c r="T41" i="10"/>
  <c r="T39" i="10"/>
  <c r="T25" i="10"/>
  <c r="T21" i="10" s="1"/>
  <c r="T28" i="10"/>
  <c r="T29" i="10" s="1"/>
  <c r="T14" i="10"/>
  <c r="T12" i="10"/>
  <c r="T49" i="12"/>
  <c r="T43" i="12"/>
  <c r="T35" i="12"/>
  <c r="T31" i="12"/>
  <c r="T51" i="12" l="1"/>
  <c r="T75" i="10"/>
  <c r="T27" i="10"/>
  <c r="T27" i="12"/>
  <c r="T5" i="12" l="1"/>
  <c r="T6" i="12"/>
  <c r="T23" i="12" s="1"/>
  <c r="U54" i="16"/>
  <c r="U55" i="16"/>
  <c r="U56" i="16"/>
  <c r="U79" i="16" s="1"/>
  <c r="U57" i="16"/>
  <c r="U58" i="16"/>
  <c r="U59" i="16"/>
  <c r="U61" i="16"/>
  <c r="U62" i="16"/>
  <c r="U63" i="16"/>
  <c r="U64" i="16"/>
  <c r="U65" i="16"/>
  <c r="U66" i="16"/>
  <c r="U67" i="16"/>
  <c r="U68" i="16"/>
  <c r="T54" i="16"/>
  <c r="T55" i="16"/>
  <c r="T56" i="16"/>
  <c r="T60" i="16" s="1"/>
  <c r="T57" i="16"/>
  <c r="T58" i="16"/>
  <c r="T59" i="16"/>
  <c r="T84" i="16" s="1"/>
  <c r="T61" i="16"/>
  <c r="T62" i="16"/>
  <c r="T63" i="16"/>
  <c r="T64" i="16"/>
  <c r="T65" i="16"/>
  <c r="T66" i="16"/>
  <c r="T67" i="16"/>
  <c r="T68" i="16"/>
  <c r="T69" i="16"/>
  <c r="S49" i="12"/>
  <c r="S43" i="12"/>
  <c r="S35" i="12"/>
  <c r="S31" i="12"/>
  <c r="S15" i="12"/>
  <c r="S5" i="12"/>
  <c r="S21" i="12" s="1"/>
  <c r="S6" i="12"/>
  <c r="S23" i="12" s="1"/>
  <c r="S79" i="10"/>
  <c r="S81" i="10"/>
  <c r="S82" i="10"/>
  <c r="S83" i="10" s="1"/>
  <c r="S68" i="10"/>
  <c r="S66" i="10"/>
  <c r="S52" i="10"/>
  <c r="S41" i="10"/>
  <c r="S39" i="10"/>
  <c r="S25" i="10"/>
  <c r="S27" i="10" s="1"/>
  <c r="S14" i="10"/>
  <c r="S12" i="10"/>
  <c r="T49" i="1"/>
  <c r="T46" i="1"/>
  <c r="T43" i="1"/>
  <c r="T40" i="1"/>
  <c r="T37" i="1"/>
  <c r="T34" i="1"/>
  <c r="T31" i="1"/>
  <c r="T28" i="1"/>
  <c r="T25" i="1"/>
  <c r="T22" i="1"/>
  <c r="T19" i="1"/>
  <c r="T16" i="1"/>
  <c r="T13" i="1"/>
  <c r="T10" i="1"/>
  <c r="T7" i="1"/>
  <c r="T4" i="1"/>
  <c r="T29" i="16"/>
  <c r="S28" i="10" s="1"/>
  <c r="T30" i="16"/>
  <c r="S55" i="10" s="1"/>
  <c r="S56" i="10" s="1"/>
  <c r="T31" i="16"/>
  <c r="T32" i="16"/>
  <c r="T33" i="16"/>
  <c r="T34" i="16"/>
  <c r="T35" i="16"/>
  <c r="T36" i="16"/>
  <c r="T37" i="16"/>
  <c r="T38" i="16"/>
  <c r="T39" i="16" s="1"/>
  <c r="T79" i="16" l="1"/>
  <c r="T73" i="16"/>
  <c r="U69" i="16"/>
  <c r="S9" i="12"/>
  <c r="S51" i="12"/>
  <c r="S29" i="10"/>
  <c r="T81" i="16"/>
  <c r="U81" i="16"/>
  <c r="T21" i="12"/>
  <c r="T58" i="12"/>
  <c r="T15" i="12"/>
  <c r="T9" i="12"/>
  <c r="U73" i="16"/>
  <c r="U84" i="16"/>
  <c r="U60" i="16"/>
  <c r="S57" i="12"/>
  <c r="S58" i="12" s="1"/>
  <c r="U83" i="16"/>
  <c r="T77" i="16"/>
  <c r="T80" i="16" s="1"/>
  <c r="S27" i="12"/>
  <c r="T71" i="16" l="1"/>
  <c r="U77" i="16"/>
  <c r="U80" i="16" s="1"/>
  <c r="T83" i="16"/>
  <c r="T75" i="16"/>
  <c r="R57" i="12"/>
  <c r="R49" i="12"/>
  <c r="R43" i="12"/>
  <c r="R35" i="12"/>
  <c r="R31" i="12"/>
  <c r="U71" i="16" l="1"/>
  <c r="U75" i="16"/>
  <c r="R27" i="12"/>
  <c r="R5" i="12" l="1"/>
  <c r="R6" i="12"/>
  <c r="R23" i="12" s="1"/>
  <c r="R79" i="10"/>
  <c r="R81" i="10" s="1"/>
  <c r="R68" i="10"/>
  <c r="R66" i="10"/>
  <c r="R52" i="10"/>
  <c r="R41" i="10"/>
  <c r="R39" i="10"/>
  <c r="R25" i="10"/>
  <c r="R27" i="10" s="1"/>
  <c r="R14" i="10"/>
  <c r="R12" i="10"/>
  <c r="S49" i="1"/>
  <c r="S46" i="1"/>
  <c r="S43" i="1"/>
  <c r="S40" i="1"/>
  <c r="S37" i="1"/>
  <c r="S34" i="1"/>
  <c r="S31" i="1"/>
  <c r="S28" i="1"/>
  <c r="S25" i="1"/>
  <c r="S22" i="1"/>
  <c r="S19" i="1"/>
  <c r="S16" i="1"/>
  <c r="S13" i="1"/>
  <c r="S10" i="1"/>
  <c r="S7" i="1"/>
  <c r="S4" i="1"/>
  <c r="S29" i="16"/>
  <c r="R28" i="10" s="1"/>
  <c r="S30" i="16"/>
  <c r="R55" i="10" s="1"/>
  <c r="R56" i="10" s="1"/>
  <c r="S31" i="16"/>
  <c r="R82" i="10" s="1"/>
  <c r="R83" i="10" s="1"/>
  <c r="S32" i="16"/>
  <c r="S33" i="16"/>
  <c r="S34" i="16"/>
  <c r="S35" i="16"/>
  <c r="S36" i="16"/>
  <c r="S37" i="16"/>
  <c r="S38" i="16"/>
  <c r="R51" i="12" l="1"/>
  <c r="R29" i="10"/>
  <c r="S39" i="16"/>
  <c r="R15" i="12"/>
  <c r="R21" i="12"/>
  <c r="R58" i="12"/>
  <c r="R9" i="12"/>
  <c r="S54" i="16" l="1"/>
  <c r="S55" i="16"/>
  <c r="S56" i="16"/>
  <c r="S57" i="16"/>
  <c r="S58" i="16"/>
  <c r="S59" i="16"/>
  <c r="S61" i="16"/>
  <c r="S62" i="16"/>
  <c r="S63" i="16"/>
  <c r="S64" i="16"/>
  <c r="S65" i="16"/>
  <c r="S66" i="16"/>
  <c r="S67" i="16"/>
  <c r="S68" i="16"/>
  <c r="S84" i="16" l="1"/>
  <c r="S73" i="16"/>
  <c r="S81" i="16"/>
  <c r="S60" i="16"/>
  <c r="S83" i="16"/>
  <c r="S79" i="16"/>
  <c r="S77" i="16" l="1"/>
  <c r="S75" i="16" s="1"/>
  <c r="S71" i="16"/>
  <c r="S80" i="16" l="1"/>
  <c r="R49" i="1"/>
  <c r="R46" i="1"/>
  <c r="R43" i="1"/>
  <c r="R40" i="1"/>
  <c r="R37" i="1"/>
  <c r="R34" i="1"/>
  <c r="R31" i="1"/>
  <c r="R28" i="1"/>
  <c r="R25" i="1"/>
  <c r="R22" i="1"/>
  <c r="R19" i="1"/>
  <c r="R16" i="1"/>
  <c r="R13" i="1"/>
  <c r="R10" i="1"/>
  <c r="R7" i="1"/>
  <c r="R4" i="1"/>
  <c r="R29" i="16"/>
  <c r="Q28" i="10" s="1"/>
  <c r="Q29" i="10" s="1"/>
  <c r="R30" i="16"/>
  <c r="Q55" i="10" s="1"/>
  <c r="Q56" i="10" s="1"/>
  <c r="R31" i="16"/>
  <c r="R32" i="16"/>
  <c r="R33" i="16"/>
  <c r="R34" i="16"/>
  <c r="R35" i="16"/>
  <c r="R36" i="16"/>
  <c r="R37" i="16"/>
  <c r="R38" i="16"/>
  <c r="Q79" i="10"/>
  <c r="Q81" i="10"/>
  <c r="Q82" i="10"/>
  <c r="Q83" i="10" s="1"/>
  <c r="Q68" i="10"/>
  <c r="Q66" i="10"/>
  <c r="Q52" i="10"/>
  <c r="Q41" i="10"/>
  <c r="Q39" i="10"/>
  <c r="Q25" i="10"/>
  <c r="Q27" i="10" s="1"/>
  <c r="Q14" i="10"/>
  <c r="Q12" i="10"/>
  <c r="Q57" i="12"/>
  <c r="Q49" i="12"/>
  <c r="Q43" i="12"/>
  <c r="Q35" i="12"/>
  <c r="Q31" i="12"/>
  <c r="Q5" i="12"/>
  <c r="Q6" i="12"/>
  <c r="Q23" i="12" s="1"/>
  <c r="R54" i="16"/>
  <c r="R55" i="16"/>
  <c r="R56" i="16"/>
  <c r="R57" i="16"/>
  <c r="R58" i="16"/>
  <c r="R59" i="16"/>
  <c r="R61" i="16"/>
  <c r="R62" i="16"/>
  <c r="R63" i="16"/>
  <c r="R64" i="16"/>
  <c r="R65" i="16"/>
  <c r="R66" i="16"/>
  <c r="R67" i="16"/>
  <c r="R68" i="16"/>
  <c r="Q49" i="1"/>
  <c r="Q46" i="1"/>
  <c r="Q43" i="1"/>
  <c r="Q40" i="1"/>
  <c r="Q37" i="1"/>
  <c r="Q34" i="1"/>
  <c r="Q31" i="1"/>
  <c r="Q28" i="1"/>
  <c r="Q25" i="1"/>
  <c r="Q22" i="1"/>
  <c r="Q19" i="1"/>
  <c r="Q16" i="1"/>
  <c r="Q13" i="1"/>
  <c r="Q10" i="1"/>
  <c r="Q7" i="1"/>
  <c r="Q4" i="1"/>
  <c r="Q29" i="16"/>
  <c r="P28" i="10" s="1"/>
  <c r="Q30" i="16"/>
  <c r="P55" i="10" s="1"/>
  <c r="P56" i="10" s="1"/>
  <c r="Q31" i="16"/>
  <c r="P82" i="10" s="1"/>
  <c r="P83" i="10" s="1"/>
  <c r="Q32" i="16"/>
  <c r="Q39" i="16" s="1"/>
  <c r="Q33" i="16"/>
  <c r="Q34" i="16"/>
  <c r="Q35" i="16"/>
  <c r="Q36" i="16"/>
  <c r="Q37" i="16"/>
  <c r="Q38" i="16"/>
  <c r="P79" i="10"/>
  <c r="P81" i="10" s="1"/>
  <c r="P68" i="10"/>
  <c r="P66" i="10"/>
  <c r="P52" i="10"/>
  <c r="P41" i="10"/>
  <c r="P39" i="10"/>
  <c r="P25" i="10"/>
  <c r="P27" i="10"/>
  <c r="P14" i="10"/>
  <c r="P12" i="10"/>
  <c r="P49" i="12"/>
  <c r="P43" i="12"/>
  <c r="P35" i="12"/>
  <c r="P31" i="12"/>
  <c r="P23" i="12"/>
  <c r="P5" i="12"/>
  <c r="P15" i="12" s="1"/>
  <c r="P6" i="12"/>
  <c r="Q54" i="16"/>
  <c r="Q55" i="16"/>
  <c r="Q56" i="16"/>
  <c r="Q57" i="16"/>
  <c r="Q58" i="16"/>
  <c r="Q59" i="16"/>
  <c r="Q61" i="16"/>
  <c r="Q62" i="16"/>
  <c r="Q63" i="16"/>
  <c r="Q64" i="16"/>
  <c r="Q65" i="16"/>
  <c r="Q66" i="16"/>
  <c r="Q67" i="16"/>
  <c r="Q68" i="16"/>
  <c r="O49" i="12"/>
  <c r="O43" i="12"/>
  <c r="O35" i="12"/>
  <c r="O31" i="12"/>
  <c r="O5" i="12"/>
  <c r="O21" i="12" s="1"/>
  <c r="O6" i="12"/>
  <c r="O23" i="12" s="1"/>
  <c r="O79" i="10"/>
  <c r="O81" i="10" s="1"/>
  <c r="O82" i="10"/>
  <c r="O83" i="10" s="1"/>
  <c r="O68" i="10"/>
  <c r="O66" i="10"/>
  <c r="O52" i="10"/>
  <c r="O41" i="10"/>
  <c r="O39" i="10"/>
  <c r="O25" i="10"/>
  <c r="O27" i="10" s="1"/>
  <c r="O14" i="10"/>
  <c r="O12" i="10"/>
  <c r="P49" i="1"/>
  <c r="P46" i="1"/>
  <c r="P43" i="1"/>
  <c r="P40" i="1"/>
  <c r="P37" i="1"/>
  <c r="P34" i="1"/>
  <c r="P31" i="1"/>
  <c r="P28" i="1"/>
  <c r="P25" i="1"/>
  <c r="P22" i="1"/>
  <c r="P19" i="1"/>
  <c r="P16" i="1"/>
  <c r="P13" i="1"/>
  <c r="P10" i="1"/>
  <c r="P7" i="1"/>
  <c r="P4" i="1"/>
  <c r="P29" i="16"/>
  <c r="O28" i="10" s="1"/>
  <c r="O29" i="10" s="1"/>
  <c r="P30" i="16"/>
  <c r="O55" i="10" s="1"/>
  <c r="O56" i="10" s="1"/>
  <c r="P31" i="16"/>
  <c r="P32" i="16"/>
  <c r="P33" i="16"/>
  <c r="P34" i="16"/>
  <c r="P35" i="16"/>
  <c r="P36" i="16"/>
  <c r="P37" i="16"/>
  <c r="P38" i="16"/>
  <c r="P54" i="16"/>
  <c r="P55" i="16"/>
  <c r="P56" i="16"/>
  <c r="P57" i="16"/>
  <c r="P58" i="16"/>
  <c r="P59" i="16"/>
  <c r="P61" i="16"/>
  <c r="P62" i="16"/>
  <c r="P73" i="16" s="1"/>
  <c r="P63" i="16"/>
  <c r="P64" i="16"/>
  <c r="P65" i="16"/>
  <c r="P66" i="16"/>
  <c r="P67" i="16"/>
  <c r="P68" i="16"/>
  <c r="P21" i="12" l="1"/>
  <c r="P27" i="12"/>
  <c r="Q60" i="16"/>
  <c r="P60" i="16"/>
  <c r="P84" i="16"/>
  <c r="R79" i="16"/>
  <c r="Q73" i="16"/>
  <c r="P69" i="16"/>
  <c r="P83" i="16" s="1"/>
  <c r="P9" i="12"/>
  <c r="R81" i="16"/>
  <c r="P57" i="12" s="1"/>
  <c r="P58" i="12" s="1"/>
  <c r="O27" i="12"/>
  <c r="P81" i="16"/>
  <c r="P77" i="16" s="1"/>
  <c r="O9" i="12"/>
  <c r="Q84" i="16"/>
  <c r="R39" i="16"/>
  <c r="Q27" i="12"/>
  <c r="R60" i="16"/>
  <c r="Q9" i="12"/>
  <c r="Q21" i="12"/>
  <c r="P39" i="16"/>
  <c r="Q15" i="12"/>
  <c r="Q69" i="16"/>
  <c r="Q51" i="12"/>
  <c r="Q79" i="16"/>
  <c r="R73" i="16"/>
  <c r="R84" i="16"/>
  <c r="O51" i="12"/>
  <c r="P29" i="10"/>
  <c r="P51" i="12"/>
  <c r="Q81" i="16"/>
  <c r="Q58" i="12"/>
  <c r="O15" i="12"/>
  <c r="R69" i="16"/>
  <c r="P79" i="16"/>
  <c r="P80" i="16" l="1"/>
  <c r="P71" i="16"/>
  <c r="P75" i="16"/>
  <c r="R77" i="16"/>
  <c r="R80" i="16" s="1"/>
  <c r="R83" i="16"/>
  <c r="R71" i="16"/>
  <c r="Q83" i="16"/>
  <c r="R75" i="16"/>
  <c r="O57" i="12"/>
  <c r="Q77" i="16"/>
  <c r="Q71" i="16" s="1"/>
  <c r="O49" i="1"/>
  <c r="O46" i="1"/>
  <c r="O43" i="1"/>
  <c r="O40" i="1"/>
  <c r="O37" i="1"/>
  <c r="O34" i="1"/>
  <c r="O31" i="1"/>
  <c r="O28" i="1"/>
  <c r="O25" i="1"/>
  <c r="O22" i="1"/>
  <c r="O19" i="1"/>
  <c r="O16" i="1"/>
  <c r="O13" i="1"/>
  <c r="O10" i="1"/>
  <c r="O7" i="1"/>
  <c r="O4" i="1"/>
  <c r="Q80" i="16" l="1"/>
  <c r="Q75" i="16"/>
  <c r="O58" i="12"/>
  <c r="O71" i="1"/>
  <c r="O66" i="1"/>
  <c r="O61" i="1"/>
  <c r="O56" i="1"/>
  <c r="O29" i="16"/>
  <c r="N28" i="10" s="1"/>
  <c r="N29" i="10" s="1"/>
  <c r="O30" i="16"/>
  <c r="N55" i="10" s="1"/>
  <c r="N56" i="10" s="1"/>
  <c r="O31" i="16"/>
  <c r="N82" i="10" s="1"/>
  <c r="N83" i="10" s="1"/>
  <c r="O32" i="16"/>
  <c r="O33" i="16"/>
  <c r="O34" i="16"/>
  <c r="O35" i="16"/>
  <c r="O36" i="16"/>
  <c r="O37" i="16"/>
  <c r="O38" i="16"/>
  <c r="N79" i="10"/>
  <c r="N81" i="10" s="1"/>
  <c r="N68" i="10"/>
  <c r="N66" i="10"/>
  <c r="N52" i="10"/>
  <c r="N41" i="10"/>
  <c r="N39" i="10"/>
  <c r="N25" i="10"/>
  <c r="N27" i="10" s="1"/>
  <c r="N14" i="10"/>
  <c r="N12" i="10"/>
  <c r="N57" i="12"/>
  <c r="N49" i="12"/>
  <c r="N43" i="12"/>
  <c r="N35" i="12"/>
  <c r="N31" i="12"/>
  <c r="N5" i="12"/>
  <c r="N9" i="12" s="1"/>
  <c r="N6" i="12"/>
  <c r="N23" i="12" s="1"/>
  <c r="O54" i="16"/>
  <c r="O55" i="16"/>
  <c r="O56" i="16"/>
  <c r="O57" i="16"/>
  <c r="O58" i="16"/>
  <c r="O59" i="16"/>
  <c r="O61" i="16"/>
  <c r="O62" i="16"/>
  <c r="O63" i="16"/>
  <c r="O64" i="16"/>
  <c r="O65" i="16"/>
  <c r="O66" i="16"/>
  <c r="O67" i="16"/>
  <c r="O68" i="16"/>
  <c r="N27" i="12" l="1"/>
  <c r="N48" i="10"/>
  <c r="O60" i="16"/>
  <c r="N75" i="10"/>
  <c r="O84" i="16"/>
  <c r="O73" i="16"/>
  <c r="O79" i="16"/>
  <c r="O81" i="16"/>
  <c r="O39" i="16"/>
  <c r="N15" i="12"/>
  <c r="N58" i="12"/>
  <c r="N21" i="12"/>
  <c r="N51" i="12"/>
  <c r="N21" i="10"/>
  <c r="O69" i="16"/>
  <c r="O77" i="16" l="1"/>
  <c r="O75" i="16" s="1"/>
  <c r="O80" i="16"/>
  <c r="O83" i="16"/>
  <c r="O71" i="16" l="1"/>
  <c r="N49" i="1"/>
  <c r="N46" i="1"/>
  <c r="N43" i="1"/>
  <c r="N40" i="1"/>
  <c r="N37" i="1"/>
  <c r="N34" i="1"/>
  <c r="N31" i="1"/>
  <c r="N28" i="1"/>
  <c r="N25" i="1"/>
  <c r="N22" i="1"/>
  <c r="N19" i="1"/>
  <c r="N16" i="1"/>
  <c r="N13" i="1"/>
  <c r="N10" i="1"/>
  <c r="N7" i="1"/>
  <c r="N4" i="1"/>
  <c r="N71" i="1" l="1"/>
  <c r="N66" i="1"/>
  <c r="N61" i="1"/>
  <c r="N56" i="1"/>
  <c r="N29" i="16"/>
  <c r="M28" i="10" s="1"/>
  <c r="M29" i="10" s="1"/>
  <c r="N30" i="16"/>
  <c r="M55" i="10" s="1"/>
  <c r="M56" i="10" s="1"/>
  <c r="N31" i="16"/>
  <c r="M82" i="10" s="1"/>
  <c r="M83" i="10" s="1"/>
  <c r="N32" i="16"/>
  <c r="N33" i="16"/>
  <c r="N34" i="16"/>
  <c r="N35" i="16"/>
  <c r="N36" i="16"/>
  <c r="N37" i="16"/>
  <c r="N38" i="16"/>
  <c r="M79" i="10"/>
  <c r="M81" i="10" s="1"/>
  <c r="M68" i="10"/>
  <c r="M66" i="10"/>
  <c r="M52" i="10"/>
  <c r="M41" i="10"/>
  <c r="M39" i="10"/>
  <c r="M25" i="10"/>
  <c r="M27" i="10"/>
  <c r="M14" i="10"/>
  <c r="M12" i="10"/>
  <c r="M57" i="12"/>
  <c r="M49" i="12"/>
  <c r="M43" i="12"/>
  <c r="M35" i="12"/>
  <c r="M31" i="12"/>
  <c r="M5" i="12"/>
  <c r="M9" i="12" s="1"/>
  <c r="M6" i="12"/>
  <c r="M23" i="12" s="1"/>
  <c r="N54" i="16"/>
  <c r="N55" i="16"/>
  <c r="N56" i="16"/>
  <c r="N60" i="16" s="1"/>
  <c r="N57" i="16"/>
  <c r="N58" i="16"/>
  <c r="N59" i="16"/>
  <c r="N61" i="16"/>
  <c r="N62" i="16"/>
  <c r="N63" i="16"/>
  <c r="N84" i="16" s="1"/>
  <c r="N64" i="16"/>
  <c r="N65" i="16"/>
  <c r="N66" i="16"/>
  <c r="N67" i="16"/>
  <c r="N68" i="16"/>
  <c r="M48" i="10" l="1"/>
  <c r="N73" i="16"/>
  <c r="N79" i="16"/>
  <c r="N81" i="16"/>
  <c r="M21" i="10"/>
  <c r="N69" i="16"/>
  <c r="N83" i="16" s="1"/>
  <c r="N39" i="16"/>
  <c r="M21" i="12"/>
  <c r="M58" i="12"/>
  <c r="M15" i="12"/>
  <c r="M75" i="10"/>
  <c r="M51" i="12"/>
  <c r="M27" i="12"/>
  <c r="N77" i="16"/>
  <c r="N80" i="16" s="1"/>
  <c r="N75" i="16" l="1"/>
  <c r="N71" i="16"/>
  <c r="M49" i="1" l="1"/>
  <c r="M46" i="1"/>
  <c r="M43" i="1"/>
  <c r="M40" i="1"/>
  <c r="M37" i="1"/>
  <c r="M34" i="1"/>
  <c r="M31" i="1"/>
  <c r="M28" i="1"/>
  <c r="M25" i="1"/>
  <c r="M22" i="1"/>
  <c r="M19" i="1"/>
  <c r="M16" i="1"/>
  <c r="M13" i="1"/>
  <c r="M10" i="1"/>
  <c r="M7" i="1"/>
  <c r="M4" i="1"/>
  <c r="M29" i="16"/>
  <c r="M30" i="16"/>
  <c r="M31" i="16"/>
  <c r="M32" i="16"/>
  <c r="M33" i="16"/>
  <c r="M34" i="16"/>
  <c r="M35" i="16"/>
  <c r="M36" i="16"/>
  <c r="M37" i="16"/>
  <c r="M38" i="16"/>
  <c r="M39" i="16" l="1"/>
  <c r="L79" i="10"/>
  <c r="L81" i="10" s="1"/>
  <c r="L82" i="10"/>
  <c r="L83" i="10" s="1"/>
  <c r="L68" i="10"/>
  <c r="L66" i="10"/>
  <c r="L52" i="10"/>
  <c r="L55" i="10"/>
  <c r="L56" i="10" s="1"/>
  <c r="L41" i="10"/>
  <c r="L39" i="10"/>
  <c r="L25" i="10"/>
  <c r="L27" i="10" s="1"/>
  <c r="L28" i="10"/>
  <c r="L29" i="10" s="1"/>
  <c r="L14" i="10"/>
  <c r="L12" i="10"/>
  <c r="L57" i="12"/>
  <c r="L49" i="12"/>
  <c r="L43" i="12"/>
  <c r="L35" i="12"/>
  <c r="L31" i="12"/>
  <c r="L5" i="12"/>
  <c r="L15" i="12" s="1"/>
  <c r="L6" i="12"/>
  <c r="L23" i="12" s="1"/>
  <c r="L21" i="12" l="1"/>
  <c r="L58" i="12"/>
  <c r="L51" i="12"/>
  <c r="L27" i="12"/>
  <c r="L9" i="12"/>
  <c r="M54" i="16" l="1"/>
  <c r="M55" i="16"/>
  <c r="M56" i="16"/>
  <c r="M57" i="16"/>
  <c r="M58" i="16"/>
  <c r="M59" i="16"/>
  <c r="M61" i="16"/>
  <c r="M62" i="16"/>
  <c r="M63" i="16"/>
  <c r="M64" i="16"/>
  <c r="M65" i="16"/>
  <c r="M66" i="16"/>
  <c r="M67" i="16"/>
  <c r="M68" i="16"/>
  <c r="M81" i="16" l="1"/>
  <c r="M77" i="16" s="1"/>
  <c r="M80" i="16" s="1"/>
  <c r="M84" i="16"/>
  <c r="M73" i="16"/>
  <c r="M79" i="16"/>
  <c r="M69" i="16"/>
  <c r="M60" i="16"/>
  <c r="M83" i="16" l="1"/>
  <c r="M71" i="16"/>
  <c r="M75" i="16"/>
  <c r="K57" i="12" l="1"/>
  <c r="K58" i="12" s="1"/>
  <c r="K49" i="12"/>
  <c r="K43" i="12"/>
  <c r="K35" i="12"/>
  <c r="K31" i="12"/>
  <c r="K21" i="12"/>
  <c r="K5" i="12"/>
  <c r="K6" i="12"/>
  <c r="K23" i="12" s="1"/>
  <c r="K9" i="12"/>
  <c r="K79" i="10"/>
  <c r="K81" i="10" s="1"/>
  <c r="K68" i="10"/>
  <c r="K66" i="10"/>
  <c r="K52" i="10"/>
  <c r="K41" i="10"/>
  <c r="K39" i="10"/>
  <c r="K25" i="10"/>
  <c r="K27" i="10"/>
  <c r="K14" i="10"/>
  <c r="K12" i="10"/>
  <c r="L49" i="1"/>
  <c r="L46" i="1"/>
  <c r="L43" i="1"/>
  <c r="L40" i="1"/>
  <c r="L37" i="1"/>
  <c r="L34" i="1"/>
  <c r="L31" i="1"/>
  <c r="L28" i="1"/>
  <c r="L25" i="1"/>
  <c r="L22" i="1"/>
  <c r="L19" i="1"/>
  <c r="L16" i="1"/>
  <c r="L13" i="1"/>
  <c r="L10" i="1"/>
  <c r="L7" i="1"/>
  <c r="L4" i="1"/>
  <c r="L29" i="16"/>
  <c r="K28" i="10" s="1"/>
  <c r="L30" i="16"/>
  <c r="K55" i="10" s="1"/>
  <c r="K56" i="10" s="1"/>
  <c r="L31" i="16"/>
  <c r="K82" i="10" s="1"/>
  <c r="K83" i="10" s="1"/>
  <c r="L32" i="16"/>
  <c r="L33" i="16"/>
  <c r="L34" i="16"/>
  <c r="L35" i="16"/>
  <c r="L36" i="16"/>
  <c r="L37" i="16"/>
  <c r="L38" i="16"/>
  <c r="L39" i="16" s="1"/>
  <c r="L54" i="16"/>
  <c r="L55" i="16"/>
  <c r="L56" i="16"/>
  <c r="L57" i="16"/>
  <c r="L58" i="16"/>
  <c r="L69" i="16" s="1"/>
  <c r="L83" i="16" s="1"/>
  <c r="L59" i="16"/>
  <c r="L61" i="16"/>
  <c r="L62" i="16"/>
  <c r="L63" i="16"/>
  <c r="L64" i="16"/>
  <c r="L65" i="16"/>
  <c r="L66" i="16"/>
  <c r="L81" i="16" s="1"/>
  <c r="L67" i="16"/>
  <c r="L68" i="16"/>
  <c r="L60" i="16" l="1"/>
  <c r="K29" i="10"/>
  <c r="K51" i="12"/>
  <c r="L84" i="16"/>
  <c r="L79" i="16"/>
  <c r="L73" i="16"/>
  <c r="K15" i="12"/>
  <c r="K27" i="12"/>
  <c r="L75" i="16" l="1"/>
  <c r="L77" i="16"/>
  <c r="J57" i="12"/>
  <c r="J58" i="12" s="1"/>
  <c r="J49" i="12"/>
  <c r="J43" i="12"/>
  <c r="J35" i="12"/>
  <c r="J31" i="12"/>
  <c r="J5" i="12"/>
  <c r="J15" i="12" s="1"/>
  <c r="J6" i="12"/>
  <c r="J23" i="12" s="1"/>
  <c r="J79" i="10"/>
  <c r="J81" i="10"/>
  <c r="J68" i="10"/>
  <c r="J66" i="10"/>
  <c r="J52" i="10"/>
  <c r="J55" i="10"/>
  <c r="J56" i="10" s="1"/>
  <c r="J41" i="10"/>
  <c r="J39" i="10"/>
  <c r="J25" i="10"/>
  <c r="J27" i="10"/>
  <c r="J14" i="10"/>
  <c r="J12" i="10"/>
  <c r="K49" i="1"/>
  <c r="K46" i="1"/>
  <c r="K43" i="1"/>
  <c r="K40" i="1"/>
  <c r="K37" i="1"/>
  <c r="K34" i="1"/>
  <c r="K31" i="1"/>
  <c r="K28" i="1"/>
  <c r="K25" i="1"/>
  <c r="K22" i="1"/>
  <c r="K19" i="1"/>
  <c r="K16" i="1"/>
  <c r="K13" i="1"/>
  <c r="K10" i="1"/>
  <c r="K7" i="1"/>
  <c r="K4" i="1"/>
  <c r="K29" i="16"/>
  <c r="J28" i="10" s="1"/>
  <c r="K30" i="16"/>
  <c r="K31" i="16"/>
  <c r="J82" i="10" s="1"/>
  <c r="J83" i="10" s="1"/>
  <c r="K32" i="16"/>
  <c r="K33" i="16"/>
  <c r="K34" i="16"/>
  <c r="K35" i="16"/>
  <c r="K36" i="16"/>
  <c r="K37" i="16"/>
  <c r="K38" i="16"/>
  <c r="J21" i="12" l="1"/>
  <c r="K39" i="16"/>
  <c r="J29" i="10"/>
  <c r="J51" i="12"/>
  <c r="J27" i="12"/>
  <c r="L80" i="16"/>
  <c r="L71" i="16"/>
  <c r="J9" i="12"/>
  <c r="K54" i="16" l="1"/>
  <c r="K55" i="16"/>
  <c r="K56" i="16"/>
  <c r="K79" i="16" s="1"/>
  <c r="K57" i="16"/>
  <c r="K58" i="16"/>
  <c r="K59" i="16"/>
  <c r="K61" i="16"/>
  <c r="K62" i="16"/>
  <c r="K63" i="16"/>
  <c r="K64" i="16"/>
  <c r="K65" i="16"/>
  <c r="K66" i="16"/>
  <c r="K81" i="16" s="1"/>
  <c r="K67" i="16"/>
  <c r="K68" i="16"/>
  <c r="K84" i="16" l="1"/>
  <c r="K60" i="16"/>
  <c r="K69" i="16"/>
  <c r="K73" i="16"/>
  <c r="K83" i="16"/>
  <c r="K77" i="16"/>
  <c r="K80" i="16" s="1"/>
  <c r="I57" i="12"/>
  <c r="K75" i="16" l="1"/>
  <c r="K71" i="16"/>
  <c r="I49" i="12"/>
  <c r="I43" i="12"/>
  <c r="I35" i="12"/>
  <c r="I31" i="12"/>
  <c r="I5" i="12"/>
  <c r="I21" i="12" s="1"/>
  <c r="I6" i="12"/>
  <c r="I23" i="12" s="1"/>
  <c r="I79" i="10"/>
  <c r="I81" i="10" s="1"/>
  <c r="I82" i="10"/>
  <c r="I83" i="10" s="1"/>
  <c r="I68" i="10"/>
  <c r="I66" i="10"/>
  <c r="I52" i="10"/>
  <c r="I41" i="10"/>
  <c r="I39" i="10"/>
  <c r="I25" i="10"/>
  <c r="I27" i="10" s="1"/>
  <c r="I14" i="10"/>
  <c r="I12" i="10"/>
  <c r="J49" i="1"/>
  <c r="J46" i="1"/>
  <c r="J43" i="1"/>
  <c r="J40" i="1"/>
  <c r="J37" i="1"/>
  <c r="J34" i="1"/>
  <c r="J31" i="1"/>
  <c r="J28" i="1"/>
  <c r="J25" i="1"/>
  <c r="J22" i="1"/>
  <c r="J19" i="1"/>
  <c r="J16" i="1"/>
  <c r="J13" i="1"/>
  <c r="J10" i="1"/>
  <c r="J7" i="1"/>
  <c r="J4" i="1"/>
  <c r="J29" i="16"/>
  <c r="I28" i="10" s="1"/>
  <c r="J30" i="16"/>
  <c r="I55" i="10" s="1"/>
  <c r="I56" i="10" s="1"/>
  <c r="J31" i="16"/>
  <c r="J32" i="16"/>
  <c r="J33" i="16"/>
  <c r="J34" i="16"/>
  <c r="J35" i="16"/>
  <c r="J36" i="16"/>
  <c r="J37" i="16"/>
  <c r="J38" i="16"/>
  <c r="J39" i="16" s="1"/>
  <c r="I29" i="10" l="1"/>
  <c r="I51" i="12"/>
  <c r="I9" i="12"/>
  <c r="I58" i="12"/>
  <c r="I15" i="12"/>
  <c r="I27" i="12"/>
  <c r="J54" i="16" l="1"/>
  <c r="J55" i="16"/>
  <c r="J56" i="16"/>
  <c r="J57" i="16"/>
  <c r="J58" i="16"/>
  <c r="J69" i="16" s="1"/>
  <c r="J59" i="16"/>
  <c r="J84" i="16" s="1"/>
  <c r="J61" i="16"/>
  <c r="J62" i="16"/>
  <c r="J63" i="16"/>
  <c r="J64" i="16"/>
  <c r="J65" i="16"/>
  <c r="J66" i="16"/>
  <c r="J67" i="16"/>
  <c r="J68" i="16"/>
  <c r="J81" i="16" l="1"/>
  <c r="J79" i="16"/>
  <c r="J60" i="16"/>
  <c r="J73" i="16"/>
  <c r="J77" i="16"/>
  <c r="J80" i="16" s="1"/>
  <c r="J83" i="16"/>
  <c r="J75" i="16" l="1"/>
  <c r="J71" i="16"/>
  <c r="H57" i="12" l="1"/>
  <c r="H49" i="12" l="1"/>
  <c r="H43" i="12"/>
  <c r="H35" i="12"/>
  <c r="H31" i="12"/>
  <c r="H23" i="12"/>
  <c r="H5" i="12"/>
  <c r="H21" i="12" s="1"/>
  <c r="H6" i="12"/>
  <c r="H79" i="10"/>
  <c r="H81" i="10" s="1"/>
  <c r="H68" i="10"/>
  <c r="H66" i="10"/>
  <c r="H52" i="10"/>
  <c r="H55" i="10"/>
  <c r="H56" i="10" s="1"/>
  <c r="H41" i="10"/>
  <c r="H39" i="10"/>
  <c r="H25" i="10"/>
  <c r="H27" i="10" s="1"/>
  <c r="H14" i="10"/>
  <c r="H12" i="10"/>
  <c r="I49" i="1"/>
  <c r="I46" i="1"/>
  <c r="I43" i="1"/>
  <c r="I40" i="1"/>
  <c r="I37" i="1"/>
  <c r="I34" i="1"/>
  <c r="I31" i="1"/>
  <c r="I28" i="1"/>
  <c r="I25" i="1"/>
  <c r="I22" i="1"/>
  <c r="I19" i="1"/>
  <c r="I16" i="1"/>
  <c r="I13" i="1"/>
  <c r="I10" i="1"/>
  <c r="I7" i="1"/>
  <c r="I4" i="1"/>
  <c r="I29" i="16"/>
  <c r="H28" i="10" s="1"/>
  <c r="I30" i="16"/>
  <c r="I31" i="16"/>
  <c r="H82" i="10" s="1"/>
  <c r="H83" i="10" s="1"/>
  <c r="I32" i="16"/>
  <c r="I33" i="16"/>
  <c r="I34" i="16"/>
  <c r="I35" i="16"/>
  <c r="I36" i="16"/>
  <c r="I37" i="16"/>
  <c r="I38" i="16"/>
  <c r="H27" i="12" l="1"/>
  <c r="I39" i="16"/>
  <c r="H29" i="10"/>
  <c r="H51" i="12"/>
  <c r="H9" i="12"/>
  <c r="H58" i="12"/>
  <c r="H15" i="12"/>
  <c r="I54" i="16" l="1"/>
  <c r="I55" i="16"/>
  <c r="I56" i="16"/>
  <c r="I57" i="16"/>
  <c r="I58" i="16"/>
  <c r="I69" i="16" s="1"/>
  <c r="I59" i="16"/>
  <c r="I79" i="16" s="1"/>
  <c r="I61" i="16"/>
  <c r="I62" i="16"/>
  <c r="I63" i="16"/>
  <c r="I64" i="16"/>
  <c r="I65" i="16"/>
  <c r="I66" i="16"/>
  <c r="I67" i="16"/>
  <c r="I68" i="16"/>
  <c r="I60" i="16" l="1"/>
  <c r="I81" i="16"/>
  <c r="I84" i="16"/>
  <c r="I83" i="16"/>
  <c r="I73" i="16"/>
  <c r="I77" i="16" s="1"/>
  <c r="I80" i="16" s="1"/>
  <c r="I75" i="16" l="1"/>
  <c r="I71" i="16"/>
  <c r="H49" i="1" l="1"/>
  <c r="H46" i="1"/>
  <c r="H43" i="1"/>
  <c r="H40" i="1"/>
  <c r="H37" i="1"/>
  <c r="H34" i="1"/>
  <c r="H31" i="1"/>
  <c r="H28" i="1"/>
  <c r="H25" i="1"/>
  <c r="H22" i="1"/>
  <c r="H19" i="1"/>
  <c r="H16" i="1"/>
  <c r="H13" i="1"/>
  <c r="H10" i="1"/>
  <c r="H7" i="1"/>
  <c r="H4" i="1"/>
  <c r="H71" i="1"/>
  <c r="H66" i="1"/>
  <c r="H61" i="1"/>
  <c r="H56" i="1"/>
  <c r="H29" i="16"/>
  <c r="G28" i="10" s="1"/>
  <c r="H30" i="16"/>
  <c r="G55" i="10" s="1"/>
  <c r="G56" i="10" s="1"/>
  <c r="H31" i="16"/>
  <c r="G82" i="10" s="1"/>
  <c r="G83" i="10" s="1"/>
  <c r="H32" i="16"/>
  <c r="H33" i="16"/>
  <c r="H34" i="16"/>
  <c r="H35" i="16"/>
  <c r="H36" i="16"/>
  <c r="H37" i="16"/>
  <c r="H38" i="16"/>
  <c r="G79" i="10"/>
  <c r="G81" i="10" s="1"/>
  <c r="G68" i="10"/>
  <c r="G66" i="10"/>
  <c r="G52" i="10"/>
  <c r="G41" i="10"/>
  <c r="G39" i="10"/>
  <c r="G25" i="10"/>
  <c r="G27" i="10" s="1"/>
  <c r="G14" i="10"/>
  <c r="G12" i="10"/>
  <c r="G57" i="12"/>
  <c r="G49" i="12"/>
  <c r="G43" i="12"/>
  <c r="G35" i="12"/>
  <c r="G31" i="12"/>
  <c r="G5" i="12"/>
  <c r="G6" i="12"/>
  <c r="G23" i="12" s="1"/>
  <c r="H54" i="16"/>
  <c r="H55" i="16"/>
  <c r="H56" i="16"/>
  <c r="H57" i="16"/>
  <c r="H58" i="16"/>
  <c r="H59" i="16"/>
  <c r="H60" i="16"/>
  <c r="H61" i="16"/>
  <c r="H62" i="16"/>
  <c r="H63" i="16"/>
  <c r="H64" i="16"/>
  <c r="H65" i="16"/>
  <c r="H73" i="16" s="1"/>
  <c r="H66" i="16"/>
  <c r="H81" i="16" s="1"/>
  <c r="H67" i="16"/>
  <c r="H84" i="16" s="1"/>
  <c r="H68" i="16"/>
  <c r="H79" i="16" l="1"/>
  <c r="G21" i="10"/>
  <c r="H69" i="16"/>
  <c r="H39" i="16"/>
  <c r="G9" i="12"/>
  <c r="G15" i="12"/>
  <c r="G21" i="12"/>
  <c r="G51" i="12"/>
  <c r="G75" i="10"/>
  <c r="G48" i="10"/>
  <c r="G29" i="10"/>
  <c r="G58" i="12"/>
  <c r="G27" i="12"/>
  <c r="H77" i="16"/>
  <c r="H71" i="16" s="1"/>
  <c r="H83" i="16"/>
  <c r="H80" i="16" l="1"/>
  <c r="H75" i="16"/>
  <c r="G49" i="1" l="1"/>
  <c r="G46" i="1"/>
  <c r="G43" i="1"/>
  <c r="G40" i="1"/>
  <c r="G37" i="1"/>
  <c r="G34" i="1"/>
  <c r="G31" i="1"/>
  <c r="G28" i="1"/>
  <c r="G25" i="1"/>
  <c r="G22" i="1"/>
  <c r="G19" i="1"/>
  <c r="G16" i="1"/>
  <c r="G13" i="1"/>
  <c r="G10" i="1"/>
  <c r="G7" i="1"/>
  <c r="G4" i="1"/>
  <c r="F12" i="10" l="1"/>
  <c r="G71" i="1" l="1"/>
  <c r="G66" i="1"/>
  <c r="G61" i="1"/>
  <c r="G56" i="1"/>
  <c r="G29" i="16"/>
  <c r="F28" i="10" s="1"/>
  <c r="G30" i="16"/>
  <c r="F55" i="10" s="1"/>
  <c r="F56" i="10" s="1"/>
  <c r="G31" i="16"/>
  <c r="F82" i="10" s="1"/>
  <c r="F83" i="10" s="1"/>
  <c r="G32" i="16"/>
  <c r="G33" i="16"/>
  <c r="G34" i="16"/>
  <c r="G35" i="16"/>
  <c r="G36" i="16"/>
  <c r="G37" i="16"/>
  <c r="G38" i="16"/>
  <c r="F79" i="10"/>
  <c r="F75" i="10" s="1"/>
  <c r="F68" i="10"/>
  <c r="F66" i="10"/>
  <c r="F52" i="10"/>
  <c r="F41" i="10"/>
  <c r="F39" i="10"/>
  <c r="F25" i="10"/>
  <c r="F27" i="10" s="1"/>
  <c r="F14" i="10"/>
  <c r="F57" i="12"/>
  <c r="F49" i="12"/>
  <c r="F43" i="12"/>
  <c r="F35" i="12"/>
  <c r="F31" i="12"/>
  <c r="F5" i="12"/>
  <c r="F9" i="12" s="1"/>
  <c r="F6" i="12"/>
  <c r="F23" i="12" s="1"/>
  <c r="E70" i="1"/>
  <c r="D52" i="10"/>
  <c r="D41" i="10"/>
  <c r="D25" i="10"/>
  <c r="F81" i="10" l="1"/>
  <c r="F48" i="10"/>
  <c r="G39" i="16"/>
  <c r="F21" i="10"/>
  <c r="F51" i="12"/>
  <c r="F29" i="10"/>
  <c r="F15" i="12"/>
  <c r="F58" i="12"/>
  <c r="F21" i="12"/>
  <c r="F27" i="12"/>
  <c r="G54" i="16"/>
  <c r="G55" i="16"/>
  <c r="G56" i="16"/>
  <c r="G60" i="16" s="1"/>
  <c r="G57" i="16"/>
  <c r="G58" i="16"/>
  <c r="G59" i="16"/>
  <c r="G84" i="16" s="1"/>
  <c r="G61" i="16"/>
  <c r="G62" i="16"/>
  <c r="G63" i="16"/>
  <c r="G64" i="16"/>
  <c r="G65" i="16"/>
  <c r="G66" i="16"/>
  <c r="G67" i="16"/>
  <c r="G68" i="16"/>
  <c r="G69" i="16"/>
  <c r="G73" i="16" l="1"/>
  <c r="G79" i="16"/>
  <c r="G81" i="16"/>
  <c r="G83" i="16" s="1"/>
  <c r="G75" i="16" l="1"/>
  <c r="G77" i="16"/>
  <c r="G80" i="16" s="1"/>
  <c r="G71" i="16"/>
  <c r="E57" i="12" l="1"/>
  <c r="E49" i="12"/>
  <c r="E43" i="12"/>
  <c r="E35" i="12"/>
  <c r="E31" i="12"/>
  <c r="E27" i="12" s="1"/>
  <c r="E5" i="12" l="1"/>
  <c r="E9" i="12" s="1"/>
  <c r="E6" i="12"/>
  <c r="E23" i="12" s="1"/>
  <c r="E79" i="10"/>
  <c r="E81" i="10" s="1"/>
  <c r="E68" i="10"/>
  <c r="E66" i="10"/>
  <c r="E52" i="10"/>
  <c r="E41" i="10"/>
  <c r="E39" i="10"/>
  <c r="E25" i="10"/>
  <c r="E27" i="10"/>
  <c r="E14" i="10"/>
  <c r="E12" i="10"/>
  <c r="F49" i="1"/>
  <c r="F46" i="1"/>
  <c r="F43" i="1"/>
  <c r="F40" i="1"/>
  <c r="F37" i="1"/>
  <c r="F34" i="1"/>
  <c r="F31" i="1"/>
  <c r="F28" i="1"/>
  <c r="F25" i="1"/>
  <c r="F22" i="1"/>
  <c r="F19" i="1"/>
  <c r="F16" i="1"/>
  <c r="F13" i="1"/>
  <c r="F10" i="1"/>
  <c r="F7" i="1"/>
  <c r="F4" i="1"/>
  <c r="F29" i="16"/>
  <c r="E28" i="10" s="1"/>
  <c r="F30" i="16"/>
  <c r="E55" i="10" s="1"/>
  <c r="E56" i="10" s="1"/>
  <c r="F31" i="16"/>
  <c r="E82" i="10" s="1"/>
  <c r="E83" i="10" s="1"/>
  <c r="F32" i="16"/>
  <c r="F39" i="16" s="1"/>
  <c r="F33" i="16"/>
  <c r="F34" i="16"/>
  <c r="F35" i="16"/>
  <c r="F36" i="16"/>
  <c r="F37" i="16"/>
  <c r="F38" i="16"/>
  <c r="E29" i="10" l="1"/>
  <c r="E51" i="12"/>
  <c r="E15" i="12"/>
  <c r="E21" i="12"/>
  <c r="E58" i="12"/>
  <c r="E30" i="16" l="1"/>
  <c r="F54" i="16" l="1"/>
  <c r="F55" i="16"/>
  <c r="F56" i="16"/>
  <c r="F57" i="16"/>
  <c r="F58" i="16"/>
  <c r="F59" i="16"/>
  <c r="F61" i="16"/>
  <c r="F62" i="16"/>
  <c r="F73" i="16" s="1"/>
  <c r="F63" i="16"/>
  <c r="F64" i="16"/>
  <c r="F65" i="16"/>
  <c r="F66" i="16"/>
  <c r="F67" i="16"/>
  <c r="F68" i="16"/>
  <c r="E29" i="16"/>
  <c r="E31" i="16"/>
  <c r="E32" i="16"/>
  <c r="E39" i="16" s="1"/>
  <c r="E33" i="16"/>
  <c r="E34" i="16"/>
  <c r="E35" i="16"/>
  <c r="E36" i="16"/>
  <c r="E37" i="16"/>
  <c r="E38" i="16"/>
  <c r="F84" i="16" l="1"/>
  <c r="F69" i="16"/>
  <c r="F79" i="16"/>
  <c r="F81" i="16"/>
  <c r="F83" i="16" s="1"/>
  <c r="F60" i="16"/>
  <c r="F77" i="16" l="1"/>
  <c r="F80" i="16" s="1"/>
  <c r="E54" i="16"/>
  <c r="E55" i="16"/>
  <c r="E56" i="16"/>
  <c r="E57" i="16"/>
  <c r="E58" i="16"/>
  <c r="E59" i="16"/>
  <c r="E61" i="16"/>
  <c r="E62" i="16"/>
  <c r="E63" i="16"/>
  <c r="E64" i="16"/>
  <c r="E65" i="16"/>
  <c r="E66" i="16"/>
  <c r="E67" i="16"/>
  <c r="E68" i="16"/>
  <c r="E81" i="16" l="1"/>
  <c r="E60" i="16"/>
  <c r="E84" i="16"/>
  <c r="F75" i="16"/>
  <c r="F71" i="16"/>
  <c r="E73" i="16"/>
  <c r="E77" i="16" s="1"/>
  <c r="E80" i="16" s="1"/>
  <c r="E79" i="16"/>
  <c r="E69" i="16"/>
  <c r="E83" i="16" s="1"/>
  <c r="E75" i="16" l="1"/>
  <c r="E71" i="16"/>
  <c r="D70" i="1" l="1"/>
  <c r="D69" i="1"/>
  <c r="D54" i="16" l="1"/>
  <c r="D55" i="16"/>
  <c r="D56" i="16"/>
  <c r="D57" i="16"/>
  <c r="D58" i="16"/>
  <c r="D59" i="16"/>
  <c r="D79" i="16" s="1"/>
  <c r="D60" i="16"/>
  <c r="D61" i="16"/>
  <c r="D62" i="16"/>
  <c r="D63" i="16"/>
  <c r="D64" i="16"/>
  <c r="D65" i="16"/>
  <c r="D66" i="16"/>
  <c r="D81" i="16" s="1"/>
  <c r="D67" i="16"/>
  <c r="D68" i="16"/>
  <c r="D69" i="16"/>
  <c r="D70" i="16" s="1"/>
  <c r="E70" i="16" s="1"/>
  <c r="F70" i="16" s="1"/>
  <c r="G70" i="16" s="1"/>
  <c r="H70" i="16" s="1"/>
  <c r="I70" i="16" s="1"/>
  <c r="J70" i="16" s="1"/>
  <c r="K70" i="16" s="1"/>
  <c r="L70" i="16" s="1"/>
  <c r="M70" i="16" s="1"/>
  <c r="N70" i="16" s="1"/>
  <c r="O70" i="16" s="1"/>
  <c r="P70" i="16" s="1"/>
  <c r="Q70" i="16" s="1"/>
  <c r="R70" i="16" s="1"/>
  <c r="S70" i="16" s="1"/>
  <c r="T70" i="16" s="1"/>
  <c r="U70" i="16" s="1"/>
  <c r="V70" i="16" s="1"/>
  <c r="W70" i="16" s="1"/>
  <c r="X70" i="16" s="1"/>
  <c r="Y70" i="16" s="1"/>
  <c r="D73" i="16" l="1"/>
  <c r="D74" i="16" s="1"/>
  <c r="E74" i="16" s="1"/>
  <c r="F74" i="16" s="1"/>
  <c r="D84" i="16"/>
  <c r="D82" i="16"/>
  <c r="E82" i="16" s="1"/>
  <c r="D83" i="16"/>
  <c r="D78" i="16" l="1"/>
  <c r="D76" i="16" s="1"/>
  <c r="D77" i="16"/>
  <c r="F82" i="16"/>
  <c r="E78" i="16"/>
  <c r="E76" i="16" s="1"/>
  <c r="G74" i="16"/>
  <c r="F78" i="16"/>
  <c r="F76" i="16"/>
  <c r="D75" i="16"/>
  <c r="D80" i="16"/>
  <c r="D71" i="16"/>
  <c r="D72" i="16" l="1"/>
  <c r="H74" i="16"/>
  <c r="E72" i="16"/>
  <c r="G82" i="16"/>
  <c r="H82" i="16" s="1"/>
  <c r="F72" i="16"/>
  <c r="I82" i="16" l="1"/>
  <c r="J82" i="16" s="1"/>
  <c r="K82" i="16" s="1"/>
  <c r="L82" i="16" s="1"/>
  <c r="G78" i="16"/>
  <c r="I74" i="16"/>
  <c r="H78" i="16"/>
  <c r="H76" i="16" s="1"/>
  <c r="D30" i="13"/>
  <c r="G72" i="16" l="1"/>
  <c r="G76" i="16"/>
  <c r="H72" i="16"/>
  <c r="J74" i="16"/>
  <c r="I78" i="16"/>
  <c r="I72" i="16" s="1"/>
  <c r="M82" i="16"/>
  <c r="N82" i="16" s="1"/>
  <c r="AF71" i="1"/>
  <c r="AF66" i="1"/>
  <c r="AE75" i="10" s="1"/>
  <c r="AE76" i="10" s="1"/>
  <c r="AE77" i="10" s="1"/>
  <c r="AF61" i="1"/>
  <c r="AE48" i="10" s="1"/>
  <c r="AE49" i="10" s="1"/>
  <c r="AE50" i="10" s="1"/>
  <c r="AF56" i="1"/>
  <c r="AE21" i="10" s="1"/>
  <c r="AE22" i="10" s="1"/>
  <c r="AE23" i="10" s="1"/>
  <c r="K74" i="16" l="1"/>
  <c r="J78" i="16"/>
  <c r="J72" i="16" s="1"/>
  <c r="J76" i="16"/>
  <c r="O82" i="16"/>
  <c r="I76" i="16"/>
  <c r="AE71" i="1"/>
  <c r="AE66" i="1"/>
  <c r="AD75" i="10" s="1"/>
  <c r="AD76" i="10" s="1"/>
  <c r="AD77" i="10" s="1"/>
  <c r="AE61" i="1"/>
  <c r="AD48" i="10" s="1"/>
  <c r="AD49" i="10" s="1"/>
  <c r="AD50" i="10" s="1"/>
  <c r="AE56" i="1"/>
  <c r="AD21" i="10" s="1"/>
  <c r="AD22" i="10" s="1"/>
  <c r="AD23" i="10" s="1"/>
  <c r="P82" i="16" l="1"/>
  <c r="L74" i="16"/>
  <c r="K78" i="16"/>
  <c r="K72" i="16" s="1"/>
  <c r="K76" i="16"/>
  <c r="AD66" i="1"/>
  <c r="AC75" i="10" s="1"/>
  <c r="AC76" i="10" s="1"/>
  <c r="AC77" i="10" s="1"/>
  <c r="AD61" i="1"/>
  <c r="AC48" i="10" s="1"/>
  <c r="AC49" i="10" s="1"/>
  <c r="AC50" i="10" s="1"/>
  <c r="AD56" i="1"/>
  <c r="AC21" i="10" s="1"/>
  <c r="AC22" i="10" s="1"/>
  <c r="AC23" i="10" s="1"/>
  <c r="M74" i="16" l="1"/>
  <c r="L78" i="16"/>
  <c r="Q82" i="16"/>
  <c r="AD71" i="1"/>
  <c r="AC71" i="1"/>
  <c r="R82" i="16" l="1"/>
  <c r="L76" i="16"/>
  <c r="L72" i="16"/>
  <c r="N74" i="16"/>
  <c r="M78" i="16"/>
  <c r="M72" i="16" s="1"/>
  <c r="AB66" i="1"/>
  <c r="AA75" i="10" s="1"/>
  <c r="AB61" i="1"/>
  <c r="AA48" i="10" s="1"/>
  <c r="AB56" i="1"/>
  <c r="AA21" i="10" s="1"/>
  <c r="M76" i="16" l="1"/>
  <c r="O74" i="16"/>
  <c r="N78" i="16"/>
  <c r="S82" i="16"/>
  <c r="AB71" i="1"/>
  <c r="AA71" i="1"/>
  <c r="AA66" i="1"/>
  <c r="Z75" i="10" s="1"/>
  <c r="AA56" i="1"/>
  <c r="Z21" i="10" s="1"/>
  <c r="T82" i="16" l="1"/>
  <c r="N76" i="16"/>
  <c r="N72" i="16"/>
  <c r="P74" i="16"/>
  <c r="O78" i="16"/>
  <c r="Z66" i="1"/>
  <c r="Y75" i="10" s="1"/>
  <c r="Z56" i="1"/>
  <c r="Y21" i="10" s="1"/>
  <c r="P78" i="16" l="1"/>
  <c r="Q74" i="16"/>
  <c r="O76" i="16"/>
  <c r="O72" i="16"/>
  <c r="U82" i="16"/>
  <c r="V82" i="16" s="1"/>
  <c r="Z71" i="1"/>
  <c r="R74" i="16" l="1"/>
  <c r="Q78" i="16"/>
  <c r="W82" i="16"/>
  <c r="P76" i="16"/>
  <c r="P72" i="16"/>
  <c r="Y71" i="1"/>
  <c r="Y66" i="1"/>
  <c r="X75" i="10" s="1"/>
  <c r="Y61" i="1"/>
  <c r="X48" i="10" s="1"/>
  <c r="Y56" i="1"/>
  <c r="X21" i="10" s="1"/>
  <c r="X82" i="16" l="1"/>
  <c r="Y82" i="16" s="1"/>
  <c r="Q76" i="16"/>
  <c r="Q72" i="16"/>
  <c r="S74" i="16"/>
  <c r="R78" i="16"/>
  <c r="X66" i="1"/>
  <c r="W75" i="10" s="1"/>
  <c r="X61" i="1"/>
  <c r="W48" i="10" s="1"/>
  <c r="X56" i="1"/>
  <c r="W21" i="10" s="1"/>
  <c r="R76" i="16" l="1"/>
  <c r="R72" i="16"/>
  <c r="T74" i="16"/>
  <c r="S78" i="16"/>
  <c r="X71" i="1"/>
  <c r="S76" i="16" l="1"/>
  <c r="S72" i="16"/>
  <c r="T78" i="16"/>
  <c r="U74" i="16"/>
  <c r="W66" i="1"/>
  <c r="V75" i="10" s="1"/>
  <c r="W61" i="1"/>
  <c r="V48" i="10" s="1"/>
  <c r="W56" i="1"/>
  <c r="V21" i="10" s="1"/>
  <c r="U78" i="16" l="1"/>
  <c r="U72" i="16" s="1"/>
  <c r="V74" i="16"/>
  <c r="U76" i="16"/>
  <c r="T76" i="16"/>
  <c r="T72" i="16"/>
  <c r="W71" i="1"/>
  <c r="W74" i="16" l="1"/>
  <c r="V78" i="16"/>
  <c r="V72" i="16" s="1"/>
  <c r="V76" i="16"/>
  <c r="D86" i="16"/>
  <c r="X74" i="16" l="1"/>
  <c r="W78" i="16"/>
  <c r="W72" i="16" s="1"/>
  <c r="Q66" i="1"/>
  <c r="P75" i="10" s="1"/>
  <c r="Q61" i="1"/>
  <c r="P48" i="10" s="1"/>
  <c r="Q56" i="1"/>
  <c r="P21" i="10" s="1"/>
  <c r="W76" i="16" l="1"/>
  <c r="Y74" i="16"/>
  <c r="X78" i="16"/>
  <c r="X72" i="16" s="1"/>
  <c r="Q71" i="1"/>
  <c r="P71" i="1"/>
  <c r="P66" i="1"/>
  <c r="O75" i="10" s="1"/>
  <c r="P61" i="1"/>
  <c r="O48" i="10" s="1"/>
  <c r="P56" i="1"/>
  <c r="O21" i="10" s="1"/>
  <c r="X76" i="16" l="1"/>
  <c r="Y78" i="16"/>
  <c r="Y72" i="16" s="1"/>
  <c r="F61" i="1"/>
  <c r="E48" i="10" s="1"/>
  <c r="Y76" i="16" l="1"/>
  <c r="D14" i="10"/>
  <c r="D68" i="10"/>
  <c r="C22" i="12" l="1"/>
  <c r="D22" i="12" s="1"/>
  <c r="E22" i="12" s="1"/>
  <c r="F22" i="12" s="1"/>
  <c r="G22" i="12" s="1"/>
  <c r="H22" i="12" l="1"/>
  <c r="K71" i="1"/>
  <c r="I22" i="12" l="1"/>
  <c r="E61" i="1"/>
  <c r="I61" i="1"/>
  <c r="H48" i="10" s="1"/>
  <c r="J61" i="1"/>
  <c r="I48" i="10" s="1"/>
  <c r="K61" i="1"/>
  <c r="J48" i="10" s="1"/>
  <c r="L61" i="1"/>
  <c r="K48" i="10" s="1"/>
  <c r="M61" i="1"/>
  <c r="L48" i="10" s="1"/>
  <c r="R61" i="1"/>
  <c r="Q48" i="10" s="1"/>
  <c r="S61" i="1"/>
  <c r="R48" i="10" s="1"/>
  <c r="T61" i="1"/>
  <c r="S48" i="10" s="1"/>
  <c r="Z61" i="1"/>
  <c r="Y48" i="10" s="1"/>
  <c r="AA61" i="1"/>
  <c r="Z48" i="10" s="1"/>
  <c r="D61" i="1"/>
  <c r="D31" i="12"/>
  <c r="D79" i="10"/>
  <c r="D81" i="10" s="1"/>
  <c r="C69" i="12"/>
  <c r="C70" i="12" s="1"/>
  <c r="C65" i="12"/>
  <c r="C66" i="12" s="1"/>
  <c r="J22" i="12" l="1"/>
  <c r="D69" i="12"/>
  <c r="D65" i="12"/>
  <c r="J71" i="1"/>
  <c r="I71" i="1"/>
  <c r="F71" i="1"/>
  <c r="D66" i="12" l="1"/>
  <c r="E65" i="12"/>
  <c r="D70" i="12"/>
  <c r="E69" i="12"/>
  <c r="K22" i="12"/>
  <c r="D68" i="1"/>
  <c r="D27" i="10"/>
  <c r="C25" i="10"/>
  <c r="C26" i="10" s="1"/>
  <c r="C27" i="10" s="1"/>
  <c r="C52" i="10"/>
  <c r="D56" i="1"/>
  <c r="D66" i="1"/>
  <c r="E68" i="1"/>
  <c r="E71" i="1" s="1"/>
  <c r="D35" i="12" s="1"/>
  <c r="D27" i="12" s="1"/>
  <c r="T71" i="1"/>
  <c r="S71" i="1"/>
  <c r="R71" i="1"/>
  <c r="M71" i="1"/>
  <c r="L71" i="1"/>
  <c r="T66" i="1"/>
  <c r="S75" i="10" s="1"/>
  <c r="S66" i="1"/>
  <c r="R75" i="10" s="1"/>
  <c r="R66" i="1"/>
  <c r="Q75" i="10" s="1"/>
  <c r="M66" i="1"/>
  <c r="L75" i="10" s="1"/>
  <c r="L66" i="1"/>
  <c r="K75" i="10" s="1"/>
  <c r="K66" i="1"/>
  <c r="J75" i="10" s="1"/>
  <c r="J66" i="1"/>
  <c r="I75" i="10" s="1"/>
  <c r="I66" i="1"/>
  <c r="H75" i="10" s="1"/>
  <c r="F66" i="1"/>
  <c r="E75" i="10" s="1"/>
  <c r="E66" i="1"/>
  <c r="L22" i="12" l="1"/>
  <c r="E70" i="12"/>
  <c r="F69" i="12"/>
  <c r="E53" i="10"/>
  <c r="E54" i="10" s="1"/>
  <c r="X53" i="10"/>
  <c r="X54" i="10" s="1"/>
  <c r="W53" i="10"/>
  <c r="W54" i="10" s="1"/>
  <c r="V53" i="10"/>
  <c r="V54" i="10" s="1"/>
  <c r="U53" i="10"/>
  <c r="U54" i="10" s="1"/>
  <c r="T53" i="10"/>
  <c r="T54" i="10" s="1"/>
  <c r="S53" i="10"/>
  <c r="S54" i="10" s="1"/>
  <c r="R53" i="10"/>
  <c r="R54" i="10" s="1"/>
  <c r="P53" i="10"/>
  <c r="P54" i="10" s="1"/>
  <c r="O53" i="10"/>
  <c r="O54" i="10" s="1"/>
  <c r="Q53" i="10"/>
  <c r="Q54" i="10" s="1"/>
  <c r="N53" i="10"/>
  <c r="N54" i="10" s="1"/>
  <c r="M53" i="10"/>
  <c r="M54" i="10" s="1"/>
  <c r="L53" i="10"/>
  <c r="L54" i="10" s="1"/>
  <c r="K53" i="10"/>
  <c r="K54" i="10" s="1"/>
  <c r="J53" i="10"/>
  <c r="J54" i="10" s="1"/>
  <c r="I53" i="10"/>
  <c r="I54" i="10" s="1"/>
  <c r="H53" i="10"/>
  <c r="H54" i="10" s="1"/>
  <c r="G53" i="10"/>
  <c r="G54" i="10" s="1"/>
  <c r="F53" i="10"/>
  <c r="F54" i="10" s="1"/>
  <c r="E66" i="12"/>
  <c r="F65" i="12"/>
  <c r="C35" i="12"/>
  <c r="D75" i="10"/>
  <c r="C48" i="10"/>
  <c r="C21" i="10"/>
  <c r="D71" i="1"/>
  <c r="AB36" i="12" l="1"/>
  <c r="AB37" i="12" s="1"/>
  <c r="AA36" i="12"/>
  <c r="AA37" i="12" s="1"/>
  <c r="Z36" i="12"/>
  <c r="Z37" i="12" s="1"/>
  <c r="Y36" i="12"/>
  <c r="Y37" i="12" s="1"/>
  <c r="F70" i="12"/>
  <c r="G69" i="12"/>
  <c r="X36" i="12"/>
  <c r="X37" i="12" s="1"/>
  <c r="W36" i="12"/>
  <c r="W37" i="12" s="1"/>
  <c r="V36" i="12"/>
  <c r="V37" i="12" s="1"/>
  <c r="U36" i="12"/>
  <c r="U37" i="12" s="1"/>
  <c r="T36" i="12"/>
  <c r="T37" i="12" s="1"/>
  <c r="S36" i="12"/>
  <c r="S37" i="12" s="1"/>
  <c r="R36" i="12"/>
  <c r="R37" i="12" s="1"/>
  <c r="Q36" i="12"/>
  <c r="Q37" i="12" s="1"/>
  <c r="O36" i="12"/>
  <c r="O37" i="12" s="1"/>
  <c r="P36" i="12"/>
  <c r="P37" i="12" s="1"/>
  <c r="N36" i="12"/>
  <c r="N37" i="12" s="1"/>
  <c r="M36" i="12"/>
  <c r="M37" i="12" s="1"/>
  <c r="L36" i="12"/>
  <c r="L37" i="12" s="1"/>
  <c r="K36" i="12"/>
  <c r="K37" i="12" s="1"/>
  <c r="J36" i="12"/>
  <c r="J37" i="12" s="1"/>
  <c r="I36" i="12"/>
  <c r="I37" i="12" s="1"/>
  <c r="H36" i="12"/>
  <c r="H37" i="12" s="1"/>
  <c r="G36" i="12"/>
  <c r="G37" i="12" s="1"/>
  <c r="F36" i="12"/>
  <c r="F37" i="12" s="1"/>
  <c r="E36" i="12"/>
  <c r="E37" i="12" s="1"/>
  <c r="G65" i="12"/>
  <c r="F66" i="12"/>
  <c r="M22" i="12"/>
  <c r="C22" i="10"/>
  <c r="C23" i="10" s="1"/>
  <c r="C49" i="10"/>
  <c r="C50" i="10" s="1"/>
  <c r="E49" i="1"/>
  <c r="E46" i="1"/>
  <c r="E43" i="1"/>
  <c r="E40" i="1"/>
  <c r="E37" i="1"/>
  <c r="E34" i="1"/>
  <c r="E31" i="1"/>
  <c r="E28" i="1"/>
  <c r="E25" i="1"/>
  <c r="E22" i="1"/>
  <c r="E19" i="1"/>
  <c r="E16" i="1"/>
  <c r="E13" i="1"/>
  <c r="E10" i="1"/>
  <c r="E7" i="1"/>
  <c r="N22" i="12" l="1"/>
  <c r="H65" i="12"/>
  <c r="G66" i="12"/>
  <c r="G70" i="12"/>
  <c r="H69" i="12"/>
  <c r="T56" i="1"/>
  <c r="S21" i="10" s="1"/>
  <c r="H66" i="12" l="1"/>
  <c r="I65" i="12"/>
  <c r="H70" i="12"/>
  <c r="I69" i="12"/>
  <c r="O22" i="12"/>
  <c r="S56" i="1"/>
  <c r="R21" i="10" s="1"/>
  <c r="P22" i="12" l="1"/>
  <c r="I70" i="12"/>
  <c r="J69" i="12"/>
  <c r="I66" i="12"/>
  <c r="J65" i="12"/>
  <c r="R56" i="1"/>
  <c r="Q21" i="10" s="1"/>
  <c r="J66" i="12" l="1"/>
  <c r="K65" i="12"/>
  <c r="J70" i="12"/>
  <c r="K69" i="12"/>
  <c r="Q22" i="12"/>
  <c r="M56" i="1"/>
  <c r="L21" i="10" s="1"/>
  <c r="K70" i="12" l="1"/>
  <c r="L69" i="12"/>
  <c r="R22" i="12"/>
  <c r="K66" i="12"/>
  <c r="L65" i="12"/>
  <c r="L56" i="1"/>
  <c r="K21" i="10" s="1"/>
  <c r="M65" i="12" l="1"/>
  <c r="L66" i="12"/>
  <c r="S22" i="12"/>
  <c r="L70" i="12"/>
  <c r="M69" i="12"/>
  <c r="K56" i="1"/>
  <c r="J21" i="10" s="1"/>
  <c r="N69" i="12" l="1"/>
  <c r="M70" i="12"/>
  <c r="T22" i="12"/>
  <c r="N65" i="12"/>
  <c r="M66" i="12"/>
  <c r="J56" i="1"/>
  <c r="I21" i="10" s="1"/>
  <c r="N66" i="12" l="1"/>
  <c r="O65" i="12"/>
  <c r="U22" i="12"/>
  <c r="N70" i="12"/>
  <c r="O69" i="12"/>
  <c r="I56" i="1"/>
  <c r="H21" i="10" s="1"/>
  <c r="P69" i="12" l="1"/>
  <c r="O70" i="12"/>
  <c r="V22" i="12"/>
  <c r="P65" i="12"/>
  <c r="O66" i="12"/>
  <c r="F56" i="1"/>
  <c r="E21" i="10" s="1"/>
  <c r="P66" i="12" l="1"/>
  <c r="Q65" i="12"/>
  <c r="W22" i="12"/>
  <c r="P70" i="12"/>
  <c r="Q69" i="12"/>
  <c r="E4" i="1"/>
  <c r="Q70" i="12" l="1"/>
  <c r="R69" i="12"/>
  <c r="Q66" i="12"/>
  <c r="R65" i="12"/>
  <c r="X22" i="12"/>
  <c r="E56" i="1"/>
  <c r="D21" i="10" s="1"/>
  <c r="AB22" i="10" l="1"/>
  <c r="AB23" i="10" s="1"/>
  <c r="Y22" i="10"/>
  <c r="Y23" i="10" s="1"/>
  <c r="D22" i="10"/>
  <c r="AA22" i="10"/>
  <c r="AA23" i="10" s="1"/>
  <c r="Z22" i="10"/>
  <c r="Z23" i="10" s="1"/>
  <c r="E22" i="10"/>
  <c r="E23" i="10" s="1"/>
  <c r="N22" i="10"/>
  <c r="N23" i="10" s="1"/>
  <c r="O22" i="10"/>
  <c r="O23" i="10" s="1"/>
  <c r="M22" i="10"/>
  <c r="M23" i="10" s="1"/>
  <c r="G22" i="10"/>
  <c r="G23" i="10" s="1"/>
  <c r="F22" i="10"/>
  <c r="F23" i="10" s="1"/>
  <c r="X22" i="10"/>
  <c r="X23" i="10" s="1"/>
  <c r="U22" i="10"/>
  <c r="U23" i="10" s="1"/>
  <c r="V22" i="10"/>
  <c r="V23" i="10" s="1"/>
  <c r="W22" i="10"/>
  <c r="W23" i="10" s="1"/>
  <c r="T22" i="10"/>
  <c r="T23" i="10" s="1"/>
  <c r="P22" i="10"/>
  <c r="P23" i="10" s="1"/>
  <c r="S22" i="10"/>
  <c r="S23" i="10" s="1"/>
  <c r="R22" i="10"/>
  <c r="R23" i="10" s="1"/>
  <c r="Q22" i="10"/>
  <c r="Q23" i="10" s="1"/>
  <c r="L22" i="10"/>
  <c r="L23" i="10" s="1"/>
  <c r="K22" i="10"/>
  <c r="K23" i="10" s="1"/>
  <c r="J22" i="10"/>
  <c r="J23" i="10" s="1"/>
  <c r="I22" i="10"/>
  <c r="I23" i="10" s="1"/>
  <c r="H22" i="10"/>
  <c r="H23" i="10" s="1"/>
  <c r="R66" i="12"/>
  <c r="S65" i="12"/>
  <c r="R70" i="12"/>
  <c r="S69" i="12"/>
  <c r="D23" i="10"/>
  <c r="D36" i="16"/>
  <c r="S66" i="12" l="1"/>
  <c r="T65" i="12"/>
  <c r="S70" i="12"/>
  <c r="T69" i="12"/>
  <c r="B31" i="13"/>
  <c r="C31" i="13"/>
  <c r="T70" i="12" l="1"/>
  <c r="U69" i="12"/>
  <c r="T66" i="12"/>
  <c r="U65" i="12"/>
  <c r="F31" i="13"/>
  <c r="E31" i="13"/>
  <c r="B30" i="13"/>
  <c r="C30" i="13"/>
  <c r="V69" i="12" l="1"/>
  <c r="U70" i="12"/>
  <c r="U66" i="12"/>
  <c r="V65" i="12"/>
  <c r="F30" i="13"/>
  <c r="V66" i="12" l="1"/>
  <c r="W65" i="12"/>
  <c r="V70" i="12"/>
  <c r="W69" i="12"/>
  <c r="E30" i="13"/>
  <c r="B15" i="13"/>
  <c r="W70" i="12" l="1"/>
  <c r="X69" i="12"/>
  <c r="X70" i="12" s="1"/>
  <c r="W66" i="12"/>
  <c r="X65" i="12"/>
  <c r="X66" i="12" s="1"/>
  <c r="D38" i="16"/>
  <c r="D29" i="16"/>
  <c r="D30" i="16"/>
  <c r="D31" i="16"/>
  <c r="D32" i="16"/>
  <c r="D33" i="16"/>
  <c r="D34" i="16"/>
  <c r="D35" i="16"/>
  <c r="D37" i="16"/>
  <c r="D39" i="16" l="1"/>
  <c r="C24" i="13" l="1"/>
  <c r="C23" i="13"/>
  <c r="C22" i="13"/>
  <c r="C25" i="13"/>
  <c r="C26" i="13"/>
  <c r="C27" i="13"/>
  <c r="C28" i="13"/>
  <c r="C29" i="13"/>
  <c r="D82" i="10" l="1"/>
  <c r="D83" i="10" s="1"/>
  <c r="AI127" i="14" l="1"/>
  <c r="AI128" i="14"/>
  <c r="AI129" i="14"/>
  <c r="AI130" i="14"/>
  <c r="AI131" i="14"/>
  <c r="AI132" i="14"/>
  <c r="AI133" i="14"/>
  <c r="AI134" i="14"/>
  <c r="AI135" i="14"/>
  <c r="AI136" i="14"/>
  <c r="AI137" i="14"/>
  <c r="AI138" i="14"/>
  <c r="AI139" i="14"/>
  <c r="AI140" i="14"/>
  <c r="AI141" i="14"/>
  <c r="AI142" i="14"/>
  <c r="AI143" i="14"/>
  <c r="AI144" i="14"/>
  <c r="AI145" i="14"/>
  <c r="AI146" i="14"/>
  <c r="AI147" i="14"/>
  <c r="AI148" i="14"/>
  <c r="AI152" i="14"/>
  <c r="AI153" i="14"/>
  <c r="AI154" i="14"/>
  <c r="AI155" i="14"/>
  <c r="AI156" i="14"/>
  <c r="AI157" i="14"/>
  <c r="AI158" i="14"/>
  <c r="AI159" i="14"/>
  <c r="AI160" i="14"/>
  <c r="B2" i="13"/>
  <c r="C31" i="12" l="1"/>
  <c r="C79" i="10"/>
  <c r="C75" i="10" s="1"/>
  <c r="C5" i="12"/>
  <c r="C21" i="12" s="1"/>
  <c r="AB76" i="10" l="1"/>
  <c r="AB77" i="10" s="1"/>
  <c r="Z76" i="10"/>
  <c r="Z77" i="10" s="1"/>
  <c r="Y76" i="10"/>
  <c r="Y77" i="10" s="1"/>
  <c r="P76" i="10"/>
  <c r="P77" i="10" s="1"/>
  <c r="Q76" i="10"/>
  <c r="Q77" i="10" s="1"/>
  <c r="R76" i="10"/>
  <c r="R77" i="10" s="1"/>
  <c r="S76" i="10"/>
  <c r="S77" i="10" s="1"/>
  <c r="T76" i="10"/>
  <c r="T77" i="10" s="1"/>
  <c r="V76" i="10"/>
  <c r="V77" i="10" s="1"/>
  <c r="W76" i="10"/>
  <c r="W77" i="10" s="1"/>
  <c r="H76" i="10"/>
  <c r="H77" i="10" s="1"/>
  <c r="D76" i="10"/>
  <c r="J76" i="10"/>
  <c r="J77" i="10" s="1"/>
  <c r="N76" i="10"/>
  <c r="N77" i="10" s="1"/>
  <c r="E76" i="10"/>
  <c r="E77" i="10" s="1"/>
  <c r="U76" i="10"/>
  <c r="U77" i="10" s="1"/>
  <c r="G76" i="10"/>
  <c r="G77" i="10" s="1"/>
  <c r="I76" i="10"/>
  <c r="I77" i="10" s="1"/>
  <c r="K76" i="10"/>
  <c r="K77" i="10" s="1"/>
  <c r="M76" i="10"/>
  <c r="M77" i="10" s="1"/>
  <c r="F76" i="10"/>
  <c r="F77" i="10" s="1"/>
  <c r="L76" i="10"/>
  <c r="L77" i="10" s="1"/>
  <c r="O76" i="10"/>
  <c r="O77" i="10" s="1"/>
  <c r="X76" i="10"/>
  <c r="X77" i="10" s="1"/>
  <c r="AA76" i="10"/>
  <c r="AA77" i="10" s="1"/>
  <c r="X32" i="12"/>
  <c r="X33" i="12" s="1"/>
  <c r="W32" i="12"/>
  <c r="W33" i="12" s="1"/>
  <c r="V32" i="12"/>
  <c r="V33" i="12" s="1"/>
  <c r="U32" i="12"/>
  <c r="U33" i="12" s="1"/>
  <c r="T32" i="12"/>
  <c r="T33" i="12" s="1"/>
  <c r="S32" i="12"/>
  <c r="S33" i="12" s="1"/>
  <c r="R32" i="12"/>
  <c r="R33" i="12" s="1"/>
  <c r="O32" i="12"/>
  <c r="O33" i="12" s="1"/>
  <c r="Q32" i="12"/>
  <c r="Q33" i="12" s="1"/>
  <c r="P32" i="12"/>
  <c r="P33" i="12" s="1"/>
  <c r="N32" i="12"/>
  <c r="N33" i="12" s="1"/>
  <c r="M32" i="12"/>
  <c r="M33" i="12" s="1"/>
  <c r="L32" i="12"/>
  <c r="L33" i="12" s="1"/>
  <c r="K32" i="12"/>
  <c r="K33" i="12" s="1"/>
  <c r="J32" i="12"/>
  <c r="J33" i="12" s="1"/>
  <c r="I32" i="12"/>
  <c r="I33" i="12" s="1"/>
  <c r="H32" i="12"/>
  <c r="H33" i="12" s="1"/>
  <c r="G32" i="12"/>
  <c r="G33" i="12" s="1"/>
  <c r="F32" i="12"/>
  <c r="F33" i="12" s="1"/>
  <c r="E32" i="12"/>
  <c r="E33" i="12" s="1"/>
  <c r="C15" i="12"/>
  <c r="C27" i="12"/>
  <c r="C76" i="10"/>
  <c r="C9" i="12"/>
  <c r="AB28" i="12" l="1"/>
  <c r="AB29" i="12" s="1"/>
  <c r="Z28" i="12"/>
  <c r="Z29" i="12" s="1"/>
  <c r="AA28" i="12"/>
  <c r="AA29" i="12" s="1"/>
  <c r="Y28" i="12"/>
  <c r="Y29" i="12" s="1"/>
  <c r="X28" i="12"/>
  <c r="X29" i="12" s="1"/>
  <c r="W28" i="12"/>
  <c r="W29" i="12" s="1"/>
  <c r="V28" i="12"/>
  <c r="V29" i="12" s="1"/>
  <c r="U28" i="12"/>
  <c r="U29" i="12" s="1"/>
  <c r="T28" i="12"/>
  <c r="T29" i="12" s="1"/>
  <c r="S28" i="12"/>
  <c r="S29" i="12" s="1"/>
  <c r="R28" i="12"/>
  <c r="R29" i="12" s="1"/>
  <c r="Q28" i="12"/>
  <c r="Q29" i="12" s="1"/>
  <c r="O28" i="12"/>
  <c r="O29" i="12" s="1"/>
  <c r="P28" i="12"/>
  <c r="P29" i="12" s="1"/>
  <c r="N28" i="12"/>
  <c r="N29" i="12" s="1"/>
  <c r="M28" i="12"/>
  <c r="M29" i="12" s="1"/>
  <c r="L28" i="12"/>
  <c r="L29" i="12" s="1"/>
  <c r="K28" i="12"/>
  <c r="K29" i="12" s="1"/>
  <c r="J28" i="12"/>
  <c r="J29" i="12" s="1"/>
  <c r="I28" i="12"/>
  <c r="I29" i="12" s="1"/>
  <c r="H28" i="12"/>
  <c r="H29" i="12" s="1"/>
  <c r="G28" i="12"/>
  <c r="G29" i="12" s="1"/>
  <c r="F28" i="12"/>
  <c r="F29" i="12" s="1"/>
  <c r="E28" i="12"/>
  <c r="E29" i="12" s="1"/>
  <c r="D28" i="12"/>
  <c r="D29" i="12" s="1"/>
  <c r="C28" i="12"/>
  <c r="C29" i="12" s="1"/>
  <c r="U108" i="22" l="1"/>
  <c r="V108" i="22"/>
  <c r="W108" i="22"/>
  <c r="X108" i="22"/>
  <c r="Y108" i="22"/>
  <c r="Z108" i="22"/>
  <c r="AA108" i="22"/>
  <c r="AB108" i="22"/>
  <c r="AC108" i="22"/>
  <c r="AD108" i="22"/>
  <c r="AE108" i="22"/>
  <c r="AF108" i="22"/>
  <c r="AG108" i="22"/>
  <c r="AH108" i="22"/>
  <c r="AI108" i="22"/>
  <c r="AJ108" i="22"/>
  <c r="AK108" i="22"/>
  <c r="E101" i="22"/>
  <c r="D101" i="22"/>
  <c r="E31" i="22"/>
  <c r="D31" i="22"/>
  <c r="C101" i="22"/>
  <c r="T108" i="22" l="1"/>
  <c r="S108" i="22" l="1"/>
  <c r="R108" i="22"/>
  <c r="Q108" i="22" l="1"/>
  <c r="P108" i="22" l="1"/>
  <c r="O108" i="22"/>
  <c r="N108" i="22" l="1"/>
  <c r="M108" i="22" l="1"/>
  <c r="L108" i="22"/>
  <c r="K108" i="22"/>
  <c r="J108" i="22" l="1"/>
  <c r="I108" i="22" l="1"/>
  <c r="D7" i="13" l="1"/>
  <c r="C28" i="10" l="1"/>
  <c r="C29" i="10" s="1"/>
  <c r="C77" i="10" s="1"/>
  <c r="C39" i="10"/>
  <c r="C7" i="13" l="1"/>
  <c r="R38" i="22" l="1"/>
  <c r="C8" i="10" l="1"/>
  <c r="C66" i="10"/>
  <c r="C62" i="10"/>
  <c r="C69" i="10" s="1"/>
  <c r="C12" i="10"/>
  <c r="C35" i="10"/>
  <c r="C63" i="10" l="1"/>
  <c r="C70" i="10" s="1"/>
  <c r="D62" i="10"/>
  <c r="E62" i="10" s="1"/>
  <c r="F62" i="10" s="1"/>
  <c r="C36" i="10"/>
  <c r="C43" i="10" s="1"/>
  <c r="D35" i="10"/>
  <c r="E35" i="10" s="1"/>
  <c r="F35" i="10" s="1"/>
  <c r="C42" i="10"/>
  <c r="C9" i="10"/>
  <c r="C16" i="10" s="1"/>
  <c r="D8" i="10"/>
  <c r="E8" i="10" s="1"/>
  <c r="C15" i="10"/>
  <c r="F42" i="10" l="1"/>
  <c r="G35" i="10"/>
  <c r="F36" i="10"/>
  <c r="F43" i="10" s="1"/>
  <c r="F63" i="10"/>
  <c r="F70" i="10" s="1"/>
  <c r="G62" i="10"/>
  <c r="F69" i="10"/>
  <c r="F8" i="10"/>
  <c r="G8" i="10" s="1"/>
  <c r="E9" i="10"/>
  <c r="E16" i="10" s="1"/>
  <c r="E15" i="10"/>
  <c r="E36" i="10"/>
  <c r="E43" i="10" s="1"/>
  <c r="E42" i="10"/>
  <c r="E63" i="10"/>
  <c r="E70" i="10" s="1"/>
  <c r="E69" i="10"/>
  <c r="D36" i="10"/>
  <c r="D43" i="10" s="1"/>
  <c r="D42" i="10"/>
  <c r="D9" i="10"/>
  <c r="D16" i="10" s="1"/>
  <c r="D15" i="10"/>
  <c r="D63" i="10"/>
  <c r="D70" i="10" s="1"/>
  <c r="D69" i="10"/>
  <c r="D6" i="13"/>
  <c r="G63" i="10" l="1"/>
  <c r="G70" i="10" s="1"/>
  <c r="H62" i="10"/>
  <c r="G69" i="10"/>
  <c r="G9" i="10"/>
  <c r="G16" i="10" s="1"/>
  <c r="H8" i="10"/>
  <c r="G15" i="10"/>
  <c r="G36" i="10"/>
  <c r="G43" i="10" s="1"/>
  <c r="H35" i="10"/>
  <c r="G42" i="10"/>
  <c r="F9" i="10"/>
  <c r="F16" i="10" s="1"/>
  <c r="F15" i="10"/>
  <c r="D5" i="13"/>
  <c r="H36" i="10" l="1"/>
  <c r="H43" i="10" s="1"/>
  <c r="I35" i="10"/>
  <c r="H42" i="10"/>
  <c r="H9" i="10"/>
  <c r="H16" i="10" s="1"/>
  <c r="I8" i="10"/>
  <c r="H15" i="10"/>
  <c r="H63" i="10"/>
  <c r="H70" i="10" s="1"/>
  <c r="I62" i="10"/>
  <c r="H69" i="10"/>
  <c r="D66" i="10"/>
  <c r="D12" i="10"/>
  <c r="I9" i="10" l="1"/>
  <c r="I16" i="10" s="1"/>
  <c r="J8" i="10"/>
  <c r="I15" i="10"/>
  <c r="I36" i="10"/>
  <c r="I43" i="10" s="1"/>
  <c r="J35" i="10"/>
  <c r="I42" i="10"/>
  <c r="I63" i="10"/>
  <c r="I70" i="10" s="1"/>
  <c r="J62" i="10"/>
  <c r="I69" i="10"/>
  <c r="D4" i="13"/>
  <c r="J9" i="10" l="1"/>
  <c r="J16" i="10" s="1"/>
  <c r="K8" i="10"/>
  <c r="J15" i="10"/>
  <c r="J63" i="10"/>
  <c r="J70" i="10" s="1"/>
  <c r="K62" i="10"/>
  <c r="J69" i="10"/>
  <c r="K35" i="10"/>
  <c r="J36" i="10"/>
  <c r="J43" i="10" s="1"/>
  <c r="J42" i="10"/>
  <c r="C72" i="10"/>
  <c r="C73" i="10" s="1"/>
  <c r="C53" i="10"/>
  <c r="C54" i="10" s="1"/>
  <c r="D48" i="10"/>
  <c r="C45" i="10"/>
  <c r="C46" i="10" s="1"/>
  <c r="D39" i="10"/>
  <c r="C18" i="10"/>
  <c r="C19" i="10" s="1"/>
  <c r="D49" i="12"/>
  <c r="C49" i="12"/>
  <c r="C50" i="12" s="1"/>
  <c r="C46" i="12"/>
  <c r="C47" i="12" s="1"/>
  <c r="D43" i="12"/>
  <c r="C43" i="12"/>
  <c r="C41" i="12"/>
  <c r="C42" i="12" s="1"/>
  <c r="Z49" i="10" l="1"/>
  <c r="Z50" i="10" s="1"/>
  <c r="Y49" i="10"/>
  <c r="Y50" i="10" s="1"/>
  <c r="AB49" i="10"/>
  <c r="AB50" i="10" s="1"/>
  <c r="AA49" i="10"/>
  <c r="AA50" i="10" s="1"/>
  <c r="K63" i="10"/>
  <c r="K70" i="10" s="1"/>
  <c r="L62" i="10"/>
  <c r="K69" i="10"/>
  <c r="K36" i="10"/>
  <c r="K43" i="10" s="1"/>
  <c r="L35" i="10"/>
  <c r="K42" i="10"/>
  <c r="E49" i="10"/>
  <c r="E50" i="10" s="1"/>
  <c r="F49" i="10"/>
  <c r="F50" i="10" s="1"/>
  <c r="I49" i="10"/>
  <c r="I50" i="10" s="1"/>
  <c r="H49" i="10"/>
  <c r="H50" i="10" s="1"/>
  <c r="L49" i="10"/>
  <c r="L50" i="10" s="1"/>
  <c r="X49" i="10"/>
  <c r="X50" i="10" s="1"/>
  <c r="U49" i="10"/>
  <c r="U50" i="10" s="1"/>
  <c r="V49" i="10"/>
  <c r="V50" i="10" s="1"/>
  <c r="S49" i="10"/>
  <c r="S50" i="10" s="1"/>
  <c r="T49" i="10"/>
  <c r="T50" i="10" s="1"/>
  <c r="P49" i="10"/>
  <c r="P50" i="10" s="1"/>
  <c r="R49" i="10"/>
  <c r="R50" i="10" s="1"/>
  <c r="M49" i="10"/>
  <c r="M50" i="10" s="1"/>
  <c r="K49" i="10"/>
  <c r="K50" i="10" s="1"/>
  <c r="N49" i="10"/>
  <c r="N50" i="10" s="1"/>
  <c r="O49" i="10"/>
  <c r="O50" i="10" s="1"/>
  <c r="Q49" i="10"/>
  <c r="Q50" i="10" s="1"/>
  <c r="G49" i="10"/>
  <c r="G50" i="10" s="1"/>
  <c r="J49" i="10"/>
  <c r="J50" i="10" s="1"/>
  <c r="W49" i="10"/>
  <c r="W50" i="10" s="1"/>
  <c r="L8" i="10"/>
  <c r="K9" i="10"/>
  <c r="K16" i="10" s="1"/>
  <c r="K15" i="10"/>
  <c r="D53" i="10"/>
  <c r="D54" i="10" s="1"/>
  <c r="C44" i="12"/>
  <c r="D44" i="12" s="1"/>
  <c r="E44" i="12" s="1"/>
  <c r="F44" i="12" s="1"/>
  <c r="G44" i="12" s="1"/>
  <c r="H44" i="12" s="1"/>
  <c r="I44" i="12" s="1"/>
  <c r="J44" i="12" s="1"/>
  <c r="K44" i="12" s="1"/>
  <c r="L44" i="12" s="1"/>
  <c r="M44" i="12" s="1"/>
  <c r="N44" i="12" s="1"/>
  <c r="O44" i="12" s="1"/>
  <c r="P44" i="12" s="1"/>
  <c r="Q44" i="12" s="1"/>
  <c r="R44" i="12" s="1"/>
  <c r="S44" i="12" s="1"/>
  <c r="T44" i="12" s="1"/>
  <c r="U44" i="12" s="1"/>
  <c r="V44" i="12" s="1"/>
  <c r="W44" i="12" s="1"/>
  <c r="X44" i="12" s="1"/>
  <c r="D72" i="10"/>
  <c r="C80" i="10"/>
  <c r="C81" i="10" s="1"/>
  <c r="D50" i="12"/>
  <c r="E50" i="12" s="1"/>
  <c r="F50" i="12" s="1"/>
  <c r="G50" i="12" s="1"/>
  <c r="H50" i="12" s="1"/>
  <c r="I50" i="12" s="1"/>
  <c r="J50" i="12" s="1"/>
  <c r="K50" i="12" s="1"/>
  <c r="L50" i="12" s="1"/>
  <c r="M50" i="12" s="1"/>
  <c r="N50" i="12" s="1"/>
  <c r="O50" i="12" s="1"/>
  <c r="P50" i="12" s="1"/>
  <c r="Q50" i="12" s="1"/>
  <c r="R50" i="12" s="1"/>
  <c r="S50" i="12" s="1"/>
  <c r="T50" i="12" s="1"/>
  <c r="U50" i="12" s="1"/>
  <c r="V50" i="12" s="1"/>
  <c r="W50" i="12" s="1"/>
  <c r="X50" i="12" s="1"/>
  <c r="D45" i="10"/>
  <c r="D18" i="10"/>
  <c r="D41" i="12"/>
  <c r="D46" i="12"/>
  <c r="D47" i="12" l="1"/>
  <c r="E46" i="12"/>
  <c r="L36" i="10"/>
  <c r="L43" i="10" s="1"/>
  <c r="M35" i="10"/>
  <c r="L42" i="10"/>
  <c r="L63" i="10"/>
  <c r="L70" i="10" s="1"/>
  <c r="M62" i="10"/>
  <c r="L69" i="10"/>
  <c r="D42" i="12"/>
  <c r="E41" i="12"/>
  <c r="L9" i="10"/>
  <c r="L16" i="10" s="1"/>
  <c r="M8" i="10"/>
  <c r="L15" i="10"/>
  <c r="D46" i="10"/>
  <c r="E45" i="10"/>
  <c r="D19" i="10"/>
  <c r="E18" i="10"/>
  <c r="D73" i="10"/>
  <c r="E72" i="10"/>
  <c r="D49" i="10"/>
  <c r="D50" i="10" s="1"/>
  <c r="C86" i="16"/>
  <c r="M15" i="10" l="1"/>
  <c r="N8" i="10"/>
  <c r="M9" i="10"/>
  <c r="M16" i="10" s="1"/>
  <c r="M36" i="10"/>
  <c r="M43" i="10" s="1"/>
  <c r="N35" i="10"/>
  <c r="M42" i="10"/>
  <c r="E46" i="10"/>
  <c r="F45" i="10"/>
  <c r="E73" i="10"/>
  <c r="F72" i="10"/>
  <c r="E42" i="12"/>
  <c r="F41" i="12"/>
  <c r="E47" i="12"/>
  <c r="F46" i="12"/>
  <c r="M69" i="10"/>
  <c r="N62" i="10"/>
  <c r="M63" i="10"/>
  <c r="M70" i="10" s="1"/>
  <c r="F18" i="10"/>
  <c r="E19" i="10"/>
  <c r="G108" i="22"/>
  <c r="AI86" i="16"/>
  <c r="G45" i="10" l="1"/>
  <c r="F46" i="10"/>
  <c r="N63" i="10"/>
  <c r="N70" i="10" s="1"/>
  <c r="O62" i="10"/>
  <c r="N69" i="10"/>
  <c r="F47" i="12"/>
  <c r="G46" i="12"/>
  <c r="N36" i="10"/>
  <c r="N43" i="10" s="1"/>
  <c r="O35" i="10"/>
  <c r="N42" i="10"/>
  <c r="F42" i="12"/>
  <c r="G41" i="12"/>
  <c r="F19" i="10"/>
  <c r="G18" i="10"/>
  <c r="G72" i="10"/>
  <c r="F73" i="10"/>
  <c r="N9" i="10"/>
  <c r="N16" i="10" s="1"/>
  <c r="O8" i="10"/>
  <c r="N15" i="10"/>
  <c r="AH86" i="16"/>
  <c r="G47" i="12" l="1"/>
  <c r="H46" i="12"/>
  <c r="H18" i="10"/>
  <c r="G19" i="10"/>
  <c r="H72" i="10"/>
  <c r="G73" i="10"/>
  <c r="O69" i="10"/>
  <c r="O63" i="10"/>
  <c r="O70" i="10" s="1"/>
  <c r="P62" i="10"/>
  <c r="H41" i="12"/>
  <c r="G42" i="12"/>
  <c r="O15" i="10"/>
  <c r="P8" i="10"/>
  <c r="O9" i="10"/>
  <c r="O16" i="10" s="1"/>
  <c r="O42" i="10"/>
  <c r="O36" i="10"/>
  <c r="O43" i="10" s="1"/>
  <c r="P35" i="10"/>
  <c r="H45" i="10"/>
  <c r="G46" i="10"/>
  <c r="AG86" i="16"/>
  <c r="P9" i="10" l="1"/>
  <c r="P16" i="10" s="1"/>
  <c r="P15" i="10"/>
  <c r="Q8" i="10"/>
  <c r="I72" i="10"/>
  <c r="H73" i="10"/>
  <c r="I18" i="10"/>
  <c r="H19" i="10"/>
  <c r="H46" i="10"/>
  <c r="I45" i="10"/>
  <c r="H42" i="12"/>
  <c r="I41" i="12"/>
  <c r="H47" i="12"/>
  <c r="I46" i="12"/>
  <c r="P36" i="10"/>
  <c r="P43" i="10" s="1"/>
  <c r="P42" i="10"/>
  <c r="Q35" i="10"/>
  <c r="P69" i="10"/>
  <c r="Q62" i="10"/>
  <c r="P63" i="10"/>
  <c r="P70" i="10" s="1"/>
  <c r="AF86" i="16"/>
  <c r="J18" i="10" l="1"/>
  <c r="I19" i="10"/>
  <c r="J72" i="10"/>
  <c r="I73" i="10"/>
  <c r="I42" i="12"/>
  <c r="J41" i="12"/>
  <c r="R8" i="10"/>
  <c r="Q15" i="10"/>
  <c r="Q9" i="10"/>
  <c r="Q16" i="10" s="1"/>
  <c r="R35" i="10"/>
  <c r="Q42" i="10"/>
  <c r="Q36" i="10"/>
  <c r="Q43" i="10" s="1"/>
  <c r="I47" i="12"/>
  <c r="J46" i="12"/>
  <c r="R62" i="10"/>
  <c r="Q69" i="10"/>
  <c r="Q63" i="10"/>
  <c r="Q70" i="10" s="1"/>
  <c r="I46" i="10"/>
  <c r="J45" i="10"/>
  <c r="AE86" i="16"/>
  <c r="R9" i="10" l="1"/>
  <c r="R16" i="10" s="1"/>
  <c r="S8" i="10"/>
  <c r="R15" i="10"/>
  <c r="J73" i="10"/>
  <c r="K72" i="10"/>
  <c r="J42" i="12"/>
  <c r="K41" i="12"/>
  <c r="K45" i="10"/>
  <c r="J46" i="10"/>
  <c r="R36" i="10"/>
  <c r="R43" i="10" s="1"/>
  <c r="S35" i="10"/>
  <c r="R42" i="10"/>
  <c r="R63" i="10"/>
  <c r="R70" i="10" s="1"/>
  <c r="S62" i="10"/>
  <c r="R69" i="10"/>
  <c r="J47" i="12"/>
  <c r="K46" i="12"/>
  <c r="J19" i="10"/>
  <c r="K18" i="10"/>
  <c r="AD86" i="16"/>
  <c r="K46" i="10" l="1"/>
  <c r="L45" i="10"/>
  <c r="L72" i="10"/>
  <c r="K73" i="10"/>
  <c r="L41" i="12"/>
  <c r="K42" i="12"/>
  <c r="S63" i="10"/>
  <c r="S70" i="10" s="1"/>
  <c r="T62" i="10"/>
  <c r="S69" i="10"/>
  <c r="L18" i="10"/>
  <c r="K19" i="10"/>
  <c r="S36" i="10"/>
  <c r="S43" i="10" s="1"/>
  <c r="T35" i="10"/>
  <c r="S42" i="10"/>
  <c r="S9" i="10"/>
  <c r="S16" i="10" s="1"/>
  <c r="T8" i="10"/>
  <c r="S15" i="10"/>
  <c r="K47" i="12"/>
  <c r="L46" i="12"/>
  <c r="AC86" i="16"/>
  <c r="T9" i="10" l="1"/>
  <c r="T16" i="10" s="1"/>
  <c r="U8" i="10"/>
  <c r="T15" i="10"/>
  <c r="T63" i="10"/>
  <c r="T70" i="10" s="1"/>
  <c r="U62" i="10"/>
  <c r="T69" i="10"/>
  <c r="L42" i="12"/>
  <c r="M41" i="12"/>
  <c r="L73" i="10"/>
  <c r="M72" i="10"/>
  <c r="L46" i="10"/>
  <c r="M45" i="10"/>
  <c r="T36" i="10"/>
  <c r="T43" i="10" s="1"/>
  <c r="U35" i="10"/>
  <c r="T42" i="10"/>
  <c r="L47" i="12"/>
  <c r="M46" i="12"/>
  <c r="M18" i="10"/>
  <c r="L19" i="10"/>
  <c r="AB86" i="16"/>
  <c r="U63" i="10" l="1"/>
  <c r="U70" i="10" s="1"/>
  <c r="V62" i="10"/>
  <c r="U69" i="10"/>
  <c r="U36" i="10"/>
  <c r="U43" i="10" s="1"/>
  <c r="V35" i="10"/>
  <c r="U42" i="10"/>
  <c r="N18" i="10"/>
  <c r="M19" i="10"/>
  <c r="N72" i="10"/>
  <c r="M73" i="10"/>
  <c r="U9" i="10"/>
  <c r="U16" i="10" s="1"/>
  <c r="V8" i="10"/>
  <c r="U15" i="10"/>
  <c r="N41" i="12"/>
  <c r="M42" i="12"/>
  <c r="N45" i="10"/>
  <c r="M46" i="10"/>
  <c r="M47" i="12"/>
  <c r="N46" i="12"/>
  <c r="AA86" i="16"/>
  <c r="N42" i="12" l="1"/>
  <c r="O41" i="12"/>
  <c r="V36" i="10"/>
  <c r="V43" i="10" s="1"/>
  <c r="W35" i="10"/>
  <c r="V42" i="10"/>
  <c r="V9" i="10"/>
  <c r="V16" i="10" s="1"/>
  <c r="W8" i="10"/>
  <c r="V15" i="10"/>
  <c r="O45" i="10"/>
  <c r="N46" i="10"/>
  <c r="N19" i="10"/>
  <c r="O18" i="10"/>
  <c r="V63" i="10"/>
  <c r="V70" i="10" s="1"/>
  <c r="W62" i="10"/>
  <c r="V69" i="10"/>
  <c r="N47" i="12"/>
  <c r="O46" i="12"/>
  <c r="O72" i="10"/>
  <c r="N73" i="10"/>
  <c r="Z86" i="16"/>
  <c r="W9" i="10" l="1"/>
  <c r="W16" i="10" s="1"/>
  <c r="X8" i="10"/>
  <c r="W15" i="10"/>
  <c r="W63" i="10"/>
  <c r="W70" i="10" s="1"/>
  <c r="X62" i="10"/>
  <c r="W69" i="10"/>
  <c r="W36" i="10"/>
  <c r="W43" i="10" s="1"/>
  <c r="X35" i="10"/>
  <c r="W42" i="10"/>
  <c r="P18" i="10"/>
  <c r="O19" i="10"/>
  <c r="P72" i="10"/>
  <c r="O73" i="10"/>
  <c r="P41" i="12"/>
  <c r="O42" i="12"/>
  <c r="P46" i="12"/>
  <c r="O47" i="12"/>
  <c r="P45" i="10"/>
  <c r="O46" i="10"/>
  <c r="Y86" i="16"/>
  <c r="Q46" i="12" l="1"/>
  <c r="P47" i="12"/>
  <c r="X63" i="10"/>
  <c r="X70" i="10" s="1"/>
  <c r="X69" i="10"/>
  <c r="X36" i="10"/>
  <c r="X43" i="10" s="1"/>
  <c r="X42" i="10"/>
  <c r="Q41" i="12"/>
  <c r="P42" i="12"/>
  <c r="Q45" i="10"/>
  <c r="P46" i="10"/>
  <c r="P19" i="10"/>
  <c r="Q18" i="10"/>
  <c r="X9" i="10"/>
  <c r="X16" i="10" s="1"/>
  <c r="X15" i="10"/>
  <c r="Q72" i="10"/>
  <c r="P73" i="10"/>
  <c r="X86" i="16"/>
  <c r="Q42" i="12" l="1"/>
  <c r="R41" i="12"/>
  <c r="Q19" i="10"/>
  <c r="R18" i="10"/>
  <c r="Q73" i="10"/>
  <c r="R72" i="10"/>
  <c r="Q46" i="10"/>
  <c r="R45" i="10"/>
  <c r="Q47" i="12"/>
  <c r="R46" i="12"/>
  <c r="W86" i="16"/>
  <c r="R73" i="10" l="1"/>
  <c r="S72" i="10"/>
  <c r="S45" i="10"/>
  <c r="R46" i="10"/>
  <c r="R19" i="10"/>
  <c r="S18" i="10"/>
  <c r="R42" i="12"/>
  <c r="S41" i="12"/>
  <c r="R47" i="12"/>
  <c r="S46" i="12"/>
  <c r="V86" i="16"/>
  <c r="S42" i="12" l="1"/>
  <c r="T41" i="12"/>
  <c r="T18" i="10"/>
  <c r="S19" i="10"/>
  <c r="T45" i="10"/>
  <c r="S46" i="10"/>
  <c r="S47" i="12"/>
  <c r="T46" i="12"/>
  <c r="T72" i="10"/>
  <c r="S73" i="10"/>
  <c r="U86" i="16"/>
  <c r="U45" i="10" l="1"/>
  <c r="T46" i="10"/>
  <c r="T42" i="12"/>
  <c r="U41" i="12"/>
  <c r="T47" i="12"/>
  <c r="U46" i="12"/>
  <c r="U18" i="10"/>
  <c r="T19" i="10"/>
  <c r="U72" i="10"/>
  <c r="T73" i="10"/>
  <c r="T86" i="16"/>
  <c r="V18" i="10" l="1"/>
  <c r="U19" i="10"/>
  <c r="U42" i="12"/>
  <c r="V41" i="12"/>
  <c r="U47" i="12"/>
  <c r="V46" i="12"/>
  <c r="U73" i="10"/>
  <c r="V72" i="10"/>
  <c r="U46" i="10"/>
  <c r="V45" i="10"/>
  <c r="S86" i="16"/>
  <c r="W72" i="10" l="1"/>
  <c r="V73" i="10"/>
  <c r="V42" i="12"/>
  <c r="W41" i="12"/>
  <c r="W46" i="12"/>
  <c r="V47" i="12"/>
  <c r="W45" i="10"/>
  <c r="V46" i="10"/>
  <c r="W18" i="10"/>
  <c r="V19" i="10"/>
  <c r="R86" i="16"/>
  <c r="W42" i="12" l="1"/>
  <c r="X41" i="12"/>
  <c r="X42" i="12" s="1"/>
  <c r="W47" i="12"/>
  <c r="X46" i="12"/>
  <c r="X47" i="12" s="1"/>
  <c r="X45" i="10"/>
  <c r="X46" i="10" s="1"/>
  <c r="W46" i="10"/>
  <c r="X18" i="10"/>
  <c r="X19" i="10" s="1"/>
  <c r="W19" i="10"/>
  <c r="X72" i="10"/>
  <c r="X73" i="10" s="1"/>
  <c r="W73" i="10"/>
  <c r="Q86" i="16"/>
  <c r="P86" i="16" l="1"/>
  <c r="O86" i="16" l="1"/>
  <c r="N86" i="16" l="1"/>
  <c r="M86" i="16" l="1"/>
  <c r="L86" i="16" l="1"/>
  <c r="K86" i="16" l="1"/>
  <c r="J86" i="16" l="1"/>
  <c r="I86" i="16" l="1"/>
  <c r="D57" i="12" l="1"/>
  <c r="G86" i="16" l="1"/>
  <c r="H86" i="16"/>
  <c r="F86" i="16"/>
  <c r="C57" i="12" l="1"/>
  <c r="C59" i="12" l="1"/>
  <c r="D59" i="12" s="1"/>
  <c r="E59" i="12" s="1"/>
  <c r="F59" i="12" s="1"/>
  <c r="G59" i="12" s="1"/>
  <c r="F6" i="25"/>
  <c r="C58" i="12"/>
  <c r="E86" i="16"/>
  <c r="H59" i="12" l="1"/>
  <c r="D28" i="10"/>
  <c r="D29" i="10" s="1"/>
  <c r="D77" i="10" s="1"/>
  <c r="D55" i="10"/>
  <c r="D56" i="10" s="1"/>
  <c r="I59" i="12" l="1"/>
  <c r="D51" i="12"/>
  <c r="J59" i="12" l="1"/>
  <c r="D4" i="1"/>
  <c r="K59" i="12" l="1"/>
  <c r="C21" i="13"/>
  <c r="L59" i="12" l="1"/>
  <c r="D21" i="13"/>
  <c r="M59" i="12" l="1"/>
  <c r="C20" i="13"/>
  <c r="N59" i="12" l="1"/>
  <c r="C19" i="13"/>
  <c r="O59" i="12" l="1"/>
  <c r="D24" i="13"/>
  <c r="P59" i="12" l="1"/>
  <c r="D23" i="13"/>
  <c r="Q59" i="12" l="1"/>
  <c r="D22" i="13"/>
  <c r="R59" i="12" l="1"/>
  <c r="B29" i="13"/>
  <c r="D29" i="13"/>
  <c r="S59" i="12" l="1"/>
  <c r="E29" i="13"/>
  <c r="T59" i="12" l="1"/>
  <c r="B28" i="13"/>
  <c r="U59" i="12" l="1"/>
  <c r="D28" i="13"/>
  <c r="E28" i="13" s="1"/>
  <c r="V59" i="12" l="1"/>
  <c r="D27" i="13"/>
  <c r="B27" i="13"/>
  <c r="W59" i="12" l="1"/>
  <c r="E27" i="13"/>
  <c r="X59" i="12" l="1"/>
  <c r="B26" i="13"/>
  <c r="D26" i="13" l="1"/>
  <c r="E26" i="13" s="1"/>
  <c r="B25" i="13" l="1"/>
  <c r="D25" i="13" l="1"/>
  <c r="B24" i="13" l="1"/>
  <c r="B23" i="13" l="1"/>
  <c r="B22" i="13" l="1"/>
  <c r="B21" i="13" l="1"/>
  <c r="E24" i="13" l="1"/>
  <c r="E25" i="13"/>
  <c r="E23" i="13"/>
  <c r="E21" i="13"/>
  <c r="B20" i="13"/>
  <c r="E22" i="13" l="1"/>
  <c r="D20" i="13"/>
  <c r="E20" i="13" s="1"/>
  <c r="B19" i="13" l="1"/>
  <c r="D19" i="13"/>
  <c r="E19" i="13" l="1"/>
  <c r="B18" i="13"/>
  <c r="F29" i="13" l="1"/>
  <c r="F28" i="13"/>
  <c r="F27" i="13"/>
  <c r="F26" i="13"/>
  <c r="F24" i="13"/>
  <c r="F25" i="13"/>
  <c r="F23" i="13"/>
  <c r="F22" i="13"/>
  <c r="F21" i="13"/>
  <c r="F20" i="13"/>
  <c r="F19" i="13"/>
  <c r="C18" i="13"/>
  <c r="D18" i="13"/>
  <c r="E18" i="13" s="1"/>
  <c r="F18" i="13" l="1"/>
  <c r="B17" i="13" l="1"/>
  <c r="C17" i="13"/>
  <c r="D17" i="13" l="1"/>
  <c r="E17" i="13" s="1"/>
  <c r="B16" i="13"/>
  <c r="C16" i="13"/>
  <c r="D16" i="13"/>
  <c r="F16" i="13" l="1"/>
  <c r="F17" i="13"/>
  <c r="D15" i="13" l="1"/>
  <c r="E15" i="13" s="1"/>
  <c r="E16" i="13"/>
  <c r="C15" i="13"/>
  <c r="F15" i="13" l="1"/>
  <c r="B14" i="13" l="1"/>
  <c r="C14" i="13"/>
  <c r="D14" i="13" l="1"/>
  <c r="E14" i="13" s="1"/>
  <c r="B13" i="13" l="1"/>
  <c r="C13" i="13"/>
  <c r="D13" i="13" l="1"/>
  <c r="E13" i="13" s="1"/>
  <c r="B12" i="13" l="1"/>
  <c r="C12" i="13" l="1"/>
  <c r="D12" i="13" l="1"/>
  <c r="E12" i="13" s="1"/>
  <c r="B11" i="13" l="1"/>
  <c r="C11" i="13"/>
  <c r="D11" i="13" l="1"/>
  <c r="E11" i="13" s="1"/>
  <c r="B9" i="13" l="1"/>
  <c r="B10" i="13"/>
  <c r="C10" i="13" l="1"/>
  <c r="D10" i="13" l="1"/>
  <c r="E10" i="13" s="1"/>
  <c r="C9" i="13" l="1"/>
  <c r="D9" i="13"/>
  <c r="E9" i="13" s="1"/>
  <c r="B8" i="13" l="1"/>
  <c r="B7" i="13"/>
  <c r="F14" i="13"/>
  <c r="D8" i="13"/>
  <c r="F12" i="13" l="1"/>
  <c r="F13" i="13"/>
  <c r="E8" i="13"/>
  <c r="F11" i="13"/>
  <c r="F10" i="13"/>
  <c r="F9" i="13"/>
  <c r="C8" i="13"/>
  <c r="F8" i="13" s="1"/>
  <c r="E7" i="13" l="1"/>
  <c r="F7" i="13" l="1"/>
  <c r="C6" i="13" l="1"/>
  <c r="B5" i="13"/>
  <c r="B6" i="13"/>
  <c r="C5" i="13" l="1"/>
  <c r="B4" i="13" l="1"/>
  <c r="C4" i="13" l="1"/>
  <c r="B3" i="13" l="1"/>
  <c r="D49" i="1" l="1"/>
  <c r="D46" i="1"/>
  <c r="D43" i="1"/>
  <c r="D40" i="1"/>
  <c r="D37" i="1"/>
  <c r="D34" i="1"/>
  <c r="D31" i="1"/>
  <c r="D28" i="1"/>
  <c r="D25" i="1"/>
  <c r="D22" i="1"/>
  <c r="D19" i="1"/>
  <c r="D16" i="1"/>
  <c r="D13" i="1"/>
  <c r="D10" i="1"/>
  <c r="D7" i="1"/>
  <c r="H32" i="13" l="1"/>
  <c r="J32" i="13"/>
  <c r="AJ28" i="16" l="1"/>
  <c r="AJ27" i="16"/>
  <c r="AJ26" i="16"/>
  <c r="AJ25" i="16"/>
  <c r="AJ24" i="16"/>
  <c r="AJ23" i="16"/>
  <c r="AJ22" i="16"/>
  <c r="AJ21" i="16"/>
  <c r="AJ20" i="16"/>
  <c r="AJ19" i="16"/>
  <c r="AJ18" i="16"/>
  <c r="AJ17" i="16"/>
  <c r="AJ16" i="16"/>
  <c r="AJ15" i="16"/>
  <c r="AJ14" i="16"/>
  <c r="AJ13" i="16"/>
  <c r="AJ12" i="16"/>
  <c r="AJ11" i="16"/>
  <c r="AJ10" i="16"/>
  <c r="AJ9" i="16"/>
  <c r="AJ8" i="16"/>
  <c r="AJ7" i="16"/>
  <c r="AJ6" i="16"/>
  <c r="AJ5" i="16"/>
  <c r="AJ4" i="16"/>
  <c r="AJ3" i="16"/>
  <c r="D5" i="12" l="1"/>
  <c r="D58" i="12" l="1"/>
  <c r="F5" i="25" s="1"/>
  <c r="F3" i="25"/>
  <c r="D9" i="12"/>
  <c r="C7" i="12"/>
  <c r="C12" i="12" s="1"/>
  <c r="E5" i="13"/>
  <c r="E6" i="13"/>
  <c r="E4" i="13"/>
  <c r="D3" i="13"/>
  <c r="E3" i="13" s="1"/>
  <c r="D21" i="12"/>
  <c r="F4" i="25" s="1"/>
  <c r="C60" i="12" l="1"/>
  <c r="C8" i="12"/>
  <c r="C61" i="12" s="1"/>
  <c r="H108" i="22"/>
  <c r="D7" i="12"/>
  <c r="D60" i="12" l="1"/>
  <c r="E7" i="12"/>
  <c r="D12" i="12"/>
  <c r="C17" i="12"/>
  <c r="C25" i="12"/>
  <c r="D8" i="12"/>
  <c r="D15" i="12"/>
  <c r="D25" i="12" l="1"/>
  <c r="F7" i="12"/>
  <c r="G7" i="12" s="1"/>
  <c r="E16" i="12"/>
  <c r="E60" i="12"/>
  <c r="E12" i="12"/>
  <c r="E24" i="12"/>
  <c r="E8" i="12"/>
  <c r="D17" i="12"/>
  <c r="C6" i="12"/>
  <c r="H7" i="12" l="1"/>
  <c r="G8" i="12"/>
  <c r="G12" i="12"/>
  <c r="G16" i="12"/>
  <c r="G24" i="12"/>
  <c r="G60" i="12"/>
  <c r="E17" i="12"/>
  <c r="E25" i="12"/>
  <c r="E61" i="12"/>
  <c r="F12" i="12"/>
  <c r="F8" i="12"/>
  <c r="F24" i="12"/>
  <c r="F16" i="12"/>
  <c r="F60" i="12"/>
  <c r="F61" i="12" s="1"/>
  <c r="D2" i="13"/>
  <c r="E2" i="13" s="1"/>
  <c r="G17" i="12" l="1"/>
  <c r="G61" i="12"/>
  <c r="G25" i="12"/>
  <c r="H8" i="12"/>
  <c r="I7" i="12"/>
  <c r="H16" i="12"/>
  <c r="H12" i="12"/>
  <c r="H24" i="12"/>
  <c r="H60" i="12"/>
  <c r="F17" i="12"/>
  <c r="F25" i="12"/>
  <c r="C24" i="12"/>
  <c r="I8" i="12" l="1"/>
  <c r="J7" i="12"/>
  <c r="I16" i="12"/>
  <c r="I12" i="12"/>
  <c r="I24" i="12"/>
  <c r="I60" i="12"/>
  <c r="H17" i="12"/>
  <c r="H25" i="12"/>
  <c r="H61" i="12"/>
  <c r="D24" i="12"/>
  <c r="J8" i="12" l="1"/>
  <c r="K7" i="12"/>
  <c r="J16" i="12"/>
  <c r="J12" i="12"/>
  <c r="J24" i="12"/>
  <c r="J60" i="12"/>
  <c r="J61" i="12" s="1"/>
  <c r="I61" i="12"/>
  <c r="I17" i="12"/>
  <c r="I25" i="12"/>
  <c r="D6" i="12"/>
  <c r="D23" i="12" s="1"/>
  <c r="K8" i="12" l="1"/>
  <c r="L7" i="12"/>
  <c r="K16" i="12"/>
  <c r="K12" i="12"/>
  <c r="K24" i="12"/>
  <c r="K60" i="12"/>
  <c r="K61" i="12" s="1"/>
  <c r="J17" i="12"/>
  <c r="J25" i="12"/>
  <c r="F5" i="13"/>
  <c r="F6" i="13"/>
  <c r="F4" i="13"/>
  <c r="C3" i="13"/>
  <c r="F3" i="13" s="1"/>
  <c r="M7" i="12" l="1"/>
  <c r="L16" i="12"/>
  <c r="L8" i="12"/>
  <c r="L12" i="12"/>
  <c r="L24" i="12"/>
  <c r="L60" i="12"/>
  <c r="K17" i="12"/>
  <c r="K25" i="12"/>
  <c r="AJ29" i="16"/>
  <c r="C23" i="12"/>
  <c r="L25" i="12" l="1"/>
  <c r="L17" i="12"/>
  <c r="L61" i="12"/>
  <c r="N7" i="12"/>
  <c r="M8" i="12"/>
  <c r="M12" i="12"/>
  <c r="M16" i="12"/>
  <c r="M24" i="12"/>
  <c r="M60" i="12"/>
  <c r="H209" i="22"/>
  <c r="I209" i="22"/>
  <c r="J209" i="22"/>
  <c r="K209" i="22"/>
  <c r="L209" i="22"/>
  <c r="M209" i="22"/>
  <c r="N209" i="22"/>
  <c r="O209" i="22"/>
  <c r="P209" i="22"/>
  <c r="Q209" i="22"/>
  <c r="R209" i="22"/>
  <c r="S209" i="22"/>
  <c r="T209" i="22"/>
  <c r="U209" i="22"/>
  <c r="V209" i="22"/>
  <c r="W209" i="22"/>
  <c r="X209" i="22"/>
  <c r="Y209" i="22"/>
  <c r="Z209" i="22"/>
  <c r="AA209" i="22"/>
  <c r="AB209" i="22"/>
  <c r="AC209" i="22"/>
  <c r="AD209" i="22"/>
  <c r="AE209" i="22"/>
  <c r="AF209" i="22"/>
  <c r="AG209" i="22"/>
  <c r="AH209" i="22"/>
  <c r="AI209" i="22"/>
  <c r="AJ209" i="22"/>
  <c r="AK209" i="22"/>
  <c r="G209" i="22"/>
  <c r="M61" i="12" l="1"/>
  <c r="M17" i="12"/>
  <c r="M25" i="12"/>
  <c r="N16" i="12"/>
  <c r="O7" i="12"/>
  <c r="N8" i="12"/>
  <c r="N12" i="12"/>
  <c r="N24" i="12"/>
  <c r="N60" i="12"/>
  <c r="G176" i="22"/>
  <c r="AK176" i="22"/>
  <c r="H176" i="22"/>
  <c r="I176" i="22"/>
  <c r="J176" i="22"/>
  <c r="K176" i="22"/>
  <c r="L176" i="22"/>
  <c r="M176" i="22"/>
  <c r="N176" i="22"/>
  <c r="O176" i="22"/>
  <c r="P176" i="22"/>
  <c r="Q176" i="22"/>
  <c r="R176" i="22"/>
  <c r="S176" i="22"/>
  <c r="T176" i="22"/>
  <c r="U176" i="22"/>
  <c r="V176" i="22"/>
  <c r="W176" i="22"/>
  <c r="X176" i="22"/>
  <c r="Y176" i="22"/>
  <c r="Z176" i="22"/>
  <c r="AA176" i="22"/>
  <c r="AB176" i="22"/>
  <c r="AC176" i="22"/>
  <c r="AD176" i="22"/>
  <c r="AE176" i="22"/>
  <c r="AF176" i="22"/>
  <c r="AG176" i="22"/>
  <c r="AH176" i="22"/>
  <c r="AI176" i="22"/>
  <c r="AJ176" i="22"/>
  <c r="N17" i="12" l="1"/>
  <c r="N61" i="12"/>
  <c r="N25" i="12"/>
  <c r="O8" i="12"/>
  <c r="O12" i="12"/>
  <c r="P7" i="12"/>
  <c r="O16" i="12"/>
  <c r="O24" i="12"/>
  <c r="O60" i="12"/>
  <c r="C55" i="10"/>
  <c r="C56" i="10" s="1"/>
  <c r="AJ32" i="16"/>
  <c r="AJ33" i="16"/>
  <c r="AJ34" i="16"/>
  <c r="AJ35" i="16"/>
  <c r="AJ36" i="16"/>
  <c r="AJ37" i="16"/>
  <c r="Q7" i="12" l="1"/>
  <c r="P16" i="12"/>
  <c r="P8" i="12"/>
  <c r="P12" i="12"/>
  <c r="P24" i="12"/>
  <c r="P60" i="12"/>
  <c r="P61" i="12" s="1"/>
  <c r="O17" i="12"/>
  <c r="O25" i="12"/>
  <c r="O61" i="12"/>
  <c r="AJ31" i="16"/>
  <c r="C82" i="10"/>
  <c r="C83" i="10" s="1"/>
  <c r="AJ30" i="16"/>
  <c r="AJ38" i="16"/>
  <c r="AJ39" i="16"/>
  <c r="AJ69" i="16"/>
  <c r="AJ84" i="16"/>
  <c r="AJ79" i="16"/>
  <c r="P17" i="12" l="1"/>
  <c r="P25" i="12"/>
  <c r="R7" i="12"/>
  <c r="Q8" i="12"/>
  <c r="Q12" i="12"/>
  <c r="Q16" i="12"/>
  <c r="Q24" i="12"/>
  <c r="Q60" i="12"/>
  <c r="Q61" i="12" s="1"/>
  <c r="C51" i="12"/>
  <c r="G143" i="22" s="1"/>
  <c r="AJ73" i="16"/>
  <c r="AJ81" i="16"/>
  <c r="AJ83" i="16"/>
  <c r="Q17" i="12" l="1"/>
  <c r="Q25" i="12"/>
  <c r="S7" i="12"/>
  <c r="R16" i="12"/>
  <c r="R12" i="12"/>
  <c r="R8" i="12"/>
  <c r="R24" i="12"/>
  <c r="R60" i="12"/>
  <c r="R61" i="12" s="1"/>
  <c r="AJ75" i="16"/>
  <c r="AJ77" i="16"/>
  <c r="AJ80" i="16"/>
  <c r="S16" i="12" l="1"/>
  <c r="S8" i="12"/>
  <c r="S12" i="12"/>
  <c r="T7" i="12"/>
  <c r="S24" i="12"/>
  <c r="S60" i="12"/>
  <c r="S61" i="12" s="1"/>
  <c r="R17" i="12"/>
  <c r="R25" i="12"/>
  <c r="AA212" i="22"/>
  <c r="K212" i="22"/>
  <c r="AK210" i="22"/>
  <c r="AJ210" i="22"/>
  <c r="AI210" i="22"/>
  <c r="AH210" i="22"/>
  <c r="AG210" i="22"/>
  <c r="AG213" i="22" s="1"/>
  <c r="AO6" i="22" s="1"/>
  <c r="AF210" i="22"/>
  <c r="AE210" i="22"/>
  <c r="AD210" i="22"/>
  <c r="AC210" i="22"/>
  <c r="AB210" i="22"/>
  <c r="AA210" i="22"/>
  <c r="Z210" i="22"/>
  <c r="Y210" i="22"/>
  <c r="X210" i="22"/>
  <c r="X213" i="22" s="1"/>
  <c r="AF6" i="22" s="1"/>
  <c r="W210" i="22"/>
  <c r="V210" i="22"/>
  <c r="U210" i="22"/>
  <c r="T210" i="22"/>
  <c r="S210" i="22"/>
  <c r="R210" i="22"/>
  <c r="Q210" i="22"/>
  <c r="P210" i="22"/>
  <c r="O210" i="22"/>
  <c r="N210" i="22"/>
  <c r="M210" i="22"/>
  <c r="L210" i="22"/>
  <c r="K210" i="22"/>
  <c r="J210" i="22"/>
  <c r="I210" i="22"/>
  <c r="H210" i="22"/>
  <c r="H213" i="22" s="1"/>
  <c r="P6" i="22" s="1"/>
  <c r="G210" i="22"/>
  <c r="AK212" i="22"/>
  <c r="AJ212" i="22"/>
  <c r="AI212" i="22"/>
  <c r="AH212" i="22"/>
  <c r="AE212" i="22"/>
  <c r="AD212" i="22"/>
  <c r="AC212" i="22"/>
  <c r="Z212" i="22"/>
  <c r="Y212" i="22"/>
  <c r="X212" i="22"/>
  <c r="W212" i="22"/>
  <c r="V212" i="22"/>
  <c r="U212" i="22"/>
  <c r="T212" i="22"/>
  <c r="S212" i="22"/>
  <c r="R212" i="22"/>
  <c r="Q212" i="22"/>
  <c r="O212" i="22"/>
  <c r="N212" i="22"/>
  <c r="M212" i="22"/>
  <c r="J212" i="22"/>
  <c r="I212" i="22"/>
  <c r="H212" i="22"/>
  <c r="E207" i="22"/>
  <c r="D207" i="22"/>
  <c r="C207" i="22"/>
  <c r="E203" i="22"/>
  <c r="D203" i="22"/>
  <c r="C203" i="22"/>
  <c r="AK177" i="22"/>
  <c r="AJ177" i="22"/>
  <c r="AI177" i="22"/>
  <c r="AH177" i="22"/>
  <c r="AG177" i="22"/>
  <c r="AF177" i="22"/>
  <c r="AE177" i="22"/>
  <c r="AD177" i="22"/>
  <c r="AC177" i="22"/>
  <c r="AB177" i="22"/>
  <c r="AA177" i="22"/>
  <c r="Z177" i="22"/>
  <c r="Y177" i="22"/>
  <c r="X177" i="22"/>
  <c r="W177" i="22"/>
  <c r="V177" i="22"/>
  <c r="U177" i="22"/>
  <c r="T177" i="22"/>
  <c r="S177" i="22"/>
  <c r="R177" i="22"/>
  <c r="Q177" i="22"/>
  <c r="P177" i="22"/>
  <c r="O177" i="22"/>
  <c r="N177" i="22"/>
  <c r="M177" i="22"/>
  <c r="L177" i="22"/>
  <c r="K177" i="22"/>
  <c r="J177" i="22"/>
  <c r="I177" i="22"/>
  <c r="E174" i="22"/>
  <c r="D174" i="22"/>
  <c r="C174" i="22"/>
  <c r="E170" i="22"/>
  <c r="D170" i="22"/>
  <c r="C170" i="22"/>
  <c r="AK143" i="22"/>
  <c r="AJ143" i="22"/>
  <c r="AI143" i="22"/>
  <c r="AH143" i="22"/>
  <c r="AG143" i="22"/>
  <c r="AF143" i="22"/>
  <c r="AE143" i="22"/>
  <c r="AD143" i="22"/>
  <c r="AC143" i="22"/>
  <c r="AB143" i="22"/>
  <c r="AA143" i="22"/>
  <c r="Z143" i="22"/>
  <c r="Y143" i="22"/>
  <c r="X143" i="22"/>
  <c r="W143" i="22"/>
  <c r="V143" i="22"/>
  <c r="U143" i="22"/>
  <c r="T143" i="22"/>
  <c r="S143" i="22"/>
  <c r="R143" i="22"/>
  <c r="Q143" i="22"/>
  <c r="P143" i="22"/>
  <c r="O143" i="22"/>
  <c r="N143" i="22"/>
  <c r="M143" i="22"/>
  <c r="L143" i="22"/>
  <c r="K143" i="22"/>
  <c r="AK142" i="22"/>
  <c r="AJ142" i="22"/>
  <c r="AI142" i="22"/>
  <c r="AH142" i="22"/>
  <c r="AG142" i="22"/>
  <c r="AF142" i="22"/>
  <c r="AE142" i="22"/>
  <c r="AD142" i="22"/>
  <c r="AC142" i="22"/>
  <c r="AB142" i="22"/>
  <c r="AA142" i="22"/>
  <c r="Z142" i="22"/>
  <c r="Y142" i="22"/>
  <c r="X142" i="22"/>
  <c r="W142" i="22"/>
  <c r="V142" i="22"/>
  <c r="U142" i="22"/>
  <c r="T142" i="22"/>
  <c r="S142" i="22"/>
  <c r="R142" i="22"/>
  <c r="Q142" i="22"/>
  <c r="P142" i="22"/>
  <c r="O142" i="22"/>
  <c r="N142" i="22"/>
  <c r="M142" i="22"/>
  <c r="L142" i="22"/>
  <c r="K142" i="22"/>
  <c r="J142" i="22"/>
  <c r="I142" i="22"/>
  <c r="H142" i="22"/>
  <c r="G142" i="22"/>
  <c r="G146" i="22" s="1"/>
  <c r="O7" i="22" s="1"/>
  <c r="E140" i="22"/>
  <c r="D140" i="22"/>
  <c r="C140" i="22"/>
  <c r="E136" i="22"/>
  <c r="D136" i="22"/>
  <c r="C136" i="22"/>
  <c r="AK107" i="22"/>
  <c r="AJ107" i="22"/>
  <c r="AI107" i="22"/>
  <c r="AH107" i="22"/>
  <c r="AG107" i="22"/>
  <c r="AF107" i="22"/>
  <c r="AE107" i="22"/>
  <c r="AD107" i="22"/>
  <c r="AC107" i="22"/>
  <c r="AB107" i="22"/>
  <c r="AA107" i="22"/>
  <c r="Z107" i="22"/>
  <c r="Y107" i="22"/>
  <c r="X107" i="22"/>
  <c r="W107" i="22"/>
  <c r="V107" i="22"/>
  <c r="U107" i="22"/>
  <c r="T107" i="22"/>
  <c r="T111" i="22" s="1"/>
  <c r="S107" i="22"/>
  <c r="R107" i="22"/>
  <c r="Q107" i="22"/>
  <c r="P107" i="22"/>
  <c r="O107" i="22"/>
  <c r="N107" i="22"/>
  <c r="M107" i="22"/>
  <c r="L107" i="22"/>
  <c r="K107" i="22"/>
  <c r="J107" i="22"/>
  <c r="I107" i="22"/>
  <c r="H107" i="22"/>
  <c r="G107" i="22"/>
  <c r="E105" i="22"/>
  <c r="D105" i="22"/>
  <c r="C105" i="22"/>
  <c r="AK73" i="22"/>
  <c r="AJ73" i="22"/>
  <c r="AI73" i="22"/>
  <c r="AH73" i="22"/>
  <c r="AG73" i="22"/>
  <c r="AF73" i="22"/>
  <c r="AE73" i="22"/>
  <c r="AD73" i="22"/>
  <c r="AC73" i="22"/>
  <c r="AB73" i="22"/>
  <c r="AA73" i="22"/>
  <c r="Z73" i="22"/>
  <c r="Y73" i="22"/>
  <c r="X73" i="22"/>
  <c r="W73" i="22"/>
  <c r="V73" i="22"/>
  <c r="U73" i="22"/>
  <c r="T73" i="22"/>
  <c r="S73" i="22"/>
  <c r="R73" i="22"/>
  <c r="Q73" i="22"/>
  <c r="P73" i="22"/>
  <c r="O73" i="22"/>
  <c r="N73" i="22"/>
  <c r="M73" i="22"/>
  <c r="L73" i="22"/>
  <c r="K73" i="22"/>
  <c r="J73" i="22"/>
  <c r="I73" i="22"/>
  <c r="AK72" i="22"/>
  <c r="AJ72" i="22"/>
  <c r="AI72" i="22"/>
  <c r="AH72" i="22"/>
  <c r="AG72" i="22"/>
  <c r="AF72" i="22"/>
  <c r="AE72" i="22"/>
  <c r="AD72" i="22"/>
  <c r="AC72" i="22"/>
  <c r="AB72" i="22"/>
  <c r="AA72" i="22"/>
  <c r="Z72" i="22"/>
  <c r="Y72" i="22"/>
  <c r="X72" i="22"/>
  <c r="W72" i="22"/>
  <c r="V72" i="22"/>
  <c r="U72" i="22"/>
  <c r="T72" i="22"/>
  <c r="S72" i="22"/>
  <c r="R72" i="22"/>
  <c r="Q72" i="22"/>
  <c r="P72" i="22"/>
  <c r="O72" i="22"/>
  <c r="N72" i="22"/>
  <c r="M72" i="22"/>
  <c r="L72" i="22"/>
  <c r="K72" i="22"/>
  <c r="J72" i="22"/>
  <c r="I72" i="22"/>
  <c r="H72" i="22"/>
  <c r="G72" i="22"/>
  <c r="E70" i="22"/>
  <c r="D70" i="22"/>
  <c r="C70" i="22"/>
  <c r="E66" i="22"/>
  <c r="D66" i="22"/>
  <c r="C66" i="22"/>
  <c r="AK38" i="22"/>
  <c r="AJ38" i="22"/>
  <c r="AI38" i="22"/>
  <c r="AH38" i="22"/>
  <c r="AG38" i="22"/>
  <c r="AF38" i="22"/>
  <c r="AE38" i="22"/>
  <c r="AD38" i="22"/>
  <c r="AC38" i="22"/>
  <c r="AB38" i="22"/>
  <c r="AA38" i="22"/>
  <c r="Z38" i="22"/>
  <c r="Y38" i="22"/>
  <c r="X38" i="22"/>
  <c r="W38" i="22"/>
  <c r="V38" i="22"/>
  <c r="U38" i="22"/>
  <c r="T38" i="22"/>
  <c r="S38" i="22"/>
  <c r="Q38" i="22"/>
  <c r="P38" i="22"/>
  <c r="O38" i="22"/>
  <c r="N38" i="22"/>
  <c r="M38" i="22"/>
  <c r="L38" i="22"/>
  <c r="K38"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J37" i="22"/>
  <c r="I37" i="22"/>
  <c r="H37" i="22"/>
  <c r="G37" i="22"/>
  <c r="E35" i="22"/>
  <c r="D35" i="22"/>
  <c r="C35" i="22"/>
  <c r="C31" i="22"/>
  <c r="AI162" i="14"/>
  <c r="AI161" i="14"/>
  <c r="AI126" i="14"/>
  <c r="AI125" i="14"/>
  <c r="AI124" i="14"/>
  <c r="AI123" i="14"/>
  <c r="AI122" i="14"/>
  <c r="AI121" i="14"/>
  <c r="AI120" i="14"/>
  <c r="AI119" i="14"/>
  <c r="AI118" i="14"/>
  <c r="AI117" i="14"/>
  <c r="AI116" i="14"/>
  <c r="AI115" i="14"/>
  <c r="AI114" i="14"/>
  <c r="AI113" i="14"/>
  <c r="AI112" i="14"/>
  <c r="AI111" i="14"/>
  <c r="AI110" i="14"/>
  <c r="AI109" i="14"/>
  <c r="AI108" i="14"/>
  <c r="AI107" i="14"/>
  <c r="AI106" i="14"/>
  <c r="AI105" i="14"/>
  <c r="AI104" i="14"/>
  <c r="AI103" i="14"/>
  <c r="AI102" i="14"/>
  <c r="AI101" i="14"/>
  <c r="AI100" i="14"/>
  <c r="AI99" i="14"/>
  <c r="AI98" i="14"/>
  <c r="AI97" i="14"/>
  <c r="AI96" i="14"/>
  <c r="AI95" i="14"/>
  <c r="AI94" i="14"/>
  <c r="AI93" i="14"/>
  <c r="AI92" i="14"/>
  <c r="AI91" i="14"/>
  <c r="AI90" i="14"/>
  <c r="AI89" i="14"/>
  <c r="AI88" i="14"/>
  <c r="AI87" i="14"/>
  <c r="AI86" i="14"/>
  <c r="AI85" i="14"/>
  <c r="AI84" i="14"/>
  <c r="AI83" i="14"/>
  <c r="AI82" i="14"/>
  <c r="AI81" i="14"/>
  <c r="AI80" i="14"/>
  <c r="AI79" i="14"/>
  <c r="AI78" i="14"/>
  <c r="AI77" i="14"/>
  <c r="AI76" i="14"/>
  <c r="AI75" i="14"/>
  <c r="AI74" i="14"/>
  <c r="AI73" i="14"/>
  <c r="AI72" i="14"/>
  <c r="AI71" i="14"/>
  <c r="AI70" i="14"/>
  <c r="AI69" i="14"/>
  <c r="AI68" i="14"/>
  <c r="AI67" i="14"/>
  <c r="AI66" i="14"/>
  <c r="AI65" i="14"/>
  <c r="AI64" i="14"/>
  <c r="AI63" i="14"/>
  <c r="AI62" i="14"/>
  <c r="AI61" i="14"/>
  <c r="AI60" i="14"/>
  <c r="AI59" i="14"/>
  <c r="AI58" i="14"/>
  <c r="AI57" i="14"/>
  <c r="AI56" i="14"/>
  <c r="AI55" i="14"/>
  <c r="AI54" i="14"/>
  <c r="AI53" i="14"/>
  <c r="AI52" i="14"/>
  <c r="AI51" i="14"/>
  <c r="AI50" i="14"/>
  <c r="AI49" i="14"/>
  <c r="AI48" i="14"/>
  <c r="AI47" i="14"/>
  <c r="AI46" i="14"/>
  <c r="AI45" i="14"/>
  <c r="AI44" i="14"/>
  <c r="AI43" i="14"/>
  <c r="AI42" i="14"/>
  <c r="AI41" i="14"/>
  <c r="AI40" i="14"/>
  <c r="AI39" i="14"/>
  <c r="AI38" i="14"/>
  <c r="AI37" i="14"/>
  <c r="AI36" i="14"/>
  <c r="AI35" i="14"/>
  <c r="AI34" i="14"/>
  <c r="AI33" i="14"/>
  <c r="AI32" i="14"/>
  <c r="AI31" i="14"/>
  <c r="AI30" i="14"/>
  <c r="AI29" i="14"/>
  <c r="AI28" i="14"/>
  <c r="AI27" i="14"/>
  <c r="AI26" i="14"/>
  <c r="AI25" i="14"/>
  <c r="AI24" i="14"/>
  <c r="AI23" i="14"/>
  <c r="AI22" i="14"/>
  <c r="AI21" i="14"/>
  <c r="AI20" i="14"/>
  <c r="AI19" i="14"/>
  <c r="AI18" i="14"/>
  <c r="AI17" i="14"/>
  <c r="AI16" i="14"/>
  <c r="AI15" i="14"/>
  <c r="AI14" i="14"/>
  <c r="AI13" i="14"/>
  <c r="AI12" i="14"/>
  <c r="AI11" i="14"/>
  <c r="AI10" i="14"/>
  <c r="AI9" i="14"/>
  <c r="AI8" i="14"/>
  <c r="AI7" i="14"/>
  <c r="AI6" i="14"/>
  <c r="AI5" i="14"/>
  <c r="AI4" i="14"/>
  <c r="AI3" i="14"/>
  <c r="R67" i="1"/>
  <c r="P67" i="1"/>
  <c r="O67" i="1"/>
  <c r="N67" i="1"/>
  <c r="M67" i="1"/>
  <c r="L67" i="1"/>
  <c r="I67" i="1"/>
  <c r="H67" i="1"/>
  <c r="G67" i="1"/>
  <c r="F67" i="1"/>
  <c r="E67" i="1"/>
  <c r="D67" i="1"/>
  <c r="C67" i="1"/>
  <c r="AB62" i="1"/>
  <c r="R62" i="1"/>
  <c r="P62" i="1"/>
  <c r="H62" i="1"/>
  <c r="G62" i="1"/>
  <c r="N62" i="1"/>
  <c r="M62" i="1"/>
  <c r="L62" i="1"/>
  <c r="I62" i="1"/>
  <c r="F62" i="1"/>
  <c r="E62" i="1"/>
  <c r="D62" i="1"/>
  <c r="C62" i="1"/>
  <c r="I143" i="22"/>
  <c r="H177" i="22"/>
  <c r="J38" i="22"/>
  <c r="I38" i="22"/>
  <c r="T12" i="12" l="1"/>
  <c r="U7" i="12"/>
  <c r="T8" i="12"/>
  <c r="T16" i="12"/>
  <c r="T24" i="12"/>
  <c r="T60" i="12"/>
  <c r="S17" i="12"/>
  <c r="S25" i="12"/>
  <c r="C2" i="13"/>
  <c r="C36" i="12"/>
  <c r="C37" i="12" s="1"/>
  <c r="D36" i="12"/>
  <c r="D37" i="12" s="1"/>
  <c r="D32" i="12"/>
  <c r="D33" i="12" s="1"/>
  <c r="C32" i="12"/>
  <c r="C33" i="12" s="1"/>
  <c r="M111" i="22"/>
  <c r="U4" i="22" s="1"/>
  <c r="U111" i="22"/>
  <c r="AC4" i="22" s="1"/>
  <c r="AC111" i="22"/>
  <c r="AK4" i="22" s="1"/>
  <c r="M146" i="22"/>
  <c r="U7" i="22" s="1"/>
  <c r="I146" i="22"/>
  <c r="Q7" i="22" s="1"/>
  <c r="O146" i="22"/>
  <c r="W7" i="22" s="1"/>
  <c r="W146" i="22"/>
  <c r="AE7" i="22" s="1"/>
  <c r="AE146" i="22"/>
  <c r="AM7" i="22" s="1"/>
  <c r="Q111" i="22"/>
  <c r="Y4" i="22" s="1"/>
  <c r="Y111" i="22"/>
  <c r="AG4" i="22" s="1"/>
  <c r="K146" i="22"/>
  <c r="S7" i="22" s="1"/>
  <c r="S146" i="22"/>
  <c r="AA7" i="22" s="1"/>
  <c r="AA146" i="22"/>
  <c r="AI7" i="22" s="1"/>
  <c r="AI146" i="22"/>
  <c r="AQ7" i="22" s="1"/>
  <c r="I111" i="22"/>
  <c r="Q4" i="22" s="1"/>
  <c r="AG111" i="22"/>
  <c r="AO4" i="22" s="1"/>
  <c r="J41" i="22"/>
  <c r="R2" i="22" s="1"/>
  <c r="AK111" i="22"/>
  <c r="AS4" i="22" s="1"/>
  <c r="K111" i="22"/>
  <c r="S4" i="22" s="1"/>
  <c r="O111" i="22"/>
  <c r="W4" i="22" s="1"/>
  <c r="S111" i="22"/>
  <c r="AA4" i="22" s="1"/>
  <c r="W111" i="22"/>
  <c r="AE4" i="22" s="1"/>
  <c r="AA111" i="22"/>
  <c r="AI4" i="22" s="1"/>
  <c r="AE111" i="22"/>
  <c r="AM4" i="22" s="1"/>
  <c r="AI111" i="22"/>
  <c r="AQ4" i="22" s="1"/>
  <c r="L76" i="22"/>
  <c r="T3" i="22" s="1"/>
  <c r="P76" i="22"/>
  <c r="X3" i="22" s="1"/>
  <c r="T76" i="22"/>
  <c r="AB3" i="22" s="1"/>
  <c r="X76" i="22"/>
  <c r="AF3" i="22" s="1"/>
  <c r="AB76" i="22"/>
  <c r="AJ3" i="22" s="1"/>
  <c r="AF76" i="22"/>
  <c r="AN3" i="22" s="1"/>
  <c r="N41" i="22"/>
  <c r="V2" i="22" s="1"/>
  <c r="R41" i="22"/>
  <c r="Z2" i="22" s="1"/>
  <c r="V41" i="22"/>
  <c r="AD2" i="22" s="1"/>
  <c r="Z41" i="22"/>
  <c r="AH2" i="22" s="1"/>
  <c r="AD41" i="22"/>
  <c r="AL2" i="22" s="1"/>
  <c r="AH41" i="22"/>
  <c r="AP2" i="22" s="1"/>
  <c r="L41" i="22"/>
  <c r="T2" i="22" s="1"/>
  <c r="P41" i="22"/>
  <c r="X2" i="22" s="1"/>
  <c r="T41" i="22"/>
  <c r="AB2" i="22" s="1"/>
  <c r="X41" i="22"/>
  <c r="AF2" i="22" s="1"/>
  <c r="AB41" i="22"/>
  <c r="AJ2" i="22" s="1"/>
  <c r="AF41" i="22"/>
  <c r="AN2" i="22" s="1"/>
  <c r="AJ41" i="22"/>
  <c r="AR2" i="22" s="1"/>
  <c r="G73" i="22"/>
  <c r="G76" i="22" s="1"/>
  <c r="O3" i="22" s="1"/>
  <c r="H143" i="22"/>
  <c r="H146" i="22" s="1"/>
  <c r="P7" i="22" s="1"/>
  <c r="G213" i="22"/>
  <c r="O6" i="22" s="1"/>
  <c r="J213" i="22"/>
  <c r="R6" i="22" s="1"/>
  <c r="N213" i="22"/>
  <c r="V6" i="22" s="1"/>
  <c r="R213" i="22"/>
  <c r="Z6" i="22" s="1"/>
  <c r="V213" i="22"/>
  <c r="AD6" i="22" s="1"/>
  <c r="Z213" i="22"/>
  <c r="AH6" i="22" s="1"/>
  <c r="AD213" i="22"/>
  <c r="AL6" i="22" s="1"/>
  <c r="AH213" i="22"/>
  <c r="AP6" i="22" s="1"/>
  <c r="G212" i="22"/>
  <c r="X180" i="22"/>
  <c r="AF5" i="22" s="1"/>
  <c r="L180" i="22"/>
  <c r="T5" i="22" s="1"/>
  <c r="P180" i="22"/>
  <c r="X5" i="22" s="1"/>
  <c r="T180" i="22"/>
  <c r="AB5" i="22" s="1"/>
  <c r="M180" i="22"/>
  <c r="U5" i="22" s="1"/>
  <c r="N76" i="22"/>
  <c r="V3" i="22" s="1"/>
  <c r="R76" i="22"/>
  <c r="Z3" i="22" s="1"/>
  <c r="V76" i="22"/>
  <c r="AD3" i="22" s="1"/>
  <c r="Z76" i="22"/>
  <c r="AH3" i="22" s="1"/>
  <c r="AH76" i="22"/>
  <c r="AP3" i="22" s="1"/>
  <c r="AJ76" i="22"/>
  <c r="AR3" i="22" s="1"/>
  <c r="J76" i="22"/>
  <c r="R3" i="22" s="1"/>
  <c r="AD76" i="22"/>
  <c r="AL3" i="22" s="1"/>
  <c r="AJ180" i="22"/>
  <c r="AR5" i="22" s="1"/>
  <c r="AF180" i="22"/>
  <c r="AN5" i="22" s="1"/>
  <c r="AF213" i="22"/>
  <c r="AN6" i="22" s="1"/>
  <c r="AB180" i="22"/>
  <c r="AJ5" i="22" s="1"/>
  <c r="AB213" i="22"/>
  <c r="AJ6" i="22" s="1"/>
  <c r="J16" i="13"/>
  <c r="P213" i="22"/>
  <c r="X6" i="22" s="1"/>
  <c r="J10" i="13"/>
  <c r="G38" i="22"/>
  <c r="G41" i="22" s="1"/>
  <c r="O2" i="22" s="1"/>
  <c r="H38" i="22"/>
  <c r="H41" i="22" s="1"/>
  <c r="P2" i="22" s="1"/>
  <c r="H73" i="22"/>
  <c r="H76" i="22" s="1"/>
  <c r="P3" i="22" s="1"/>
  <c r="L213" i="22"/>
  <c r="T6" i="22" s="1"/>
  <c r="K180" i="22"/>
  <c r="S5" i="22" s="1"/>
  <c r="H180" i="22"/>
  <c r="P5" i="22" s="1"/>
  <c r="H111" i="22"/>
  <c r="P4" i="22" s="1"/>
  <c r="I41" i="22"/>
  <c r="Q2" i="22" s="1"/>
  <c r="K41" i="22"/>
  <c r="S2" i="22" s="1"/>
  <c r="O41" i="22"/>
  <c r="W2" i="22" s="1"/>
  <c r="S41" i="22"/>
  <c r="AA2" i="22" s="1"/>
  <c r="W41" i="22"/>
  <c r="AE2" i="22" s="1"/>
  <c r="AA41" i="22"/>
  <c r="AI2" i="22" s="1"/>
  <c r="AE41" i="22"/>
  <c r="AM2" i="22" s="1"/>
  <c r="AI41" i="22"/>
  <c r="AQ2" i="22" s="1"/>
  <c r="K76" i="22"/>
  <c r="S3" i="22" s="1"/>
  <c r="O76" i="22"/>
  <c r="W3" i="22" s="1"/>
  <c r="S76" i="22"/>
  <c r="AA3" i="22" s="1"/>
  <c r="W76" i="22"/>
  <c r="AE3" i="22" s="1"/>
  <c r="AA76" i="22"/>
  <c r="AI3" i="22" s="1"/>
  <c r="AE76" i="22"/>
  <c r="AM3" i="22" s="1"/>
  <c r="AI76" i="22"/>
  <c r="AQ3" i="22" s="1"/>
  <c r="L111" i="22"/>
  <c r="T4" i="22" s="1"/>
  <c r="P111" i="22"/>
  <c r="X4" i="22" s="1"/>
  <c r="AB4" i="22"/>
  <c r="X111" i="22"/>
  <c r="AF4" i="22" s="1"/>
  <c r="AB111" i="22"/>
  <c r="AJ4" i="22" s="1"/>
  <c r="AF111" i="22"/>
  <c r="AN4" i="22" s="1"/>
  <c r="AJ111" i="22"/>
  <c r="AR4" i="22" s="1"/>
  <c r="L146" i="22"/>
  <c r="T7" i="22" s="1"/>
  <c r="P146" i="22"/>
  <c r="X7" i="22" s="1"/>
  <c r="T146" i="22"/>
  <c r="AB7" i="22" s="1"/>
  <c r="X146" i="22"/>
  <c r="AF7" i="22" s="1"/>
  <c r="AB146" i="22"/>
  <c r="AJ7" i="22" s="1"/>
  <c r="AF146" i="22"/>
  <c r="AN7" i="22" s="1"/>
  <c r="AJ146" i="22"/>
  <c r="AR7" i="22" s="1"/>
  <c r="I180" i="22"/>
  <c r="Q5" i="22" s="1"/>
  <c r="Q180" i="22"/>
  <c r="Y5" i="22" s="1"/>
  <c r="U180" i="22"/>
  <c r="AC5" i="22" s="1"/>
  <c r="Y180" i="22"/>
  <c r="AG5" i="22" s="1"/>
  <c r="AC180" i="22"/>
  <c r="AK5" i="22" s="1"/>
  <c r="AG180" i="22"/>
  <c r="AO5" i="22" s="1"/>
  <c r="AK180" i="22"/>
  <c r="AS5" i="22" s="1"/>
  <c r="K213" i="22"/>
  <c r="S6" i="22" s="1"/>
  <c r="O213" i="22"/>
  <c r="W6" i="22" s="1"/>
  <c r="S213" i="22"/>
  <c r="AA6" i="22" s="1"/>
  <c r="W213" i="22"/>
  <c r="AE6" i="22" s="1"/>
  <c r="AA213" i="22"/>
  <c r="AI6" i="22" s="1"/>
  <c r="AE213" i="22"/>
  <c r="AM6" i="22" s="1"/>
  <c r="AI213" i="22"/>
  <c r="AQ6" i="22" s="1"/>
  <c r="L212" i="22"/>
  <c r="P212" i="22"/>
  <c r="AB212" i="22"/>
  <c r="AF212" i="22"/>
  <c r="I213" i="22"/>
  <c r="Q6" i="22" s="1"/>
  <c r="Q146" i="22"/>
  <c r="Y7" i="22" s="1"/>
  <c r="U146" i="22"/>
  <c r="AC7" i="22" s="1"/>
  <c r="Y146" i="22"/>
  <c r="AG7" i="22" s="1"/>
  <c r="AC146" i="22"/>
  <c r="AK7" i="22" s="1"/>
  <c r="AG146" i="22"/>
  <c r="AO7" i="22" s="1"/>
  <c r="AK146" i="22"/>
  <c r="AS7" i="22" s="1"/>
  <c r="J180" i="22"/>
  <c r="R5" i="22" s="1"/>
  <c r="N180" i="22"/>
  <c r="V5" i="22" s="1"/>
  <c r="R180" i="22"/>
  <c r="Z5" i="22" s="1"/>
  <c r="V180" i="22"/>
  <c r="AD5" i="22" s="1"/>
  <c r="Z180" i="22"/>
  <c r="AH5" i="22" s="1"/>
  <c r="AD180" i="22"/>
  <c r="AL5" i="22" s="1"/>
  <c r="AH180" i="22"/>
  <c r="AP5" i="22" s="1"/>
  <c r="T213" i="22"/>
  <c r="AB6" i="22" s="1"/>
  <c r="AJ213" i="22"/>
  <c r="AR6" i="22" s="1"/>
  <c r="AG212" i="22"/>
  <c r="J111" i="22"/>
  <c r="R4" i="22" s="1"/>
  <c r="M41" i="22"/>
  <c r="U2" i="22" s="1"/>
  <c r="Q41" i="22"/>
  <c r="Y2" i="22" s="1"/>
  <c r="U41" i="22"/>
  <c r="AC2" i="22" s="1"/>
  <c r="Y41" i="22"/>
  <c r="AG2" i="22" s="1"/>
  <c r="AC41" i="22"/>
  <c r="AK2" i="22" s="1"/>
  <c r="AG41" i="22"/>
  <c r="AO2" i="22" s="1"/>
  <c r="AK41" i="22"/>
  <c r="AS2" i="22" s="1"/>
  <c r="I76" i="22"/>
  <c r="Q3" i="22" s="1"/>
  <c r="M76" i="22"/>
  <c r="U3" i="22" s="1"/>
  <c r="Q76" i="22"/>
  <c r="Y3" i="22" s="1"/>
  <c r="U76" i="22"/>
  <c r="AC3" i="22" s="1"/>
  <c r="Y76" i="22"/>
  <c r="AG3" i="22" s="1"/>
  <c r="AC76" i="22"/>
  <c r="AK3" i="22" s="1"/>
  <c r="AG76" i="22"/>
  <c r="AO3" i="22" s="1"/>
  <c r="AK76" i="22"/>
  <c r="AS3" i="22" s="1"/>
  <c r="N111" i="22"/>
  <c r="V4" i="22" s="1"/>
  <c r="R111" i="22"/>
  <c r="Z4" i="22" s="1"/>
  <c r="V111" i="22"/>
  <c r="AD4" i="22" s="1"/>
  <c r="Z111" i="22"/>
  <c r="AH4" i="22" s="1"/>
  <c r="AD111" i="22"/>
  <c r="AL4" i="22" s="1"/>
  <c r="AH111" i="22"/>
  <c r="AP4" i="22" s="1"/>
  <c r="N146" i="22"/>
  <c r="V7" i="22" s="1"/>
  <c r="R146" i="22"/>
  <c r="Z7" i="22" s="1"/>
  <c r="V146" i="22"/>
  <c r="AD7" i="22" s="1"/>
  <c r="Z146" i="22"/>
  <c r="AH7" i="22" s="1"/>
  <c r="AD146" i="22"/>
  <c r="AL7" i="22" s="1"/>
  <c r="AH146" i="22"/>
  <c r="AP7" i="22" s="1"/>
  <c r="O180" i="22"/>
  <c r="W5" i="22" s="1"/>
  <c r="S180" i="22"/>
  <c r="AA5" i="22" s="1"/>
  <c r="W180" i="22"/>
  <c r="AE5" i="22" s="1"/>
  <c r="AA180" i="22"/>
  <c r="AI5" i="22" s="1"/>
  <c r="AE180" i="22"/>
  <c r="AM5" i="22" s="1"/>
  <c r="AI180" i="22"/>
  <c r="AQ5" i="22" s="1"/>
  <c r="M213" i="22"/>
  <c r="U6" i="22" s="1"/>
  <c r="Q213" i="22"/>
  <c r="Y6" i="22" s="1"/>
  <c r="U213" i="22"/>
  <c r="AC6" i="22" s="1"/>
  <c r="Y213" i="22"/>
  <c r="AG6" i="22" s="1"/>
  <c r="AC213" i="22"/>
  <c r="AK6" i="22" s="1"/>
  <c r="AK213" i="22"/>
  <c r="AS6" i="22" s="1"/>
  <c r="G111" i="22"/>
  <c r="O4" i="22" s="1"/>
  <c r="G177" i="22"/>
  <c r="G180" i="22" s="1"/>
  <c r="O5" i="22" s="1"/>
  <c r="J24" i="13"/>
  <c r="J7" i="13"/>
  <c r="H19" i="13"/>
  <c r="J9" i="13"/>
  <c r="H31" i="13"/>
  <c r="J30" i="13"/>
  <c r="J29" i="13"/>
  <c r="J28" i="13"/>
  <c r="H27" i="13"/>
  <c r="H26" i="13"/>
  <c r="J25" i="13"/>
  <c r="H23" i="13"/>
  <c r="H22" i="13"/>
  <c r="J21" i="13"/>
  <c r="J20" i="13"/>
  <c r="H18" i="13"/>
  <c r="J17" i="13"/>
  <c r="J15" i="13"/>
  <c r="H14" i="13"/>
  <c r="H13" i="13"/>
  <c r="J4" i="13"/>
  <c r="H4" i="13"/>
  <c r="J6" i="13"/>
  <c r="J143" i="22"/>
  <c r="J146" i="22" s="1"/>
  <c r="R7" i="22" s="1"/>
  <c r="H12" i="13"/>
  <c r="J11" i="13"/>
  <c r="H10" i="13"/>
  <c r="J8" i="13"/>
  <c r="T17" i="12" l="1"/>
  <c r="T61" i="12"/>
  <c r="T25" i="12"/>
  <c r="U16" i="12"/>
  <c r="V7" i="12"/>
  <c r="U8" i="12"/>
  <c r="U12" i="12"/>
  <c r="U24" i="12"/>
  <c r="U60" i="12"/>
  <c r="J3" i="13"/>
  <c r="C16" i="12"/>
  <c r="H24" i="13"/>
  <c r="H16" i="13"/>
  <c r="F2" i="13"/>
  <c r="J2" i="13" s="1"/>
  <c r="H29" i="13"/>
  <c r="J27" i="13"/>
  <c r="J18" i="13"/>
  <c r="H15" i="13"/>
  <c r="H21" i="13"/>
  <c r="J26" i="13"/>
  <c r="H17" i="13"/>
  <c r="H9" i="13"/>
  <c r="H7" i="13"/>
  <c r="H6" i="13"/>
  <c r="AJ86" i="16"/>
  <c r="J13" i="13"/>
  <c r="J14" i="13"/>
  <c r="J19" i="13"/>
  <c r="J12" i="13"/>
  <c r="J23" i="13"/>
  <c r="H28" i="13"/>
  <c r="H11" i="13"/>
  <c r="J22" i="13"/>
  <c r="H30" i="13"/>
  <c r="J31" i="13"/>
  <c r="H25" i="13"/>
  <c r="H20" i="13"/>
  <c r="J5" i="13"/>
  <c r="H5" i="13"/>
  <c r="H8" i="13"/>
  <c r="U61" i="12" l="1"/>
  <c r="U17" i="12"/>
  <c r="U25" i="12"/>
  <c r="V8" i="12"/>
  <c r="W7" i="12"/>
  <c r="V16" i="12"/>
  <c r="V12" i="12"/>
  <c r="V24" i="12"/>
  <c r="V60" i="12"/>
  <c r="H2" i="13"/>
  <c r="H3" i="13"/>
  <c r="X7" i="12" l="1"/>
  <c r="W16" i="12"/>
  <c r="W8" i="12"/>
  <c r="W12" i="12"/>
  <c r="W24" i="12"/>
  <c r="W60" i="12"/>
  <c r="V17" i="12"/>
  <c r="V25" i="12"/>
  <c r="V61" i="12"/>
  <c r="D16" i="12"/>
  <c r="W17" i="12" l="1"/>
  <c r="W61" i="12"/>
  <c r="W25" i="12"/>
  <c r="X16" i="12"/>
  <c r="X12" i="12"/>
  <c r="X8" i="12"/>
  <c r="X24" i="12"/>
  <c r="X60" i="12"/>
  <c r="X61" i="12" s="1"/>
  <c r="AJ74" i="16"/>
  <c r="X17" i="12" l="1"/>
  <c r="X25" i="12"/>
  <c r="AJ7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Ray Subha</author>
  </authors>
  <commentList>
    <comment ref="F3" authorId="0" shapeId="0" xr:uid="{1E408DE7-A19F-4113-A0AF-7FA78F11C1DE}">
      <text>
        <r>
          <rPr>
            <b/>
            <sz val="9"/>
            <color indexed="81"/>
            <rFont val="Tahoma"/>
            <family val="2"/>
          </rPr>
          <t>15.05.24</t>
        </r>
        <r>
          <rPr>
            <sz val="9"/>
            <color indexed="81"/>
            <rFont val="Tahoma"/>
            <family val="2"/>
          </rPr>
          <t xml:space="preserve">
</t>
        </r>
      </text>
    </comment>
    <comment ref="F4" authorId="0" shapeId="0" xr:uid="{EA9D2CD0-3DFC-4676-B957-7E6D52D5E1B7}">
      <text>
        <r>
          <rPr>
            <b/>
            <sz val="9"/>
            <color indexed="81"/>
            <rFont val="Tahoma"/>
            <family val="2"/>
          </rPr>
          <t>15.05.24</t>
        </r>
        <r>
          <rPr>
            <sz val="9"/>
            <color indexed="81"/>
            <rFont val="Tahoma"/>
            <family val="2"/>
          </rPr>
          <t xml:space="preserve">
</t>
        </r>
      </text>
    </comment>
  </commentList>
</comments>
</file>

<file path=xl/sharedStrings.xml><?xml version="1.0" encoding="utf-8"?>
<sst xmlns="http://schemas.openxmlformats.org/spreadsheetml/2006/main" count="1461" uniqueCount="621">
  <si>
    <t>DATES</t>
  </si>
  <si>
    <t>UoM</t>
  </si>
  <si>
    <t>STATION PERFORMANCE</t>
  </si>
  <si>
    <t>Power Generation</t>
  </si>
  <si>
    <t>Power Generation (As per ABT)</t>
  </si>
  <si>
    <t>Mus</t>
  </si>
  <si>
    <t>For the day</t>
  </si>
  <si>
    <t>For the month (MTD)</t>
  </si>
  <si>
    <t>Yield To date (YTD)</t>
  </si>
  <si>
    <t xml:space="preserve">Avg Load  </t>
  </si>
  <si>
    <t>MW</t>
  </si>
  <si>
    <t>Asking Rate</t>
  </si>
  <si>
    <t>Plant Load Factor</t>
  </si>
  <si>
    <t>%</t>
  </si>
  <si>
    <t>Aux Power Consumption</t>
  </si>
  <si>
    <t>For the day (Meter)</t>
  </si>
  <si>
    <t xml:space="preserve">As Per ABT </t>
  </si>
  <si>
    <t>Aux Power Consumption ( ABT)</t>
  </si>
  <si>
    <t>For the month (MTD)(ABT Mus)</t>
  </si>
  <si>
    <t>For the month (MTD)(ABT)</t>
  </si>
  <si>
    <t>Yield To date (YTD)(ABT)</t>
  </si>
  <si>
    <t>Boiler Availability</t>
  </si>
  <si>
    <t>Boiler Availability MTD</t>
  </si>
  <si>
    <t>Boiler Availability YTD</t>
  </si>
  <si>
    <t>Avg. flue gas temp.</t>
  </si>
  <si>
    <r>
      <rPr>
        <sz val="10"/>
        <rFont val="Calibri"/>
        <family val="2"/>
      </rPr>
      <t>̊</t>
    </r>
    <r>
      <rPr>
        <sz val="10"/>
        <rFont val="Arial"/>
        <family val="2"/>
      </rPr>
      <t xml:space="preserve"> C</t>
    </r>
  </si>
  <si>
    <t>TPTCL Sale</t>
  </si>
  <si>
    <t>Yield to date (YTD)</t>
  </si>
  <si>
    <t>Total Sales</t>
  </si>
  <si>
    <t>Total sales YTD</t>
  </si>
  <si>
    <t>UI Mus</t>
  </si>
  <si>
    <t>UI Mus (MTD)</t>
  </si>
  <si>
    <t>UI Mus (YTD)</t>
  </si>
  <si>
    <t>UI Payable(-) /Receivable(+)</t>
  </si>
  <si>
    <t>Rs</t>
  </si>
  <si>
    <t>Rs(Lakh)</t>
  </si>
  <si>
    <t>UI Payable(-) /Receivable(+)(MTD)</t>
  </si>
  <si>
    <t>DM water consumption</t>
  </si>
  <si>
    <t>DM water production</t>
  </si>
  <si>
    <t>MT</t>
  </si>
  <si>
    <t>DM water make up</t>
  </si>
  <si>
    <t>Cum</t>
  </si>
  <si>
    <t>DM water received externally</t>
  </si>
  <si>
    <t>TPC CONSUMPTION PER DAY</t>
  </si>
  <si>
    <t>TPH</t>
  </si>
  <si>
    <t>Raw water Con/MWH</t>
  </si>
  <si>
    <t>Raw water Con for the Month</t>
  </si>
  <si>
    <t>Raw water Con/MWH(MTD)</t>
  </si>
  <si>
    <t>Raw water Con/MWH(YTD)</t>
  </si>
  <si>
    <t>Coke Productions</t>
  </si>
  <si>
    <t>T</t>
  </si>
  <si>
    <t>TATA STEEL SHUT DOWN ACTUAL</t>
  </si>
  <si>
    <t>Hrs</t>
  </si>
  <si>
    <t>Hrs.</t>
  </si>
  <si>
    <t>TATA STEEL SHUT DOWN PLANNED</t>
  </si>
  <si>
    <t>STATION PERFORMANCE GRAPHS</t>
  </si>
  <si>
    <t>UNIT WISE PERFORMANCE</t>
  </si>
  <si>
    <t>UNIT # 1</t>
  </si>
  <si>
    <t>for the day (As per ABT)</t>
  </si>
  <si>
    <t>for the day</t>
  </si>
  <si>
    <t>for the month (MTD)</t>
  </si>
  <si>
    <t>Maximum load</t>
  </si>
  <si>
    <t>Minimum load</t>
  </si>
  <si>
    <t>Average load</t>
  </si>
  <si>
    <t>Daily Running hours</t>
  </si>
  <si>
    <t>hrs</t>
  </si>
  <si>
    <t>Monthly Running hours</t>
  </si>
  <si>
    <t>YTD Running hours</t>
  </si>
  <si>
    <t xml:space="preserve">Unit Availability </t>
  </si>
  <si>
    <t>Steam Consumption of TG#1</t>
  </si>
  <si>
    <t>Mt</t>
  </si>
  <si>
    <t>Sp.Steam Consumption</t>
  </si>
  <si>
    <t>kg/kwh</t>
  </si>
  <si>
    <t>UNIT # 2</t>
  </si>
  <si>
    <t>for the month</t>
  </si>
  <si>
    <t>Steam Consumption of TG#2</t>
  </si>
  <si>
    <t>UNIT # 3</t>
  </si>
  <si>
    <t>For the Day (As per ABT)</t>
  </si>
  <si>
    <t>For the Day</t>
  </si>
  <si>
    <t>For the Month (MTD)</t>
  </si>
  <si>
    <t>Steam Consumption of TG#3</t>
  </si>
  <si>
    <t xml:space="preserve">                                                                            TOTALIZERS READINGS AT 07:00 HOURS </t>
  </si>
  <si>
    <t>MONTHLY</t>
  </si>
  <si>
    <t>BTG steam flow &amp; DM make up
(Totalizer)</t>
  </si>
  <si>
    <t>TG-1 (Steam Totalizer)</t>
  </si>
  <si>
    <t>TG-2 (Steam Totalizer)</t>
  </si>
  <si>
    <t>TG-3 (Steam Totalizer)</t>
  </si>
  <si>
    <t>BOILER  1-1 (Steam flow)</t>
  </si>
  <si>
    <t>BOILER  1-2 (Steam flow)</t>
  </si>
  <si>
    <t>BOILER  1-3 (Steam flow)</t>
  </si>
  <si>
    <t>BOILER  1-4 (Steam flow)</t>
  </si>
  <si>
    <t>BOILER  2-3 (Steam flow)</t>
  </si>
  <si>
    <t>BOILER  2-4 (Steam flow)</t>
  </si>
  <si>
    <t>BOILER  3-1 (Steam flow)</t>
  </si>
  <si>
    <t>BOILER  3-2 (Steam flow)</t>
  </si>
  <si>
    <t>BOILER  3-3 (Steam flow)</t>
  </si>
  <si>
    <t>BOILER  3-4 (Steam flow)</t>
  </si>
  <si>
    <t>BOILER  2-1 (Steam flow)</t>
  </si>
  <si>
    <t>BOILER  2-2 (Steam flow)</t>
  </si>
  <si>
    <t>BOILER  4-1 (Steam flow)</t>
  </si>
  <si>
    <t>BOILER  4-2 (Steam flow)</t>
  </si>
  <si>
    <t>BOILER  4-3 (Steam flow)</t>
  </si>
  <si>
    <t>BOILER  4-4 (Steam flow)</t>
  </si>
  <si>
    <t>Unit-1 hotwell make up</t>
  </si>
  <si>
    <t>Unit-2 hotwell make up</t>
  </si>
  <si>
    <t>Unit-3 hotwell make up</t>
  </si>
  <si>
    <t>Boiler fill pump flow</t>
  </si>
  <si>
    <t>Unit-1 condensate flow</t>
  </si>
  <si>
    <t>Unit-1 DM water flow</t>
  </si>
  <si>
    <t>Excess return to DM tank</t>
  </si>
  <si>
    <t>TG steam flow &amp;
DM make up (TPH)</t>
  </si>
  <si>
    <t>TG-1 (TPH)</t>
  </si>
  <si>
    <t>TG-2 (TPH)</t>
  </si>
  <si>
    <t>TG-3 (TPH)</t>
  </si>
  <si>
    <t>Unit-1 HW make up (TPH)</t>
  </si>
  <si>
    <t>Unit-2 HW make up (TPH)</t>
  </si>
  <si>
    <t>Unit-3 HW make up (TPH)</t>
  </si>
  <si>
    <t>Boiler fill pump flow (TPH)</t>
  </si>
  <si>
    <t>Unit-1 condensate flow (TPH)</t>
  </si>
  <si>
    <t>Unit-1 DM water flow (TPH)</t>
  </si>
  <si>
    <t>Excess return to DM tank (TPH)</t>
  </si>
  <si>
    <t>(Hotwell make up+Boiler Fill p/p make up) - (excess return)</t>
  </si>
  <si>
    <t>Raw water totalizer readings</t>
  </si>
  <si>
    <t>Raw water intake at reservior (old meter)</t>
  </si>
  <si>
    <t>Raw water intake at reservior (new meter)</t>
  </si>
  <si>
    <t>Raw water inlet flow (HDA billing meter)</t>
  </si>
  <si>
    <t>TPC Cons-1 (RWP flow) - old meter</t>
  </si>
  <si>
    <t>TPC Cons-1 (RWP flow) - new meter</t>
  </si>
  <si>
    <t>TPC Cons-2 (Direct forebay make up)</t>
  </si>
  <si>
    <t>TSL Cons - New meter (EM type) Local reading</t>
  </si>
  <si>
    <t>TSL Cons - New meter (EM type) DCS reading</t>
  </si>
  <si>
    <t>Forebay make up through RWP</t>
  </si>
  <si>
    <t>TPC fire water cons</t>
  </si>
  <si>
    <t>TSL fire water cons</t>
  </si>
  <si>
    <t>DM plant make up</t>
  </si>
  <si>
    <t>CW blow down</t>
  </si>
  <si>
    <t>Service Water Cons</t>
  </si>
  <si>
    <t>Raw water consumption
(M3/day)</t>
  </si>
  <si>
    <t>TSL Cons - new meter</t>
  </si>
  <si>
    <t>TSL Cons - DCS meter</t>
  </si>
  <si>
    <t>TPC fire water cons (EM)</t>
  </si>
  <si>
    <t>TSL fire water cons (EM)</t>
  </si>
  <si>
    <t>Raw water analysis</t>
  </si>
  <si>
    <t>Total TPC raw water cons</t>
  </si>
  <si>
    <t>Total TPC raw water cons (MTD)</t>
  </si>
  <si>
    <t>Total TPC raw water cons %</t>
  </si>
  <si>
    <t>Total TPC raw water cons % (MTD)</t>
  </si>
  <si>
    <t>Total TSL raw water cons</t>
  </si>
  <si>
    <t>Total TSL raw water cons (MTD)</t>
  </si>
  <si>
    <t>Total TSL raw water cons %</t>
  </si>
  <si>
    <t>Total TSL raw water cons % (MTD)</t>
  </si>
  <si>
    <t>Total raw water cons per day (TPC+TSL)</t>
  </si>
  <si>
    <t>Total raw water cons per day (TPC+TSL) - MTD</t>
  </si>
  <si>
    <t>Gap between billing meter - (total intake at reservoir + forebay)</t>
  </si>
  <si>
    <t>Gap between billing meter - (TPC cons + TSL cons)</t>
  </si>
  <si>
    <t>TPC make up (DM plant + RW to Forebay +Direct Forbay + TPC Fire water)</t>
  </si>
  <si>
    <t>TPC make up MTD</t>
  </si>
  <si>
    <t>Gap between TPC cons - Total make up</t>
  </si>
  <si>
    <t>CT evaporation loss</t>
  </si>
  <si>
    <t>Reservoir level down</t>
  </si>
  <si>
    <t>1.0 ft</t>
  </si>
  <si>
    <t>2.5 ft</t>
  </si>
  <si>
    <t>Specific Raw water consumption</t>
  </si>
  <si>
    <t>Parameters/Dates</t>
  </si>
  <si>
    <t>BOILER # 1-1</t>
  </si>
  <si>
    <t>Steam Generation</t>
  </si>
  <si>
    <t>TPD</t>
  </si>
  <si>
    <t>BOILER # 1-2</t>
  </si>
  <si>
    <t>BOILER # 1-3</t>
  </si>
  <si>
    <t>BOILER#1-4</t>
  </si>
  <si>
    <t>BOILER # 2-3</t>
  </si>
  <si>
    <t>BOILER # 2-4</t>
  </si>
  <si>
    <t>BOILER # 3-1</t>
  </si>
  <si>
    <t>BOILER # 3-2</t>
  </si>
  <si>
    <t>BOILER # 3-3</t>
  </si>
  <si>
    <t>BOILER # 3-4</t>
  </si>
  <si>
    <t>BOILER # 2-1</t>
  </si>
  <si>
    <t>BOILER # 2-2</t>
  </si>
  <si>
    <t>BOILER # 4-1</t>
  </si>
  <si>
    <t>BOILER # 4-2</t>
  </si>
  <si>
    <t>BOILER # 4-3</t>
  </si>
  <si>
    <t>BOILER# 4-4</t>
  </si>
  <si>
    <t>NOs</t>
  </si>
  <si>
    <t>Boilers partial/not available</t>
  </si>
  <si>
    <t>Avg running hr of partialy available Blr.</t>
  </si>
  <si>
    <t>Avg No of Boilers in service</t>
  </si>
  <si>
    <t>Nos</t>
  </si>
  <si>
    <t>day-2</t>
  </si>
  <si>
    <t>day-7</t>
  </si>
  <si>
    <t>Date</t>
  </si>
  <si>
    <t>Max Possible Generation  (MUs)</t>
  </si>
  <si>
    <t>Max Possible Generation (MUs) as per boiler availability</t>
  </si>
  <si>
    <t>Total Station Generation (MUs)</t>
  </si>
  <si>
    <t>Variance</t>
  </si>
  <si>
    <t>Variance due to FGT</t>
  </si>
  <si>
    <t>Reason for Variance</t>
  </si>
  <si>
    <t>rs</t>
  </si>
  <si>
    <t>mw</t>
  </si>
  <si>
    <t>MAIN
EQUIPMENTS*</t>
  </si>
  <si>
    <t>OUTAGE REASON</t>
  </si>
  <si>
    <t>OUTAGE 
HOURS</t>
  </si>
  <si>
    <t>OUTAGE 
SINCE</t>
  </si>
  <si>
    <t>REMARKS</t>
  </si>
  <si>
    <t>MAIN EQUIPMENTS* (Pump/Motor)</t>
  </si>
  <si>
    <t>CW PUMPs</t>
  </si>
  <si>
    <t>CEPs</t>
  </si>
  <si>
    <t>LOPs</t>
  </si>
  <si>
    <t>HOTWELL MAKE UP P/PS</t>
  </si>
  <si>
    <t>BOILER FILL P/PS</t>
  </si>
  <si>
    <t>BFPs</t>
  </si>
  <si>
    <t>ACW Pumps</t>
  </si>
  <si>
    <t>Booster Pumps</t>
  </si>
  <si>
    <t>ID Fans</t>
  </si>
  <si>
    <t>HPDPs</t>
  </si>
  <si>
    <t>CT FANS</t>
  </si>
  <si>
    <t>DATE/TIME OF 
OUTAGE</t>
  </si>
  <si>
    <t>MAIN
ASSET</t>
  </si>
  <si>
    <t>PLANNED(P)
/FORCED(F)</t>
  </si>
  <si>
    <t>LOAD DURING 
OUTAGE</t>
  </si>
  <si>
    <t xml:space="preserve">OUTAGE REASON </t>
  </si>
  <si>
    <t>DATE/TIME OF 
RESTORATION</t>
  </si>
  <si>
    <t>OUTAGE HOURS</t>
  </si>
  <si>
    <t>OUTAGE 
CAUSE FACTOR *</t>
  </si>
  <si>
    <t>Critical Equipment outage Hrs</t>
  </si>
  <si>
    <t>Sl.</t>
  </si>
  <si>
    <t>Equipment/Sysytem Description</t>
  </si>
  <si>
    <t>Priority</t>
  </si>
  <si>
    <t>Total Hrs(MTD)</t>
  </si>
  <si>
    <t>TG-1</t>
  </si>
  <si>
    <t>H</t>
  </si>
  <si>
    <t>GT-1</t>
  </si>
  <si>
    <t>WASTE HEAT RECOVERY BOILER 1-1</t>
  </si>
  <si>
    <t>INDUCED DRAUGHT FAN 1-1</t>
  </si>
  <si>
    <t>WASTE HEAT RECOVERY BOILER 1-2</t>
  </si>
  <si>
    <t>INDUCED DRAUGHT FAN 1-2</t>
  </si>
  <si>
    <t>WASTE HEAT RECOVERY BOILER 1-3</t>
  </si>
  <si>
    <t>INDUCED DRAUGHT FAN 1-3</t>
  </si>
  <si>
    <t>WASTE HEAT RECOVERY BOILER 1-4</t>
  </si>
  <si>
    <t>INDUCED DRAUGHT FAN 1-4</t>
  </si>
  <si>
    <t>WASTE HEAT RECOVERY BOILER 2-3</t>
  </si>
  <si>
    <t>INDUCED DRAUGHT FAN 2-3</t>
  </si>
  <si>
    <t>WASTE HEAT RECOVERY BOILER 2-4</t>
  </si>
  <si>
    <t>INDUCED DRAUGHT FAN 2-4</t>
  </si>
  <si>
    <t>CONDENSER-1</t>
  </si>
  <si>
    <t>DEAERATOR-1</t>
  </si>
  <si>
    <t>MAIN OIL TANK-1</t>
  </si>
  <si>
    <t>TG-2</t>
  </si>
  <si>
    <t>GT-2</t>
  </si>
  <si>
    <t>WASTE HEAT RECOVERY BOILER 2-1</t>
  </si>
  <si>
    <t>INDUCED DRAUGHT FAN 2-1</t>
  </si>
  <si>
    <t>WASTE HEAT RECOVERY BOILER 2-2</t>
  </si>
  <si>
    <t>INDUCED DRAUGHT FAN 2-2</t>
  </si>
  <si>
    <t>WASTE HEAT RECOVERY BOILER 3-1</t>
  </si>
  <si>
    <t>INDUCED DRAUGHT FAN 3-1</t>
  </si>
  <si>
    <t>WASTE HEAT RECOVERY BOILER 3-2</t>
  </si>
  <si>
    <t>INDUCED DRAUGHT FAN 3-2</t>
  </si>
  <si>
    <t>WASTE HEAT RECOVERY BOILER 3-3</t>
  </si>
  <si>
    <t>INDUCED DRAUGHT FAN 3-3</t>
  </si>
  <si>
    <t>WASTE HEAT RECOVERY BOILER 3-4</t>
  </si>
  <si>
    <t>INDUCED DRAUGHT FAN 3-4</t>
  </si>
  <si>
    <t>CONDENSER-2</t>
  </si>
  <si>
    <t>DEAERATOR-2</t>
  </si>
  <si>
    <t>MAIN OIL TANK-2</t>
  </si>
  <si>
    <t>TG-3</t>
  </si>
  <si>
    <t>GT-3</t>
  </si>
  <si>
    <t>WASTE HEAT RECOVERY BOILER 4-1</t>
  </si>
  <si>
    <t>INDUCED DRAUGHT FAN 4-1</t>
  </si>
  <si>
    <t>WASTE HEAT RECOVERY BOILER 4-2</t>
  </si>
  <si>
    <t>INDUCED DRAUGHT FAN 4-2</t>
  </si>
  <si>
    <t>WASTE HEAT RECOVERY BOILER 4-3</t>
  </si>
  <si>
    <t>INDUCED DRAUGHT FAN 4-3</t>
  </si>
  <si>
    <t>WASTE HEAT RECOVERY BOILER 4-4</t>
  </si>
  <si>
    <t>INDUCED DRAUGHT FAN 4-4</t>
  </si>
  <si>
    <t>CONDENSER-3</t>
  </si>
  <si>
    <t>DEAERATOR-3</t>
  </si>
  <si>
    <t>MAIN OIL TANK-3</t>
  </si>
  <si>
    <t>DG Set</t>
  </si>
  <si>
    <t>DCS Max DNA</t>
  </si>
  <si>
    <t>DCS Rockwell</t>
  </si>
  <si>
    <t>132KV Circuit-1</t>
  </si>
  <si>
    <t>132KV Circuit-2</t>
  </si>
  <si>
    <t>132KV Busbar A</t>
  </si>
  <si>
    <t>M</t>
  </si>
  <si>
    <t>132KV Busbar B</t>
  </si>
  <si>
    <t>BOILER FEED PUMP-1A</t>
  </si>
  <si>
    <t>BOILER FEED PUMP-1B</t>
  </si>
  <si>
    <t>BOILER FEED PUMP-1C</t>
  </si>
  <si>
    <t>EMERGENCY OIL PUMP-1</t>
  </si>
  <si>
    <t>CONDENSATE EXTRACTION PUMP-1A</t>
  </si>
  <si>
    <t>CONDENSATE EXTRACTION PUMP-1B</t>
  </si>
  <si>
    <t>AUXILLIARY COOLING WATER PUMP-1A</t>
  </si>
  <si>
    <t>AUXILLIARY COOLING WATER PUMP-1B</t>
  </si>
  <si>
    <t>BOOSTER PUMP-1A</t>
  </si>
  <si>
    <t>BOOSTER PUMP-1B</t>
  </si>
  <si>
    <t>MAIN OIL PUMP-1</t>
  </si>
  <si>
    <t>AUXILLIARY OIL PUMP-1</t>
  </si>
  <si>
    <t>DC JOP-1</t>
  </si>
  <si>
    <t>BOILER FEED PUMP-2A</t>
  </si>
  <si>
    <t>BOILER FEED PUMP-2B</t>
  </si>
  <si>
    <t>BOILER FEED PUMP-2C</t>
  </si>
  <si>
    <t>EMERGENCY OIL PUMP-2</t>
  </si>
  <si>
    <t>CONDENSATE EXTRACTION PUMP-2A</t>
  </si>
  <si>
    <t>CONDENSATE EXTRACTION PUMP-2B</t>
  </si>
  <si>
    <t>AUXILLIARY COOLING WATER PUMP-2A</t>
  </si>
  <si>
    <t>AUXILLIARY COOLING WATER PUMP-2B</t>
  </si>
  <si>
    <t>BOOSTER PUMP-2A</t>
  </si>
  <si>
    <t>BOOSTER PUMP-2B</t>
  </si>
  <si>
    <t>MAIN OIL PUMP-2</t>
  </si>
  <si>
    <t>AUXILLIARY OIL PUMP-2</t>
  </si>
  <si>
    <t>DC JOP-2</t>
  </si>
  <si>
    <t>BOILER FEED PUMP-3A</t>
  </si>
  <si>
    <t>BOILER FEED PUMP-3B</t>
  </si>
  <si>
    <t>BOILER FEED PUMP-3C</t>
  </si>
  <si>
    <t>EMERGENCY OIL PUMP-3</t>
  </si>
  <si>
    <t>CONDENSATE EXTRACTION PUMP-3A</t>
  </si>
  <si>
    <t>CONDENSATE EXTRACTION PUMP-3B</t>
  </si>
  <si>
    <t>AUXILLIARY COOLING WATER PUMP-3A</t>
  </si>
  <si>
    <t>AUXILLIARY COOLING WATER PUMP-3B</t>
  </si>
  <si>
    <t>BOOSTER PUMP-3A</t>
  </si>
  <si>
    <t>BOOSTER PUMP-3B</t>
  </si>
  <si>
    <t>MAIN OIL PUMP-3</t>
  </si>
  <si>
    <t>AUXILLIARY OIL PUMP-3</t>
  </si>
  <si>
    <t>DC JOP-3</t>
  </si>
  <si>
    <t>Air Compressor-A</t>
  </si>
  <si>
    <t>Air Compressor-B</t>
  </si>
  <si>
    <t>Air Compressor-C</t>
  </si>
  <si>
    <t>COOLING WATER PUMP-A</t>
  </si>
  <si>
    <t>COOLING WATER PUMP-B</t>
  </si>
  <si>
    <t>COOLING WATER PUMP-C</t>
  </si>
  <si>
    <t>COOLING WATER PUMP-D</t>
  </si>
  <si>
    <t>COOLING TOWER-1</t>
  </si>
  <si>
    <t>COOLING TOWER-2</t>
  </si>
  <si>
    <t>COOLING TOWER-3</t>
  </si>
  <si>
    <t>COOLING TOWER-4</t>
  </si>
  <si>
    <t>COOLING TOWER-5</t>
  </si>
  <si>
    <t>COOLING TOWER-6</t>
  </si>
  <si>
    <t>COOLING TOWER-7</t>
  </si>
  <si>
    <t>COOLING TOWER-8</t>
  </si>
  <si>
    <t>RAW WATER MAKE-UP PUMP-1</t>
  </si>
  <si>
    <t>RAW WATER MAKE-UP PUMP-2</t>
  </si>
  <si>
    <t>RAW WATER MAKE-UP PUMP-3</t>
  </si>
  <si>
    <t>RAW WATER MAKE-UP PUMP-4</t>
  </si>
  <si>
    <t>FIRE WATER EMERGENCY DIESEL PUMP-1</t>
  </si>
  <si>
    <t>FIRE WATER EMERGENCY DIESEL PUMP-2</t>
  </si>
  <si>
    <t>ST-1</t>
  </si>
  <si>
    <t>ST-2</t>
  </si>
  <si>
    <t>SST-1</t>
  </si>
  <si>
    <t>SST-2</t>
  </si>
  <si>
    <t>SST-3</t>
  </si>
  <si>
    <t>SST-4</t>
  </si>
  <si>
    <t>BAT-1</t>
  </si>
  <si>
    <t>BAT-2</t>
  </si>
  <si>
    <t>BAT-3</t>
  </si>
  <si>
    <t>BAT-4</t>
  </si>
  <si>
    <t>RWPT-1</t>
  </si>
  <si>
    <t>RWPT-2</t>
  </si>
  <si>
    <t xml:space="preserve">TG UPS-1 </t>
  </si>
  <si>
    <t xml:space="preserve">TG UPS-2 </t>
  </si>
  <si>
    <t xml:space="preserve">BMCC-1 UPS-1 </t>
  </si>
  <si>
    <t xml:space="preserve">BMCC-1 UPS-2 </t>
  </si>
  <si>
    <t xml:space="preserve">BMCC-2 UPS-1 </t>
  </si>
  <si>
    <t xml:space="preserve">BMCC-2 UPS-2 </t>
  </si>
  <si>
    <t>AC JOP-1</t>
  </si>
  <si>
    <t>L</t>
  </si>
  <si>
    <t>AC JOP-2</t>
  </si>
  <si>
    <t>AC JOP-3</t>
  </si>
  <si>
    <t>FIRE WATER ELECTRIC PUMP-1</t>
  </si>
  <si>
    <t>FIRE WATER ELECTRIC PUMP-2</t>
  </si>
  <si>
    <t>FIRE WATER ELECTRIC PUMP-3</t>
  </si>
  <si>
    <t>FIRE WATER JOCKEY PUMP-1</t>
  </si>
  <si>
    <t>FIRE WATER JOCKEY PUMP-2</t>
  </si>
  <si>
    <t>HOT WELL MAKE UP PUMP-1</t>
  </si>
  <si>
    <t>HOT WELL MAKE UP PUMP-2</t>
  </si>
  <si>
    <t>HOT WELL MAKE UP PUMP-3</t>
  </si>
  <si>
    <t>HOT WELL MAKE UP PUMP-4</t>
  </si>
  <si>
    <t>BOILER FILL PUMP-1</t>
  </si>
  <si>
    <t>BOILER FILL PUMP-2</t>
  </si>
  <si>
    <t>Non Critical Equipment outage Hrs</t>
  </si>
  <si>
    <t>CW BLOW DOWN PUMP-1</t>
  </si>
  <si>
    <t>CW BLOW DOWN PUMP-2</t>
  </si>
  <si>
    <t>CW BLOW DOWN PUMP-3</t>
  </si>
  <si>
    <t>CW BLOW DOWN PUMP-4</t>
  </si>
  <si>
    <t>PSSF-1 Running Hrs</t>
  </si>
  <si>
    <t>PSSF-2 Running Hrs</t>
  </si>
  <si>
    <t>PSSF-3 Running Hrs</t>
  </si>
  <si>
    <t>PSSF-4 Running Hrs</t>
  </si>
  <si>
    <t>Chlorination System running Hrs.</t>
  </si>
  <si>
    <t>AIR DRYER-1</t>
  </si>
  <si>
    <t>AIR DRYER-2</t>
  </si>
  <si>
    <t>UNIT # 1 PERFORMANCE GRAPHS</t>
  </si>
  <si>
    <t>UNIT # 2 PERFORMANCE GRAPHS</t>
  </si>
  <si>
    <t>UNIT # 3 PERFORMANCE GRAPHS</t>
  </si>
  <si>
    <t>Base Data</t>
  </si>
  <si>
    <t>Last Three Months Data</t>
  </si>
  <si>
    <t>% Compliance</t>
  </si>
  <si>
    <t>PLF</t>
  </si>
  <si>
    <t>Availability</t>
  </si>
  <si>
    <t>Target</t>
  </si>
  <si>
    <t>Actual</t>
  </si>
  <si>
    <t>APC</t>
  </si>
  <si>
    <t>Sales</t>
  </si>
  <si>
    <t>TPTCL Sales</t>
  </si>
  <si>
    <t>APC(%)</t>
  </si>
  <si>
    <t>DM water Cons</t>
  </si>
  <si>
    <t>Department :  Haldia Operations</t>
  </si>
  <si>
    <t>Month Year</t>
  </si>
  <si>
    <t>Working days</t>
  </si>
  <si>
    <t>Date of April-18</t>
  </si>
  <si>
    <t>Measure Owner: JMR Group</t>
  </si>
  <si>
    <t>Current Status</t>
  </si>
  <si>
    <t>Compliance &gt;= 90%</t>
  </si>
  <si>
    <t>OK</t>
  </si>
  <si>
    <t>Upper Band</t>
  </si>
  <si>
    <t>80% &lt; Compliance &lt; 90%</t>
  </si>
  <si>
    <t>Alarm</t>
  </si>
  <si>
    <t>Lower Band</t>
  </si>
  <si>
    <t>Compliance &lt;= 80%</t>
  </si>
  <si>
    <t>Not OK</t>
  </si>
  <si>
    <t>Frequency of Review: Daily</t>
  </si>
  <si>
    <t>Date of Dec-14</t>
  </si>
  <si>
    <t>Date of Oct-12</t>
  </si>
  <si>
    <t>Date of June-18</t>
  </si>
  <si>
    <t>1st</t>
  </si>
  <si>
    <t>2nd</t>
  </si>
  <si>
    <t>Date of deviation</t>
  </si>
  <si>
    <t>KPI affected (mark Red)</t>
  </si>
  <si>
    <t>Abnormality /Deviations</t>
  </si>
  <si>
    <t>Root Cause</t>
  </si>
  <si>
    <t>Action Plan</t>
  </si>
  <si>
    <t>Responsibility</t>
  </si>
  <si>
    <t>Target Date</t>
  </si>
  <si>
    <t>Completion date</t>
  </si>
  <si>
    <t>Remarks</t>
  </si>
  <si>
    <t>KPIs</t>
  </si>
  <si>
    <t>Since Inception</t>
  </si>
  <si>
    <t>FY'23 Best</t>
  </si>
  <si>
    <t>Generation in MUs</t>
  </si>
  <si>
    <t> 2.855 (27th Feb’23)</t>
  </si>
  <si>
    <t>APC in %</t>
  </si>
  <si>
    <t> 6.72 (15th FEB’23)</t>
  </si>
  <si>
    <t>2.01 (26th DEC’22) </t>
  </si>
  <si>
    <t>Absolute RW consumption in  M³</t>
  </si>
  <si>
    <t xml:space="preserve">1. Tata Power </t>
  </si>
  <si>
    <t>FY'24</t>
  </si>
  <si>
    <t>1.83 on 28th June'23</t>
  </si>
  <si>
    <t>3413 M³ on 2nd August'23</t>
  </si>
  <si>
    <t>Sp RW consumption in %</t>
  </si>
  <si>
    <t>186460+AG+AF29:AF38</t>
  </si>
  <si>
    <t>FY'24 Best</t>
  </si>
  <si>
    <t> 2.860 (29th March’23)</t>
  </si>
  <si>
    <t> 6.72 (15th Feb’23)</t>
  </si>
  <si>
    <t>6.46  (29th Dec'23)</t>
  </si>
  <si>
    <t>Jan'24</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</si>
  <si>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</si>
  <si>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</si>
  <si>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</si>
  <si>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</si>
  <si>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</si>
  <si>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</si>
  <si>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</si>
  <si>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</si>
  <si>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</si>
  <si>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</si>
  <si>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</si>
  <si>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</si>
  <si>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</si>
  <si>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</si>
  <si>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</si>
  <si>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</si>
  <si>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</si>
  <si>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</si>
  <si>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</si>
  <si>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</si>
  <si>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</si>
  <si>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</si>
  <si>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</si>
  <si>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</si>
  <si>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</si>
  <si>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</si>
  <si>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</si>
  <si>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</si>
  <si>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31st</t>
  </si>
  <si>
    <t> 2.927 (11th Feb'24)</t>
  </si>
  <si>
    <t>2.927 Mus on 11th Feb'24</t>
  </si>
  <si>
    <t>Max Load</t>
  </si>
  <si>
    <t>Min Load</t>
  </si>
  <si>
    <t xml:space="preserve"> </t>
  </si>
  <si>
    <t>Feb'24</t>
  </si>
  <si>
    <t>March'24</t>
  </si>
  <si>
    <t>April-2024      Doc.No-TPCL/IMS/OPN/REP/R001</t>
  </si>
  <si>
    <t xml:space="preserve">  HALDIA DAILY STATION REPORT -April'24</t>
  </si>
  <si>
    <t>Target (April'24)</t>
  </si>
  <si>
    <t>TG  Availability</t>
  </si>
  <si>
    <t>Generation Availability</t>
  </si>
  <si>
    <t>Unit-1 Boilers fully available</t>
  </si>
  <si>
    <t>Unit-2 Boilers fully available</t>
  </si>
  <si>
    <t>Unit-3 Boilers fully available</t>
  </si>
  <si>
    <t xml:space="preserve">Generation Availability </t>
  </si>
  <si>
    <t xml:space="preserve"> Boilers fully available</t>
  </si>
  <si>
    <t>Unit# 1 Boilers</t>
  </si>
  <si>
    <t>Unit# 2 Boilers</t>
  </si>
  <si>
    <t>Unit# 3 Boilers</t>
  </si>
  <si>
    <t xml:space="preserve">TG Availability </t>
  </si>
  <si>
    <t>F</t>
  </si>
  <si>
    <t>Unit  Boilers</t>
  </si>
  <si>
    <t>Unit # 1 Generation Availability as per ABP -99.72 %</t>
  </si>
  <si>
    <t>Unit # 3 Generation Availability as per ABP -99.72 %</t>
  </si>
  <si>
    <t> 6.46 (29th Dec’23)</t>
  </si>
  <si>
    <t>FY'25</t>
  </si>
  <si>
    <t>FY'25 Best</t>
  </si>
  <si>
    <t>BOILER FILL P/P-1</t>
  </si>
  <si>
    <t>Feeder Side CT replacement.</t>
  </si>
  <si>
    <t>16.04.24 15:00hr.</t>
  </si>
  <si>
    <t>1.5hr</t>
  </si>
  <si>
    <t>Job completed taken in service at16:30hr.</t>
  </si>
  <si>
    <t xml:space="preserve">  HALDIA DAILY STATION REPORT May'24</t>
  </si>
  <si>
    <t>Unit # 1 Generation as per AOP -30.04 MU's</t>
  </si>
  <si>
    <t>Unit # 1 Plant Load Factor as per ABP -96.13 %</t>
  </si>
  <si>
    <t>Unit # 2 Generation as per AOP -30.04 MU's</t>
  </si>
  <si>
    <t>Unit # 2 Plant Load Factor as per AOP -96.13 %</t>
  </si>
  <si>
    <t>Unit # 3 Generation as per AOP -20.03 MU's</t>
  </si>
  <si>
    <t>Unit # 3 Plant Load Factor as per AOP - 96.13 %</t>
  </si>
  <si>
    <t>All three units TG tripped at 20:37 Hr. (01.05.24) due to both 132 KV circuits tripped on distance protection operated at adverse weather condition comprising severe thunderstorm</t>
  </si>
  <si>
    <t>ASSET OUTAGE HISTORY OF THE MONTH -May'24</t>
  </si>
  <si>
    <t>01/05/24   20:37 Hr.</t>
  </si>
  <si>
    <t>Unit 1 TG</t>
  </si>
  <si>
    <t>Unit 2 TG</t>
  </si>
  <si>
    <t>TG tripped at 20:37 Hr. (01.05.24) due to both 132 KV circuits tripped on distance protection operated  at adverse weather condition comprising severe</t>
  </si>
  <si>
    <t>02/05/24   03:37 Hr.</t>
  </si>
  <si>
    <t>02/05/24   01:43 Hr.</t>
  </si>
  <si>
    <t>02/05/24   01:10 Hr.</t>
  </si>
  <si>
    <t>REMARKS FOR THE MONTH May-24</t>
  </si>
  <si>
    <t>01.05.2024</t>
  </si>
  <si>
    <t xml:space="preserve">All three units TG tripped at 20:37 Hr. (01.05.24) due to both 132 KV circuits tripped on distance protection operated. </t>
  </si>
  <si>
    <t xml:space="preserve"> All three units TG are synchronized - Unit-1 at 01:10 Hr, Unit-2 at 01:43 Hr and Unit-3 at 03:37 Hr on 02.05.24.</t>
  </si>
  <si>
    <t>HALDIA DAILY STATION REPORT -May'24</t>
  </si>
  <si>
    <t>1) TG Unit - 1,2 &amp; 3 average load were 37.86 MW, 36.02 MW, &amp;  25.3 MW  respectively with 16 Boilers in service.(2) Average Flue gas temperature was 985ºC. Row wise temp were 974ºC,996ºC, 954ºC and 1014ºC respectively. (3) Chlorination plant was in stopped condition. (4) Boiler 1-3 soot blowing was done. (5) All three units TG tripped at 20:37 Hr. (01.05.24) due to both 132 KV circuits tripped on distance protection operated at adverse weather condition comprising severe thunderstorm. All three units TG are synchronized - Unit-1 at 01:10 Hr, Unit-2 at 01:43 Hr and Unit-3 at 03:37 Hr on 02.05.24.</t>
  </si>
  <si>
    <t>EQUIPMENT OUTAGE HISTORY OF THE MONTH May'24</t>
  </si>
  <si>
    <t>1) TG Unit - 1,2 &amp; 3 average load were 37.66 MW, 35.13 MW, &amp;  23.4 MW  respectively with 16 Boilers in service.(2) Average Flue gas temperature was 984ºC. Row wise temp were 972ºC,1003ºC, 955ºC and 1007ºC respectively. TSL end 40 hours planned shutdown is started and continued.(3) Chlorination plant was in stopped condition. (4) CBD was given in the boilers as per CHM communication. (5) All three units TG tripped at 20:37 Hr. (01.05.24) due to both 132 KV circuits tripped on distance protection operated at adverse weather condition comprising severe thunderstorm. All three units TG are synchronized - Unit-1 at 01:10 Hr, Unit-2 at 01:43 Hr and Unit-3 at 03:37 Hr on 02.05.24.(6) Dry type SSt-3 was checked by EMD; its breaker checking &amp; rectification was done. (7) U-1 lub oil filter (B to A)was replaced by MMD.</t>
  </si>
  <si>
    <t>02.05.2024</t>
  </si>
  <si>
    <t>Target Station Generation as per AOP -81.1 MU's</t>
  </si>
  <si>
    <t>Target Station Plant Load Factor as per AOP -97.3 %</t>
  </si>
  <si>
    <t>Target Station Aux Power Consumption as per AOP -7.07%</t>
  </si>
  <si>
    <t>Target Generation Availability as per ABP -99.7 %</t>
  </si>
  <si>
    <t>Row-4 shutdown of 38.5 Hrs.</t>
  </si>
  <si>
    <t>1) TG Unit - 1,2 &amp; 3 average load were 39.55 MW, 35.13 MW, &amp;  24.6 MW  respectively with 16 Boilers in service.(2) Average Flue gas temperature was 977ºC. Row wise temp were 975ºC,999ºC, 972ºC and 960ºC respectively. TSL end 40 hours planned shutdown is started and ended at 38.5 Hrs.(3) Chlorination plant was in stopped condition. (4) CBD was given in the boilers as per CHM communication. (5) 132 KV CKT I&amp;II outages were taken one by one for the maintenance job done by WBSETCL. (6) CT Fan 1&amp;5 blade angle were increased by  MMD. (7) U-2 HP dumping spray control valve feedback problem and valve opening issued were rectified by IMD.</t>
  </si>
  <si>
    <t>03.05.2024</t>
  </si>
  <si>
    <t>Row-4 shutdown of 40 hours planned</t>
  </si>
  <si>
    <t>Target Sales to TPTCL as per AOP - 75.4MU's</t>
  </si>
  <si>
    <t>04.05.2024</t>
  </si>
  <si>
    <t>Post effect of  40 hour Row-4 shutdown.</t>
  </si>
  <si>
    <t>05.05.2024</t>
  </si>
  <si>
    <t xml:space="preserve">1) TG Unit - 1,2 &amp; 3 average load were 39.71 MW, 33.38 MW, &amp;  27.79 MW  respectively with 16 Boilers in service.(2) Average Flue gas temperature was 966ºC. Row wise temp were 969ºC,996ºC, 986ºC and 913ºC respectively. (3) Chlorination plant was in stopped condition. (4) CBD was given in the boilers as per CHM communication. (5) Boiler 2-2 soot blowing done. (6) CT Fan 3 blade angle were increased by  MMD. </t>
  </si>
  <si>
    <t>1) TG Unit - 1,2 &amp; 3 average load were 36.17 MW, 39.79 MW, &amp; 27.79 MW respectively with 16 Boilers in service.(2) Average Flue gas temperature was 967ºC. Row wise temp were 982ºC,994ºC, 973ºC and 919ºC respectively.  (3) Chlorination plant was in stopped condition. (4)  All three units' EOP trial were taken &amp; found ok.(5) Unit-1 oil pump change over was done from AOP-1 to MOP-1 as per schedule changeover.(6) Boiler 3-2 soot blowing was done.(7) Satellite phone trial was taken &amp; found ok. (8) Diesel Fire Water pump-2 radiator cooling coil leakage was arrested; trial run was taken &amp; found ok.</t>
  </si>
  <si>
    <t>1) TG Unit - 1,2 &amp; 3 average load were 40.03 MW, 40.75 MW, &amp; 27.9 MW respectively with 16 Boilers in service.(2) Average Flue gas temperature was 958ºC. Row wise temp were 979ºC,982ºC, 980ºC and 890ºC respectively.  (3) Chlorination plant was in stopped condition. (4)  Raw water flow meter at DM plant has replaced.(5) Service water line leakage at TG 22 meter has arrested by MMD.(6) Boiler 1-4 soot blowing was done.</t>
  </si>
  <si>
    <t>06.05.2024</t>
  </si>
  <si>
    <t>Post affect Row-4 shutdown of 38.5 Hrs.</t>
  </si>
  <si>
    <t>1) TG Unit - 1,2 &amp; 3 average load were 42.87 MW, 42.71 MW, &amp; 28.0 MW respectively with 16 Boilers in service.(2) Average Flue gas temperature was 962ºC. Row wise temp were 973ºC,988ºC, 979ºC and 907ºC respectively.  (3) Chlorination plant was in stopped condition. (4) AHU-3 starting problem rectified by EMD.(5) GT-2 cooling fan-7 tripping issue rectified by EMD.(6) Boiler 2-1 soot blowing was done.</t>
  </si>
  <si>
    <t>07.05.2024</t>
  </si>
  <si>
    <t>Row-3 was under shutdown for 15.2 Hrs.</t>
  </si>
  <si>
    <t>08.05.2024</t>
  </si>
  <si>
    <t>Draft restriction Post Row-3  shutdown for 15.2 Hrs. Row-4 pushing was stopped for 3 hours.</t>
  </si>
  <si>
    <t>09.05.2024</t>
  </si>
  <si>
    <t>10.05.2024</t>
  </si>
  <si>
    <t>11.05.2024</t>
  </si>
  <si>
    <t>1) TG Unit - 1,2 &amp; 3 average load were 43.63 MW, 42.71 MW, &amp; 28.63 MW respectively with 16 Boilers in service.(2) Average Flue gas temperature was 977ºC. Row wise temp were 990ºC,1015ºC, 918ºC and 984ºC respectively.  (3) Chlorination plant was in stopped condition. (4) Row-1 all Boiler HPDP-2 PM were done by MMD. (5) CBD opening was done as percommunications received from CHM. (6) Boiler 2-3 soot blowing was done.</t>
  </si>
  <si>
    <t>1) TG Unit - 1,2 &amp; 3 average load were 43.92 MW, 41.42 MW, &amp; 28.42 MW respectively with 16 Boilers in service.(2) Average Flue gas temperature was 972ºC. Row wise temp were 995ºC,1010ºC, 908ºC and 977ºC respectively.  (3) Chlorination plant was in stopped condition. (4) Booster pump-2B PM was done by EMD and MMD; trial run was taken and found ok. (5) CBD opening was done as per communications received from CHM. (6) Boiler 4-3 soot blowing was done.(7) DC lights checking done. (8) CW pump B &amp;D rotation checking done.</t>
  </si>
  <si>
    <t>1) TG Unit - 1,2 &amp; 3 average load were 41.55 MW, 39.96 MW, &amp; 28.4 MW respectively with 16 Boilers in service.(2) Average Flue gas temperature was 966ºC. Row wise temp were 978ºC,998ºC, 924ºC and 963ºC respectively. Row-4 was under shutdown for 3 hours. (3) Chlorination plant was in stopped condition. (4) Booster pump-1B PM was done by EMD; trial run was taken and found ok. (5) CBD opening was done as per communications received from CHM. (6) Drier-2 is in service after maintenance job done by MMD.</t>
  </si>
  <si>
    <t>1) TG Unit - 1,2 &amp; 3 average load were 42.87 MW, 41.67 MW, &amp; 28.4 MW respectively with 16 Boilers in service.(2) Average Flue gas temperature was 979ºC. Row wise temp were 992ºC,997ºC, 973ºC and 955ºC respectively. Row-3 was under shutdown for 15.17 hours. (3) Chlorination plant was in stopped condition. (4) Boiler 2-4 soot blowing was done. (5) Equipment changeover was done as per schedule. (6) Diesel engine fire water pump-2 battery clamp was replaced by EMD; trial run was taken and found ok.(7) CBD opening was done as per communications received from CHM. (8) PMCC-1 new dewatering pump was installed. (9) Near miss incident was happened in PMCC-1. (10) IAC-C was made available after required maintenance job by MMD.(11) U-1 DC JOP PM was done by EMD.</t>
  </si>
  <si>
    <t>12.05.2024</t>
  </si>
  <si>
    <t>1) TG Unit - 1,2 &amp; 3 average load were 44.38 MW, 44.08 MW, &amp; 28.42 MW respectively with 16 Boilers in service.(2) Average Flue gas temperature was 982ºC. Row wise temp were 985ºC,1006ºC, 945ºC and 993ºC respectively.  (3) Chlorination plant was in stopped condition. (4)  All three units' EOP trial were taken through pressure switch &amp; found ok.(5) Boiler 4-2 soot blowing was done.(6) Satellite phone trial was taken &amp; found ok. (6) Boiler 1-4 ID Fan inlet duct line air ingress point was arrested by MMD.</t>
  </si>
  <si>
    <t>13.05.2024</t>
  </si>
  <si>
    <t xml:space="preserve">1) TG Unit - 1,2 &amp; 3 average load were 44.97 MW, 45.92 MW, &amp; 29.4 MW respectively with 16 Boilers in service.(2) Average Flue gas temperature was 1002ºC. Row wise temp were 1011ºC,1027ºC, 975ºC and 995ºC respectively.  (3) Chlorination plant was in stopped condition. (4) Fire water pump-1 discharge valve replacement job along with fire water related defects has rectified by MMD.(5) Boiler 4-1, 4-2 and 4-3 HPDP-2 PM job done by MMD. </t>
  </si>
  <si>
    <t>Row #3 Shutdown for 1 hrs.</t>
  </si>
  <si>
    <t>14.05.2024</t>
  </si>
  <si>
    <t>15.05.2024</t>
  </si>
  <si>
    <t>1) TG Unit - 1,2 &amp; 3 average load were 45.25 MW, 45.96 MW, &amp; 29.25 MW respectively with 16 Boilers in service.(2) Average Flue gas temperature was 1011ºC. Row wise temp were 1001ºC,1022ºC, 993ºC and 1027ºC respectively.  (3) Chlorination plant was in stopped condition.  (4). DG trial run taken.(5) Boiler 3-1 sootblowing done.(5) Boiler 4-1, 4-3 HPDP-1&amp; Boiler 4-4 HPDP-2 PM job done by MMD.</t>
  </si>
  <si>
    <t>Row-4 was under shutdown for 5 Hrs.</t>
  </si>
  <si>
    <t>16.05.2024</t>
  </si>
  <si>
    <t>2.904 Mus on 15th May'24</t>
  </si>
  <si>
    <t>6.62% on 15th May'24</t>
  </si>
  <si>
    <t>1) TG Unit - 1,2 &amp; 3 average load were 44.79 MW, 45.79 MW, &amp; 29.3 MW respectively with 16 Boilers in service.(2) Average Flue gas temperature was 1013ºC. Row wise temp were 1012ºC,1037ºC, 997ºC and 1007ºC respectively. Row-4 was under hsutdown for 5 hours due to low coking hours. (3) Chlorination plant was in stopped condition.  (4). Boiler 4-3 LRSB-3 after isolation valve leakage was arrested by MMD. (5) Boiler 1-3 EBD line passing was arrested by MMD.</t>
  </si>
  <si>
    <t>1) TG Unit - 1,2 &amp; 3 average load were 43.67 MW, 44.67 MW, &amp; 29.3 MW respectively with 16 Boilers in service.(2) Average Flue gas temperature was 993ºC. Row wise temp were 991ºC,1019ºC, 976ºC and 986ºC respectively. Row- 3 &amp; 4 were under hsutdown for 1hour due to low incoming power supply problem. (3) Chlorination plant was in stopped condition.  (4). Boiler 1-3 soot blowing was done. (5) Booster pump 3A feeder end R-ph burning issue was rectified by EMD; trial run was taken and found ok. (6) U-2 condenser LHS saw dust charging was done to control the seepage. (7) Standby CW pumps shaft freeness were checked and found ok. (7) TG Building and MRSS DC lamp testing was done.</t>
  </si>
  <si>
    <t>17.05.2024</t>
  </si>
  <si>
    <t>1) TG Unit - 1,2 &amp; 3 average load were 43.67 MW, 44.67 MW, &amp; 29.3 MW respectively with 16 Boilers in service.(2) Average Flue gas temperature was 993ºC. Row wise temp were 991ºC,1009ºC, 976ºC and 986ºC respectively. Row- 3 &amp; 4 were under hsutdown for 1hour due to low incoming power supply problem. (3) Chlorination plant was in stopped condition.  (4). Boiler 1-3 soot blowing was done. (5) Booster pump 3A feeder end R-ph burning issue was rectified by EMD; trial run was taken and found ok. (6) U-2 Generator main exciter side sound observed.. (7) Standby CW pumps shaft freeness were checked and found ok. (7) TG Building and MRSS DC lamp testing was done.</t>
  </si>
  <si>
    <t>18.05.2024</t>
  </si>
  <si>
    <t>1) TG Unit - 1,2 &amp; 3 average load were 44.08 MW, 44.88 MW, &amp; 29.33 MW respectively with 16 Boilers in service.(2) Average Flue gas temperature was 1006ºC. Row wise temp were 1003ºC,1018ºC, 99'6ºC and 1005ºC respectively. (3) Chlorination plant was in stopped condition.  (4). Compressor-C oil leakage was arrested by MMD. (5) Boiler 1-2 soot blowing was done. (6) CW Pump B &amp; D rotation checking done.</t>
  </si>
  <si>
    <t>19.05.2024</t>
  </si>
  <si>
    <t>20.05.2024</t>
  </si>
  <si>
    <t>1) TG Unit - 1,2 &amp; 3 average load were 44.40 MW, 44.71 MW, &amp; 29.4 MW respectively with 16 Boilers in service.(2) Average Flue gas temperature was 995ºC. Row wise temp were 976ºC,1019ºC, 982ºC and 1004ºC respectively.  (3) Chlorination plant was in stopped condition. (4)  U-3 Generator front bearing Temp Tr was rectified by IMD. (5) Boiler 4-4 soot blowing was done. (6) CBD opening was done as percommunications received from CHM.</t>
  </si>
  <si>
    <t>1) TG Unit - 1,2 &amp; 3 average load were 44.40 MW, 44.71 MW, &amp; 29.4 MW respectively with 16 Boilers in service.(2) Average Flue gas temperature was 995ºC. Row wise temp were 976ºC,1019ºC, 982ºC and 1004ºC respectively.  (3) Chlorination plant was in stopped condition. (4) CBD opening was done as percommunications received from CHM.</t>
  </si>
  <si>
    <t>21.05.2024</t>
  </si>
  <si>
    <t>1) TG Unit - 1,2 &amp; 3 average load were 45.29 MW, 45.63 MW, &amp; 29.29 MW respectively with 16 Boilers in service.(2) Average Flue gas temperature was 1011ºC. Row wise temp were 1004ºC,1031ºC, 1004ºC and 1007ºC respectively.  (3) Chlorination plant was in stopped condition. (4) CBD opening was done as percommunications received from CHM.(5) Boiler 1-4 soot blowing was done.(6) Brether passing Near U#3 condenser ractification job done by MMD (7) Fire water landing valve passing ractification job done by MMD.(8) Boiler 4-4 air ingress point arrested by MMD.</t>
  </si>
  <si>
    <t>22.05.2024</t>
  </si>
  <si>
    <t>1) TG Unit - 1,2 &amp; 3 average load were 44.92 MW, 45.08 MW, &amp; 29.25 MW respectively with 16 Boilers in service.(2) Average Flue gas temperature was 1003ºC. Row wise temp were 992ºC,1013ºC, 1002ºC and 1002ºC respectively.  (3) Chlorination plant was in stopped condition. (4) CBD opening was done as percommunications received from CHM.(5) Boiler 2-1 soot blowing was done.</t>
  </si>
  <si>
    <t>1) TG Unit - 1,2 &amp; 3 average load were 44.79 MW, 44.13 MW, &amp; 29.3 MW respectively with 16 Boilers in service.(2) Average Flue gas temperature was 996ºC. Row wise temp were 990ºC,1005ºC, 986ºC and 1002ºC respectively.  (3) Chlorination plant was in stopped condition. (4) CBD opening was done as percommunications received from CHM.(5) IAC-C belt was tightened by MMD; trial run was taken and found ok. (6) U-2 saw dust charging was done to control the seepage. (7) Fire water line leakage points were arrested by MMD.</t>
  </si>
  <si>
    <t>23.05.2024</t>
  </si>
  <si>
    <t>1) TG Unit - 1,2 &amp; 3 average load were 44.44 MW, 44.71 MW, &amp; 29.4 MW respectively with 16 Boilers in service.(2) Average Flue gas temperature was 998ºC. Row wise temp were 991ºC,1005ºC, 988ºC and 1009ºC respectively.  (3) Chlorination plant was in stopped condition. (4) CBD opening was done as percommunications received from CHM.(5) Raw water line kept isolated at Tata Power side for connection of the pipeline to U-1 PHEs. (6) BFP-3A PM was done by EMD, IMD and MMD; trial run was taken and found ok. (7) Boiler 2-2 soot blowing was done. (8) Standby CW pumps shaft freeness checking were done and found ok.</t>
  </si>
  <si>
    <t>24.05.2024</t>
  </si>
  <si>
    <t>Unit#2 Outage for 16.2 hr. Generator Excitor side maintenance job.</t>
  </si>
  <si>
    <t>25/05/24   06:17 Hr.</t>
  </si>
  <si>
    <t>P</t>
  </si>
  <si>
    <t>Unit #2 TG Generator Excitor side maintenance Job.</t>
  </si>
  <si>
    <t>25/05/24   22:29 Hr.</t>
  </si>
  <si>
    <t>25.05.2024</t>
  </si>
  <si>
    <t>TG-2 outage from 06:17  to 22:29hr. on 25.05.2024 due to Generator exciter rotor slip ring area re-insulation job.</t>
  </si>
  <si>
    <t xml:space="preserve">TG-2 outage </t>
  </si>
  <si>
    <t>1) TG Unit - 1,2 &amp; 3 average load were 45.17 MW, 11.29 MW, &amp; 29.5 MW respectively with 12.3 Boilers in service.(2) Average Flue gas temperature was 1006ºC. Row wise temp were 100ºC,1020ºC, 990ºC and 1012ºC respectively.  (3) Chlorination plant was in stopped condition. (4) CBD opening was done as percommunications received from CHM.(5) Unit#2 TG taken out of service at 6:17hr. and taken in service at 22:29hr for Generator Excitor side maintenance Job.(6) Unit #2 rapture diaphragm replace by MMD. (7) Unit #2 Condenser LHS leakage arresting job done by MMD.</t>
  </si>
  <si>
    <t>26.05.2024</t>
  </si>
  <si>
    <t>1) TG Unit - 1,2 &amp; 3 average load were 43.83 MW, 41.96 MW, &amp; 29.25 MW respectively with 16 Boilers in service.(2) Average Flue gas temperature was 965ºC. Row wise temp were 993ºC,1004ºC, 991ºC and 992ºC respectively.  (3) Chlorination plant was in stopped condition. (4)  All three units' EOP trial were taken through switch &amp; found ok.(5) Satellite phone trial was taken &amp; found ok.</t>
  </si>
  <si>
    <t>1) TG Unit - 1,2 &amp; 3 average load were 37.04 MW, 35.71 MW, &amp; 27.58 MW respectively with 16 Boilers in service.(2) Average Flue gas temperature was 930ºC. Row wise temp were 941ºC,956ºC, 907ºC and 917ºC respectively.  (3) Chlorination plant was in stopped condition. (4)IAC -C maintanence job done by MMD now running condition.</t>
  </si>
  <si>
    <t>27.05.2024</t>
  </si>
  <si>
    <t>28.05.2024</t>
  </si>
  <si>
    <t>1) TG Unit - 1,2 &amp; 3 average load were 35.6 MW, 33.08 MW, &amp; 26.9 MW respectively with 16 Boilers in service.(2) Average Flue gas temperature was 903ºC. Row wise temp were 897ºC,927ºC, 895ºC and 893ºC respectively.  (3) Chlorination plant was in stopped condition. (4) ACW BP - 1A &amp; 1B. suction staner cleaning job were done by MMD.(5) CBD opening was done as per communications received from CHM. (6) Unit#1 Carbon brush checking and rectification job was done by EMD.(7) Boiler 4-1 soot blowing done. (8) DG trial run was taken and found ok. (9) Standby CW pump B&amp;D shaft freeness checking were done and found ok.</t>
  </si>
  <si>
    <t>due to low flue gas availability &amp; ID Fan speed restriction from TSL end due to post effect of heavy storm and rainfall on 26.05.24.</t>
  </si>
  <si>
    <t>29.05.2024</t>
  </si>
  <si>
    <t xml:space="preserve">1) TG Unit - 1,2 &amp; 3 average load were 37.07 MW, 34.71 MW, &amp; 26.4 MW respectively with 16 Boilers in service.(2) Average Flue gas temperature was 912ºC. Row wise temp were 900ºC,928ºC, 910ºC and 910ºC respectively. Row-1,2,3 &amp; 4 pushing was stop for 3.5 hrs,1.0 hrs,3.25 hrs and 2.5 hrs respectively for low availability by TSL. (3) Chlorination plant was in stopped condition. (4) Raw water pump house transformer-2 Breaker maintenance job done by EMD and system normalized.(5) CBD opening was done as per communications received from CHM. </t>
  </si>
  <si>
    <t>30.05.2024</t>
  </si>
  <si>
    <t xml:space="preserve">1) TG Unit - 1,2 &amp; 3 average load were 38.83 MW, 37.13 MW, &amp; 26.38 MW respectively with 16 Boilers in service.(2) Average Flue gas temperature was 927ºC. Row wise temp were 924ºC, 946ºC, 915ºC and 921ºC respectively. (3) Chlorination plant was in stopped condition. (4) BFP-2C PM job done by MMD, EMD &amp; IMD.(5) CBD opening was done as per communications received from CHM. </t>
  </si>
  <si>
    <t xml:space="preserve">1) TG Unit - 1,2 &amp; 3 average load were 42.14 MW, 38.75 MW, &amp; 27.2 MW respectively with 16 Boilers in service.(2) Average Flue gas temperature was 951ºC. Row wise temp were 947ºC, 977ºC, 932ºC and 948ºC respectively. (3) Chlorination plant was in stopped condition. (4) RWMP-4 trial taken found ok after rectification of shaft jamming issue.(5) CWP-B and D shaft freeness checking done. </t>
  </si>
  <si>
    <t>31.05.2024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</si>
</sst>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 #,##0.00_ ;_ * \-#,##0.00_ ;_ * &quot;-&quot;??_ ;_ @_ "/>
    <numFmt numFmtId="164" formatCode="0.000"/>
    <numFmt numFmtId="165" formatCode="0.0"/>
    <numFmt numFmtId="166" formatCode="#,##0.0"/>
    <numFmt numFmtId="167" formatCode="[$-409]d\-mmm\-yy;@"/>
    <numFmt numFmtId="168" formatCode="[$-409]d\-mmm;@"/>
    <numFmt numFmtId="169" formatCode="[$-14009]dd/mm/yy;@"/>
    <numFmt numFmtId="170" formatCode="0.0000"/>
    <numFmt numFmtId="171" formatCode="0.0%"/>
    <numFmt numFmtId="172" formatCode="0.00000"/>
    <numFmt numFmtId="173" formatCode="0.00000000"/>
    <numFmt numFmtId="174" formatCode="0.0000000000000"/>
  </numFmts>
  <fonts count="7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4"/>
      <name val="Arial"/>
      <family val="2"/>
    </font>
    <font>
      <sz val="14"/>
      <color indexed="8"/>
      <name val="Arial"/>
      <family val="2"/>
    </font>
    <font>
      <sz val="12"/>
      <color indexed="8"/>
      <name val="Arial"/>
      <family val="2"/>
    </font>
    <font>
      <b/>
      <sz val="20"/>
      <color indexed="8"/>
      <name val="Arial"/>
      <family val="2"/>
    </font>
    <font>
      <sz val="16"/>
      <color indexed="8"/>
      <name val="Arial"/>
      <family val="2"/>
    </font>
    <font>
      <b/>
      <sz val="10"/>
      <color indexed="12"/>
      <name val="Arial"/>
      <family val="2"/>
    </font>
    <font>
      <sz val="12"/>
      <name val="Arial"/>
      <family val="2"/>
    </font>
    <font>
      <sz val="16"/>
      <name val="Arial"/>
      <family val="2"/>
    </font>
    <font>
      <b/>
      <sz val="12"/>
      <name val="Arial"/>
      <family val="2"/>
    </font>
    <font>
      <b/>
      <sz val="14"/>
      <name val="Arial"/>
      <family val="2"/>
    </font>
    <font>
      <b/>
      <sz val="10"/>
      <color indexed="10"/>
      <name val="Arial"/>
      <family val="2"/>
    </font>
    <font>
      <b/>
      <sz val="10"/>
      <name val="Arial"/>
      <family val="2"/>
    </font>
    <font>
      <sz val="8"/>
      <name val="Arial"/>
      <family val="2"/>
    </font>
    <font>
      <sz val="14"/>
      <color indexed="9"/>
      <name val="Arial"/>
      <family val="2"/>
    </font>
    <font>
      <b/>
      <sz val="28"/>
      <name val="Arial"/>
      <family val="2"/>
    </font>
    <font>
      <sz val="18"/>
      <name val="Arial"/>
      <family val="2"/>
    </font>
    <font>
      <sz val="10"/>
      <color indexed="12"/>
      <name val="Arial"/>
      <family val="2"/>
    </font>
    <font>
      <b/>
      <sz val="14"/>
      <color indexed="9"/>
      <name val="Arial"/>
      <family val="2"/>
    </font>
    <font>
      <b/>
      <sz val="14"/>
      <color indexed="8"/>
      <name val="Arial"/>
      <family val="2"/>
    </font>
    <font>
      <b/>
      <sz val="11"/>
      <name val="Arial"/>
      <family val="2"/>
    </font>
    <font>
      <b/>
      <sz val="24"/>
      <color indexed="8"/>
      <name val="Arial"/>
      <family val="2"/>
    </font>
    <font>
      <b/>
      <sz val="22"/>
      <name val="Arial"/>
      <family val="2"/>
    </font>
    <font>
      <b/>
      <sz val="12"/>
      <color indexed="8"/>
      <name val="Arial"/>
      <family val="2"/>
    </font>
    <font>
      <b/>
      <sz val="22"/>
      <color indexed="8"/>
      <name val="Arial"/>
      <family val="2"/>
    </font>
    <font>
      <b/>
      <sz val="24"/>
      <name val="Arial"/>
      <family val="2"/>
    </font>
    <font>
      <b/>
      <sz val="16"/>
      <color indexed="8"/>
      <name val="Arial"/>
      <family val="2"/>
    </font>
    <font>
      <b/>
      <sz val="20"/>
      <name val="Arial"/>
      <family val="2"/>
    </font>
    <font>
      <b/>
      <sz val="16"/>
      <name val="Arial"/>
      <family val="2"/>
    </font>
    <font>
      <sz val="10"/>
      <name val="Calibri"/>
      <family val="2"/>
    </font>
    <font>
      <sz val="9"/>
      <name val="Trebuchet MS"/>
      <family val="2"/>
    </font>
    <font>
      <sz val="10"/>
      <name val="Trebuchet MS"/>
      <family val="2"/>
    </font>
    <font>
      <sz val="11"/>
      <name val="Arial"/>
      <family val="2"/>
    </font>
    <font>
      <b/>
      <sz val="11"/>
      <color indexed="8"/>
      <name val="Arial"/>
      <family val="2"/>
    </font>
    <font>
      <b/>
      <u/>
      <sz val="12"/>
      <name val="Arial"/>
      <family val="2"/>
    </font>
    <font>
      <sz val="5.5"/>
      <name val="Arial"/>
      <family val="2"/>
    </font>
    <font>
      <b/>
      <u/>
      <sz val="10"/>
      <name val="Arial"/>
      <family val="2"/>
    </font>
    <font>
      <b/>
      <sz val="9"/>
      <color indexed="18"/>
      <name val="Arial"/>
      <family val="2"/>
    </font>
    <font>
      <b/>
      <sz val="10"/>
      <color indexed="18"/>
      <name val="Arial"/>
      <family val="2"/>
    </font>
    <font>
      <b/>
      <sz val="9.5"/>
      <color indexed="18"/>
      <name val="Arial"/>
      <family val="2"/>
    </font>
    <font>
      <b/>
      <sz val="9"/>
      <name val="Arial"/>
      <family val="2"/>
    </font>
    <font>
      <b/>
      <sz val="11"/>
      <color theme="1"/>
      <name val="Calibri"/>
      <family val="2"/>
      <scheme val="minor"/>
    </font>
    <font>
      <b/>
      <sz val="14"/>
      <color theme="1"/>
      <name val="Calibri"/>
      <family val="2"/>
      <scheme val="minor"/>
    </font>
    <font>
      <sz val="11"/>
      <name val="Calibri"/>
      <family val="2"/>
      <scheme val="minor"/>
    </font>
    <font>
      <sz val="9"/>
      <color theme="1"/>
      <name val="Trebuchet MS"/>
      <family val="2"/>
    </font>
    <font>
      <b/>
      <sz val="10"/>
      <color rgb="FF0000FF"/>
      <name val="Arial"/>
      <family val="2"/>
    </font>
    <font>
      <b/>
      <sz val="11"/>
      <color rgb="FF0000FF"/>
      <name val="Arial"/>
      <family val="2"/>
    </font>
    <font>
      <b/>
      <sz val="22"/>
      <color theme="0"/>
      <name val="Arial"/>
      <family val="2"/>
    </font>
    <font>
      <b/>
      <sz val="14"/>
      <color rgb="FFFF0000"/>
      <name val="Arial"/>
      <family val="2"/>
    </font>
    <font>
      <sz val="11"/>
      <color rgb="FF0000FF"/>
      <name val="Arial"/>
      <family val="2"/>
    </font>
    <font>
      <sz val="8"/>
      <name val="Arial"/>
      <family val="2"/>
    </font>
    <font>
      <sz val="8"/>
      <name val="Arial"/>
      <family val="2"/>
    </font>
    <font>
      <sz val="10"/>
      <name val="Arial"/>
      <family val="2"/>
    </font>
    <font>
      <b/>
      <sz val="14"/>
      <color rgb="FF0000FF"/>
      <name val="Arial"/>
      <family val="2"/>
    </font>
    <font>
      <b/>
      <sz val="10"/>
      <color rgb="FF000000"/>
      <name val="Arial"/>
      <family val="2"/>
    </font>
    <font>
      <b/>
      <sz val="10"/>
      <color theme="1"/>
      <name val="Calibri"/>
      <family val="2"/>
    </font>
    <font>
      <b/>
      <sz val="11"/>
      <color theme="1"/>
      <name val="Calibri"/>
      <family val="2"/>
    </font>
    <font>
      <sz val="8"/>
      <name val="Arial"/>
      <family val="2"/>
    </font>
    <font>
      <sz val="9"/>
      <color indexed="81"/>
      <name val="Tahoma"/>
      <family val="2"/>
    </font>
    <font>
      <b/>
      <sz val="9"/>
      <color indexed="81"/>
      <name val="Tahoma"/>
      <family val="2"/>
    </font>
  </fonts>
  <fills count="57">
    <fill>
      <patternFill patternType="none"/>
    </fill>
    <fill>
      <patternFill patternType="gray125"/>
    </fill>
    <fill>
      <patternFill patternType="solid">
        <fgColor indexed="41"/>
        <bgColor indexed="64"/>
      </patternFill>
    </fill>
    <fill>
      <patternFill patternType="solid">
        <fgColor indexed="60"/>
        <bgColor indexed="64"/>
      </patternFill>
    </fill>
    <fill>
      <patternFill patternType="solid">
        <fgColor indexed="42"/>
        <bgColor indexed="64"/>
      </patternFill>
    </fill>
    <fill>
      <patternFill patternType="solid">
        <fgColor indexed="40"/>
        <bgColor indexed="64"/>
      </patternFill>
    </fill>
    <fill>
      <patternFill patternType="solid">
        <fgColor indexed="43"/>
        <bgColor indexed="64"/>
      </patternFill>
    </fill>
    <fill>
      <patternFill patternType="solid">
        <fgColor indexed="5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11"/>
        <bgColor indexed="64"/>
      </patternFill>
    </fill>
    <fill>
      <patternFill patternType="solid">
        <fgColor indexed="9"/>
        <bgColor indexed="64"/>
      </patternFill>
    </fill>
    <fill>
      <patternFill patternType="solid">
        <fgColor indexed="10"/>
        <bgColor indexed="64"/>
      </patternFill>
    </fill>
    <fill>
      <patternFill patternType="solid">
        <fgColor indexed="50"/>
        <bgColor indexed="64"/>
      </patternFill>
    </fill>
    <fill>
      <patternFill patternType="solid">
        <fgColor rgb="FF99CCFF"/>
        <bgColor indexed="64"/>
      </patternFill>
    </fill>
    <fill>
      <patternFill patternType="solid">
        <fgColor rgb="FFFFFF99"/>
        <bgColor indexed="64"/>
      </patternFill>
    </fill>
    <fill>
      <patternFill patternType="solid">
        <fgColor theme="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CCFFFF"/>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FFB3"/>
        <bgColor indexed="64"/>
      </patternFill>
    </fill>
    <fill>
      <patternFill patternType="solid">
        <fgColor theme="5" tint="0.39997558519241921"/>
        <bgColor indexed="64"/>
      </patternFill>
    </fill>
    <fill>
      <patternFill patternType="solid">
        <fgColor rgb="FFFFFF79"/>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FFAF"/>
        <bgColor indexed="64"/>
      </patternFill>
    </fill>
    <fill>
      <patternFill patternType="solid">
        <fgColor rgb="FFFFFF4F"/>
        <bgColor indexed="64"/>
      </patternFill>
    </fill>
    <fill>
      <patternFill patternType="solid">
        <fgColor rgb="FF00B0F0"/>
        <bgColor indexed="64"/>
      </patternFill>
    </fill>
    <fill>
      <patternFill patternType="solid">
        <fgColor rgb="FF00B050"/>
        <bgColor indexed="64"/>
      </patternFill>
    </fill>
    <fill>
      <patternFill patternType="solid">
        <fgColor rgb="FFCCC0DA"/>
        <bgColor indexed="64"/>
      </patternFill>
    </fill>
    <fill>
      <patternFill patternType="solid">
        <fgColor rgb="FFB8CCE4"/>
        <bgColor indexed="64"/>
      </patternFill>
    </fill>
    <fill>
      <patternFill patternType="solid">
        <fgColor rgb="FFFFC000"/>
        <bgColor indexed="64"/>
      </patternFill>
    </fill>
    <fill>
      <patternFill patternType="solid">
        <fgColor rgb="FF00CCFF"/>
        <bgColor indexed="64"/>
      </patternFill>
    </fill>
    <fill>
      <patternFill patternType="solid">
        <fgColor rgb="FFFF99CC"/>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medium">
        <color indexed="64"/>
      </top>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s>
  <cellStyleXfs count="22">
    <xf numFmtId="0" fontId="0" fillId="0" borderId="0"/>
    <xf numFmtId="0" fontId="11" fillId="0" borderId="0"/>
    <xf numFmtId="9" fontId="11" fillId="0" borderId="0" applyFont="0" applyFill="0" applyBorder="0" applyAlignment="0" applyProtection="0"/>
    <xf numFmtId="0" fontId="11" fillId="0" borderId="0"/>
    <xf numFmtId="0" fontId="11" fillId="0" borderId="0"/>
    <xf numFmtId="0" fontId="10" fillId="0" borderId="0"/>
    <xf numFmtId="43" fontId="10" fillId="0" borderId="0" applyFont="0" applyFill="0" applyBorder="0" applyAlignment="0" applyProtection="0"/>
    <xf numFmtId="0" fontId="10" fillId="0" borderId="0"/>
    <xf numFmtId="0" fontId="9" fillId="0" borderId="0"/>
    <xf numFmtId="0" fontId="8" fillId="0" borderId="0"/>
    <xf numFmtId="0" fontId="63" fillId="0" borderId="0"/>
    <xf numFmtId="0" fontId="7" fillId="0" borderId="0"/>
    <xf numFmtId="0" fontId="11" fillId="0" borderId="0"/>
    <xf numFmtId="0" fontId="11" fillId="0" borderId="0"/>
    <xf numFmtId="0" fontId="6" fillId="0" borderId="0"/>
    <xf numFmtId="0" fontId="11" fillId="0" borderId="0" applyNumberFormat="0"/>
    <xf numFmtId="0" fontId="5" fillId="0" borderId="0"/>
    <xf numFmtId="0" fontId="11" fillId="0" borderId="0"/>
    <xf numFmtId="0" fontId="4" fillId="0" borderId="0"/>
    <xf numFmtId="0" fontId="3" fillId="0" borderId="0"/>
    <xf numFmtId="0" fontId="2" fillId="0" borderId="0"/>
    <xf numFmtId="0" fontId="1" fillId="0" borderId="0"/>
  </cellStyleXfs>
  <cellXfs count="570">
    <xf numFmtId="0" fontId="0" fillId="0" borderId="0" xfId="0"/>
    <xf numFmtId="0" fontId="14" fillId="2" borderId="1" xfId="0" applyFont="1" applyFill="1" applyBorder="1" applyAlignment="1">
      <alignment horizontal="center" vertical="center"/>
    </xf>
    <xf numFmtId="0" fontId="18" fillId="2" borderId="1" xfId="0" applyFont="1" applyFill="1" applyBorder="1" applyAlignment="1">
      <alignment vertical="center"/>
    </xf>
    <xf numFmtId="2" fontId="17" fillId="2" borderId="1" xfId="0" applyNumberFormat="1" applyFont="1" applyFill="1" applyBorder="1" applyAlignment="1">
      <alignment horizontal="center" vertical="center"/>
    </xf>
    <xf numFmtId="0" fontId="20" fillId="2" borderId="1" xfId="0" applyFont="1" applyFill="1" applyBorder="1" applyAlignment="1">
      <alignment vertical="center"/>
    </xf>
    <xf numFmtId="0" fontId="0" fillId="0" borderId="0" xfId="0" applyAlignment="1">
      <alignment horizontal="center"/>
    </xf>
    <xf numFmtId="0" fontId="0" fillId="3" borderId="0" xfId="0" applyFill="1"/>
    <xf numFmtId="0" fontId="14" fillId="4" borderId="1" xfId="0" applyFont="1" applyFill="1" applyBorder="1" applyAlignment="1">
      <alignment horizontal="center" vertical="center"/>
    </xf>
    <xf numFmtId="164" fontId="17" fillId="2" borderId="1" xfId="0" applyNumberFormat="1" applyFont="1" applyFill="1" applyBorder="1" applyAlignment="1">
      <alignment horizontal="center" vertical="center"/>
    </xf>
    <xf numFmtId="0" fontId="16" fillId="5" borderId="1" xfId="0" applyFont="1" applyFill="1" applyBorder="1" applyAlignment="1">
      <alignment horizontal="left" vertical="center"/>
    </xf>
    <xf numFmtId="0" fontId="19" fillId="5" borderId="1" xfId="0" applyFont="1" applyFill="1" applyBorder="1" applyAlignment="1">
      <alignment vertical="center"/>
    </xf>
    <xf numFmtId="0" fontId="20" fillId="6" borderId="1" xfId="0" applyFont="1" applyFill="1" applyBorder="1" applyAlignment="1">
      <alignment vertical="center"/>
    </xf>
    <xf numFmtId="0" fontId="18" fillId="6" borderId="1" xfId="0" applyFont="1" applyFill="1" applyBorder="1" applyAlignment="1">
      <alignment vertical="center"/>
    </xf>
    <xf numFmtId="164" fontId="17" fillId="6" borderId="1" xfId="0" applyNumberFormat="1" applyFont="1" applyFill="1" applyBorder="1" applyAlignment="1">
      <alignment horizontal="center" vertical="center"/>
    </xf>
    <xf numFmtId="0" fontId="16" fillId="7" borderId="1" xfId="0" applyFont="1" applyFill="1" applyBorder="1" applyAlignment="1">
      <alignment horizontal="left" vertical="center"/>
    </xf>
    <xf numFmtId="0" fontId="19" fillId="7" borderId="1" xfId="0" applyFont="1" applyFill="1" applyBorder="1" applyAlignment="1">
      <alignment vertical="center"/>
    </xf>
    <xf numFmtId="0" fontId="11" fillId="5" borderId="1" xfId="0" applyFont="1" applyFill="1" applyBorder="1" applyAlignment="1">
      <alignment horizontal="center" vertical="center"/>
    </xf>
    <xf numFmtId="0" fontId="18" fillId="8" borderId="1" xfId="0" applyFont="1" applyFill="1" applyBorder="1" applyAlignment="1">
      <alignment vertical="center"/>
    </xf>
    <xf numFmtId="0" fontId="11" fillId="8" borderId="1" xfId="0" applyFont="1" applyFill="1" applyBorder="1" applyAlignment="1">
      <alignment horizontal="center" vertical="center"/>
    </xf>
    <xf numFmtId="0" fontId="20" fillId="8" borderId="1" xfId="0" applyFont="1" applyFill="1" applyBorder="1" applyAlignment="1">
      <alignment vertical="center"/>
    </xf>
    <xf numFmtId="0" fontId="20" fillId="8" borderId="1" xfId="0" applyFont="1" applyFill="1" applyBorder="1" applyAlignment="1">
      <alignment vertical="center" wrapText="1"/>
    </xf>
    <xf numFmtId="0" fontId="20" fillId="5" borderId="1" xfId="0" applyFont="1" applyFill="1" applyBorder="1" applyAlignment="1">
      <alignment vertical="center"/>
    </xf>
    <xf numFmtId="0" fontId="0" fillId="4" borderId="1" xfId="0" applyFill="1" applyBorder="1" applyAlignment="1">
      <alignment horizontal="center" vertical="center"/>
    </xf>
    <xf numFmtId="164" fontId="17" fillId="5" borderId="1" xfId="0" applyNumberFormat="1" applyFont="1" applyFill="1" applyBorder="1" applyAlignment="1">
      <alignment horizontal="center" vertical="center"/>
    </xf>
    <xf numFmtId="164" fontId="0" fillId="4" borderId="1" xfId="0" applyNumberFormat="1" applyFill="1" applyBorder="1" applyAlignment="1">
      <alignment horizontal="center" vertical="center" wrapText="1"/>
    </xf>
    <xf numFmtId="167" fontId="0" fillId="4" borderId="1" xfId="0" applyNumberFormat="1" applyFill="1" applyBorder="1" applyAlignment="1">
      <alignment horizontal="center" vertical="center" wrapText="1"/>
    </xf>
    <xf numFmtId="0" fontId="18" fillId="9"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3" borderId="0" xfId="0" applyFill="1" applyAlignment="1">
      <alignment vertical="center"/>
    </xf>
    <xf numFmtId="0" fontId="23" fillId="0" borderId="0" xfId="0" applyFont="1"/>
    <xf numFmtId="0" fontId="0" fillId="0" borderId="0" xfId="0" applyAlignment="1">
      <alignment horizontal="center" vertical="center"/>
    </xf>
    <xf numFmtId="0" fontId="18" fillId="4" borderId="1" xfId="0" applyFont="1" applyFill="1" applyBorder="1" applyAlignment="1">
      <alignment horizontal="center" vertical="center"/>
    </xf>
    <xf numFmtId="0" fontId="0" fillId="0" borderId="0" xfId="0" applyAlignment="1">
      <alignment horizontal="center" wrapText="1"/>
    </xf>
    <xf numFmtId="0" fontId="18" fillId="2" borderId="1" xfId="0" applyFont="1" applyFill="1" applyBorder="1" applyAlignment="1">
      <alignment horizontal="center" vertical="center"/>
    </xf>
    <xf numFmtId="0" fontId="0" fillId="0" borderId="0" xfId="0" applyAlignment="1">
      <alignment vertical="center"/>
    </xf>
    <xf numFmtId="0" fontId="11" fillId="2"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9" borderId="1" xfId="0" applyFont="1" applyFill="1" applyBorder="1" applyAlignment="1">
      <alignment horizontal="center" vertical="center"/>
    </xf>
    <xf numFmtId="0" fontId="18" fillId="4" borderId="2"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8" fillId="2" borderId="1" xfId="0" applyFont="1" applyFill="1" applyBorder="1" applyAlignment="1">
      <alignment vertical="center" wrapText="1"/>
    </xf>
    <xf numFmtId="14" fontId="11" fillId="4" borderId="1" xfId="0" applyNumberFormat="1" applyFont="1" applyFill="1" applyBorder="1" applyAlignment="1">
      <alignment horizontal="center" vertical="center"/>
    </xf>
    <xf numFmtId="0" fontId="18" fillId="8" borderId="3" xfId="0" applyFont="1" applyFill="1" applyBorder="1" applyAlignment="1">
      <alignment vertical="center"/>
    </xf>
    <xf numFmtId="0" fontId="11" fillId="8" borderId="3" xfId="0" applyFont="1" applyFill="1" applyBorder="1" applyAlignment="1">
      <alignment horizontal="center" vertical="center"/>
    </xf>
    <xf numFmtId="0" fontId="18" fillId="18" borderId="1" xfId="0" applyFont="1" applyFill="1" applyBorder="1" applyAlignment="1">
      <alignment vertical="center"/>
    </xf>
    <xf numFmtId="0" fontId="18" fillId="18" borderId="0" xfId="0" applyFont="1" applyFill="1" applyAlignment="1">
      <alignment horizontal="left" vertical="center"/>
    </xf>
    <xf numFmtId="0" fontId="16" fillId="10" borderId="1" xfId="0" applyFont="1" applyFill="1" applyBorder="1" applyAlignment="1">
      <alignment horizontal="left" vertical="center"/>
    </xf>
    <xf numFmtId="0" fontId="19" fillId="10" borderId="1" xfId="0" applyFont="1" applyFill="1" applyBorder="1" applyAlignment="1">
      <alignment vertical="center"/>
    </xf>
    <xf numFmtId="0" fontId="20" fillId="9" borderId="1" xfId="0" applyFont="1" applyFill="1" applyBorder="1" applyAlignment="1">
      <alignment vertical="center"/>
    </xf>
    <xf numFmtId="2" fontId="0" fillId="2" borderId="1" xfId="0" applyNumberFormat="1" applyFill="1" applyBorder="1" applyAlignment="1">
      <alignment horizontal="center" vertical="center"/>
    </xf>
    <xf numFmtId="0" fontId="11" fillId="20" borderId="0" xfId="0" applyFont="1" applyFill="1"/>
    <xf numFmtId="0" fontId="11" fillId="20" borderId="0" xfId="0" applyFont="1" applyFill="1" applyAlignment="1">
      <alignment horizontal="left"/>
    </xf>
    <xf numFmtId="0" fontId="11" fillId="20" borderId="0" xfId="0" applyFont="1" applyFill="1" applyAlignment="1">
      <alignment vertical="center" wrapText="1"/>
    </xf>
    <xf numFmtId="0" fontId="31" fillId="0" borderId="0" xfId="0" applyFont="1" applyAlignment="1">
      <alignment horizontal="center" vertical="center"/>
    </xf>
    <xf numFmtId="0" fontId="0" fillId="20" borderId="0" xfId="0" applyFill="1"/>
    <xf numFmtId="0" fontId="0" fillId="20" borderId="0" xfId="0" applyFill="1" applyAlignment="1">
      <alignment vertical="center"/>
    </xf>
    <xf numFmtId="0" fontId="28" fillId="20" borderId="0" xfId="0" applyFont="1" applyFill="1" applyAlignment="1">
      <alignment vertical="center"/>
    </xf>
    <xf numFmtId="2" fontId="0" fillId="0" borderId="0" xfId="0" applyNumberFormat="1" applyAlignment="1">
      <alignment vertical="center"/>
    </xf>
    <xf numFmtId="0" fontId="28" fillId="0" borderId="0" xfId="0" applyFont="1" applyAlignment="1">
      <alignment horizontal="center" vertical="center"/>
    </xf>
    <xf numFmtId="16" fontId="0" fillId="0" borderId="0" xfId="0" applyNumberFormat="1" applyAlignment="1">
      <alignment vertical="center"/>
    </xf>
    <xf numFmtId="0" fontId="28" fillId="0" borderId="0" xfId="0" applyFont="1" applyAlignment="1">
      <alignment vertical="center"/>
    </xf>
    <xf numFmtId="16" fontId="23" fillId="0" borderId="0" xfId="0" applyNumberFormat="1" applyFont="1" applyAlignment="1">
      <alignment vertical="center"/>
    </xf>
    <xf numFmtId="0" fontId="23" fillId="0" borderId="0" xfId="0" applyFont="1" applyAlignment="1">
      <alignment vertical="center"/>
    </xf>
    <xf numFmtId="17" fontId="21" fillId="11" borderId="1" xfId="0" applyNumberFormat="1" applyFont="1" applyFill="1" applyBorder="1" applyAlignment="1">
      <alignment horizontal="center" vertical="center"/>
    </xf>
    <xf numFmtId="0" fontId="34" fillId="2" borderId="1" xfId="0" applyFont="1" applyFill="1" applyBorder="1" applyAlignment="1">
      <alignment horizontal="center" vertical="center"/>
    </xf>
    <xf numFmtId="0" fontId="22" fillId="20" borderId="1" xfId="0" applyFont="1" applyFill="1" applyBorder="1"/>
    <xf numFmtId="0" fontId="30" fillId="2" borderId="1" xfId="0" applyFont="1" applyFill="1" applyBorder="1" applyAlignment="1">
      <alignment horizontal="center" vertical="center"/>
    </xf>
    <xf numFmtId="164" fontId="0" fillId="0" borderId="0" xfId="0" applyNumberFormat="1" applyAlignment="1">
      <alignment vertical="center"/>
    </xf>
    <xf numFmtId="0" fontId="20" fillId="21" borderId="2" xfId="0" applyFont="1" applyFill="1" applyBorder="1" applyAlignment="1">
      <alignment horizontal="center" vertical="center" wrapText="1"/>
    </xf>
    <xf numFmtId="0" fontId="21" fillId="21" borderId="1" xfId="0" applyFont="1" applyFill="1" applyBorder="1" applyAlignment="1">
      <alignment horizontal="center" vertical="center"/>
    </xf>
    <xf numFmtId="0" fontId="20" fillId="21" borderId="1" xfId="0" applyFont="1" applyFill="1" applyBorder="1" applyAlignment="1">
      <alignment horizontal="center" vertical="center" wrapText="1"/>
    </xf>
    <xf numFmtId="0" fontId="20" fillId="22" borderId="2" xfId="0" applyFont="1" applyFill="1" applyBorder="1" applyAlignment="1">
      <alignment horizontal="center" vertical="center" wrapText="1"/>
    </xf>
    <xf numFmtId="0" fontId="12" fillId="22" borderId="0" xfId="0" applyFont="1" applyFill="1" applyAlignment="1">
      <alignment horizontal="center" vertical="center"/>
    </xf>
    <xf numFmtId="0" fontId="20" fillId="22" borderId="1" xfId="0" applyFont="1" applyFill="1" applyBorder="1" applyAlignment="1">
      <alignment horizontal="center" vertical="center" wrapText="1"/>
    </xf>
    <xf numFmtId="0" fontId="31" fillId="23" borderId="1" xfId="0" applyFont="1" applyFill="1" applyBorder="1" applyAlignment="1">
      <alignment horizontal="center" vertical="center" wrapText="1"/>
    </xf>
    <xf numFmtId="0" fontId="31" fillId="24" borderId="1" xfId="0" applyFont="1" applyFill="1" applyBorder="1" applyAlignment="1">
      <alignment vertical="center" wrapText="1"/>
    </xf>
    <xf numFmtId="0" fontId="23" fillId="24" borderId="1" xfId="0" applyFont="1" applyFill="1" applyBorder="1" applyAlignment="1">
      <alignment horizontal="center" vertical="center" wrapText="1"/>
    </xf>
    <xf numFmtId="2" fontId="23" fillId="24" borderId="1" xfId="0" applyNumberFormat="1" applyFont="1" applyFill="1" applyBorder="1" applyAlignment="1">
      <alignment horizontal="center" vertical="center"/>
    </xf>
    <xf numFmtId="0" fontId="11" fillId="0" borderId="0" xfId="0" applyFont="1" applyAlignment="1">
      <alignment horizontal="center"/>
    </xf>
    <xf numFmtId="0" fontId="0" fillId="0" borderId="1" xfId="0" applyBorder="1"/>
    <xf numFmtId="1" fontId="17" fillId="5" borderId="1" xfId="0" applyNumberFormat="1" applyFont="1" applyFill="1" applyBorder="1" applyAlignment="1">
      <alignment horizontal="center" vertical="center"/>
    </xf>
    <xf numFmtId="17" fontId="53" fillId="0" borderId="1" xfId="0" applyNumberFormat="1" applyFont="1" applyBorder="1" applyAlignment="1">
      <alignment horizontal="center"/>
    </xf>
    <xf numFmtId="0" fontId="52" fillId="0" borderId="2" xfId="0" applyFont="1" applyBorder="1"/>
    <xf numFmtId="0" fontId="52" fillId="0" borderId="0" xfId="0" applyFont="1" applyAlignment="1">
      <alignment horizontal="center"/>
    </xf>
    <xf numFmtId="0" fontId="41" fillId="25" borderId="1" xfId="1" applyFont="1" applyFill="1" applyBorder="1" applyAlignment="1">
      <alignment horizontal="left" vertical="center" wrapText="1"/>
    </xf>
    <xf numFmtId="0" fontId="23" fillId="0" borderId="5" xfId="0" applyFont="1" applyBorder="1" applyAlignment="1">
      <alignment horizontal="center"/>
    </xf>
    <xf numFmtId="0" fontId="0" fillId="0" borderId="3" xfId="0" applyBorder="1"/>
    <xf numFmtId="0" fontId="42" fillId="25" borderId="3" xfId="1" applyFont="1" applyFill="1" applyBorder="1"/>
    <xf numFmtId="0" fontId="23" fillId="0" borderId="6" xfId="0" applyFont="1" applyBorder="1" applyAlignment="1">
      <alignment horizontal="center"/>
    </xf>
    <xf numFmtId="0" fontId="0" fillId="0" borderId="5" xfId="0" applyBorder="1"/>
    <xf numFmtId="0" fontId="0" fillId="0" borderId="2" xfId="0" applyBorder="1"/>
    <xf numFmtId="0" fontId="41" fillId="25" borderId="2" xfId="1" applyFont="1" applyFill="1" applyBorder="1" applyAlignment="1">
      <alignment horizontal="left" vertical="center" wrapText="1"/>
    </xf>
    <xf numFmtId="0" fontId="23" fillId="0" borderId="7" xfId="0" applyFont="1" applyBorder="1" applyAlignment="1">
      <alignment horizontal="center"/>
    </xf>
    <xf numFmtId="0" fontId="41" fillId="21" borderId="1" xfId="1" applyFont="1" applyFill="1" applyBorder="1" applyAlignment="1">
      <alignment horizontal="left" vertical="center" wrapText="1"/>
    </xf>
    <xf numFmtId="0" fontId="54" fillId="21" borderId="1" xfId="0" applyFont="1" applyFill="1" applyBorder="1" applyAlignment="1">
      <alignment horizontal="left"/>
    </xf>
    <xf numFmtId="0" fontId="41" fillId="26" borderId="1" xfId="1" applyFont="1" applyFill="1" applyBorder="1" applyAlignment="1">
      <alignment horizontal="left" vertical="center" wrapText="1"/>
    </xf>
    <xf numFmtId="0" fontId="55" fillId="26" borderId="1" xfId="1" applyFont="1" applyFill="1" applyBorder="1" applyAlignment="1">
      <alignment horizontal="left" vertical="center" wrapText="1"/>
    </xf>
    <xf numFmtId="0" fontId="23" fillId="0" borderId="0" xfId="0" applyFont="1" applyAlignment="1">
      <alignment horizontal="center"/>
    </xf>
    <xf numFmtId="0" fontId="0" fillId="3" borderId="0" xfId="0" applyFill="1" applyAlignment="1">
      <alignment horizontal="center"/>
    </xf>
    <xf numFmtId="2" fontId="56" fillId="28" borderId="1" xfId="0" applyNumberFormat="1" applyFont="1" applyFill="1" applyBorder="1" applyAlignment="1">
      <alignment horizontal="center" vertical="center"/>
    </xf>
    <xf numFmtId="0" fontId="0" fillId="20" borderId="0" xfId="0" applyFill="1" applyAlignment="1">
      <alignment horizontal="center" vertical="center"/>
    </xf>
    <xf numFmtId="2" fontId="17" fillId="20" borderId="1" xfId="0" applyNumberFormat="1" applyFont="1" applyFill="1" applyBorder="1" applyAlignment="1">
      <alignment horizontal="center" vertical="center"/>
    </xf>
    <xf numFmtId="0" fontId="11" fillId="0" borderId="0" xfId="0" applyFont="1" applyAlignment="1">
      <alignment vertical="center"/>
    </xf>
    <xf numFmtId="0" fontId="11" fillId="0" borderId="0" xfId="0" applyFont="1" applyAlignment="1">
      <alignment horizontal="right" vertical="center"/>
    </xf>
    <xf numFmtId="0" fontId="53" fillId="29" borderId="1" xfId="0"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1" fontId="0" fillId="27" borderId="1" xfId="0" applyNumberFormat="1" applyFill="1" applyBorder="1" applyAlignment="1">
      <alignment horizontal="center" vertical="center"/>
    </xf>
    <xf numFmtId="0" fontId="0" fillId="27" borderId="3" xfId="0" applyFill="1" applyBorder="1" applyAlignment="1">
      <alignment horizontal="center" vertical="center"/>
    </xf>
    <xf numFmtId="0" fontId="0" fillId="27" borderId="2" xfId="0" applyFill="1" applyBorder="1" applyAlignment="1">
      <alignment horizontal="center" vertical="center"/>
    </xf>
    <xf numFmtId="0" fontId="0" fillId="30" borderId="0" xfId="0" applyFill="1" applyAlignment="1">
      <alignment horizontal="center" vertical="center"/>
    </xf>
    <xf numFmtId="0" fontId="33" fillId="9" borderId="4" xfId="0" applyFont="1" applyFill="1" applyBorder="1" applyAlignment="1">
      <alignment vertical="center"/>
    </xf>
    <xf numFmtId="0" fontId="22" fillId="20" borderId="3" xfId="0" applyFont="1" applyFill="1" applyBorder="1"/>
    <xf numFmtId="0" fontId="22" fillId="20" borderId="3" xfId="0" applyFont="1" applyFill="1" applyBorder="1" applyAlignment="1">
      <alignment horizontal="center"/>
    </xf>
    <xf numFmtId="49" fontId="32" fillId="31" borderId="8" xfId="0" applyNumberFormat="1" applyFont="1" applyFill="1" applyBorder="1" applyAlignment="1">
      <alignment vertical="center"/>
    </xf>
    <xf numFmtId="49" fontId="32" fillId="31" borderId="7" xfId="0" applyNumberFormat="1" applyFont="1" applyFill="1" applyBorder="1" applyAlignment="1">
      <alignment vertical="center"/>
    </xf>
    <xf numFmtId="2" fontId="17" fillId="30" borderId="1" xfId="0" applyNumberFormat="1" applyFont="1" applyFill="1" applyBorder="1" applyAlignment="1">
      <alignment horizontal="center" vertical="center"/>
    </xf>
    <xf numFmtId="16" fontId="18" fillId="4" borderId="1" xfId="0" applyNumberFormat="1" applyFont="1" applyFill="1" applyBorder="1" applyAlignment="1">
      <alignment horizontal="center" vertical="center"/>
    </xf>
    <xf numFmtId="0" fontId="18" fillId="4" borderId="1" xfId="0" applyFont="1" applyFill="1" applyBorder="1" applyAlignment="1">
      <alignment horizontal="center" vertical="center" wrapText="1"/>
    </xf>
    <xf numFmtId="0" fontId="43" fillId="30" borderId="0" xfId="0" applyFont="1" applyFill="1" applyAlignment="1">
      <alignment vertical="center"/>
    </xf>
    <xf numFmtId="0" fontId="43" fillId="0" borderId="0" xfId="0" applyFont="1" applyAlignment="1">
      <alignment vertical="center"/>
    </xf>
    <xf numFmtId="0" fontId="31" fillId="30" borderId="0" xfId="0" applyFont="1" applyFill="1" applyAlignment="1">
      <alignment horizontal="center" vertical="center"/>
    </xf>
    <xf numFmtId="0" fontId="43" fillId="33" borderId="10" xfId="0" applyFont="1" applyFill="1" applyBorder="1" applyAlignment="1">
      <alignment horizontal="left" vertical="center"/>
    </xf>
    <xf numFmtId="1" fontId="43" fillId="33" borderId="11" xfId="0" applyNumberFormat="1" applyFont="1" applyFill="1" applyBorder="1" applyAlignment="1">
      <alignment horizontal="right" vertical="center"/>
    </xf>
    <xf numFmtId="1" fontId="31" fillId="34" borderId="12" xfId="0" applyNumberFormat="1" applyFont="1" applyFill="1" applyBorder="1" applyAlignment="1">
      <alignment horizontal="center" vertical="center"/>
    </xf>
    <xf numFmtId="0" fontId="43" fillId="33" borderId="13" xfId="0" applyFont="1" applyFill="1" applyBorder="1" applyAlignment="1">
      <alignment horizontal="left" vertical="center"/>
    </xf>
    <xf numFmtId="1" fontId="43" fillId="33" borderId="1" xfId="0" applyNumberFormat="1" applyFont="1" applyFill="1" applyBorder="1" applyAlignment="1">
      <alignment horizontal="right" vertical="center"/>
    </xf>
    <xf numFmtId="1" fontId="43" fillId="33" borderId="1" xfId="0" applyNumberFormat="1" applyFont="1" applyFill="1" applyBorder="1" applyAlignment="1">
      <alignment horizontal="right" vertical="center" wrapText="1"/>
    </xf>
    <xf numFmtId="0" fontId="43" fillId="33" borderId="13" xfId="0" applyFont="1" applyFill="1" applyBorder="1" applyAlignment="1">
      <alignment horizontal="left" vertical="center" wrapText="1"/>
    </xf>
    <xf numFmtId="0" fontId="31" fillId="30" borderId="0" xfId="0" applyFont="1" applyFill="1" applyAlignment="1">
      <alignment vertical="center"/>
    </xf>
    <xf numFmtId="0" fontId="31" fillId="0" borderId="0" xfId="0" applyFont="1" applyAlignment="1">
      <alignment vertical="center"/>
    </xf>
    <xf numFmtId="0" fontId="43" fillId="33" borderId="15" xfId="0" applyFont="1" applyFill="1" applyBorder="1" applyAlignment="1">
      <alignment horizontal="left" vertical="center" wrapText="1"/>
    </xf>
    <xf numFmtId="1" fontId="43" fillId="33" borderId="3" xfId="0" applyNumberFormat="1" applyFont="1" applyFill="1" applyBorder="1" applyAlignment="1">
      <alignment horizontal="right" vertical="center"/>
    </xf>
    <xf numFmtId="0" fontId="31" fillId="25" borderId="11" xfId="0" applyFont="1" applyFill="1" applyBorder="1" applyAlignment="1">
      <alignment horizontal="left" vertical="center"/>
    </xf>
    <xf numFmtId="0" fontId="31" fillId="25" borderId="1" xfId="0" applyFont="1" applyFill="1" applyBorder="1" applyAlignment="1">
      <alignment horizontal="left" vertical="center"/>
    </xf>
    <xf numFmtId="0" fontId="31" fillId="25" borderId="1" xfId="0" applyFont="1" applyFill="1" applyBorder="1" applyAlignment="1">
      <alignment horizontal="left" vertical="center" wrapText="1"/>
    </xf>
    <xf numFmtId="0" fontId="31" fillId="25" borderId="3" xfId="0" applyFont="1" applyFill="1" applyBorder="1" applyAlignment="1">
      <alignment horizontal="left" vertical="center" wrapText="1"/>
    </xf>
    <xf numFmtId="0" fontId="43" fillId="35" borderId="11" xfId="0" applyFont="1" applyFill="1" applyBorder="1" applyAlignment="1">
      <alignment horizontal="left" vertical="center" wrapText="1"/>
    </xf>
    <xf numFmtId="1" fontId="43" fillId="35" borderId="11" xfId="0" applyNumberFormat="1" applyFont="1" applyFill="1" applyBorder="1" applyAlignment="1">
      <alignment horizontal="right" vertical="center"/>
    </xf>
    <xf numFmtId="0" fontId="43" fillId="35" borderId="1" xfId="0" applyFont="1" applyFill="1" applyBorder="1" applyAlignment="1">
      <alignment horizontal="left" vertical="center" wrapText="1"/>
    </xf>
    <xf numFmtId="1" fontId="43" fillId="35" borderId="1" xfId="0" applyNumberFormat="1" applyFont="1" applyFill="1" applyBorder="1" applyAlignment="1">
      <alignment horizontal="right" vertical="center"/>
    </xf>
    <xf numFmtId="0" fontId="43" fillId="35" borderId="1" xfId="0" applyFont="1" applyFill="1" applyBorder="1" applyAlignment="1">
      <alignment horizontal="left" vertical="center"/>
    </xf>
    <xf numFmtId="0" fontId="43" fillId="35" borderId="3" xfId="0" applyFont="1" applyFill="1" applyBorder="1" applyAlignment="1">
      <alignment horizontal="left" vertical="center"/>
    </xf>
    <xf numFmtId="1" fontId="43" fillId="35" borderId="3" xfId="0" applyNumberFormat="1" applyFont="1" applyFill="1" applyBorder="1" applyAlignment="1">
      <alignment horizontal="right" vertical="center"/>
    </xf>
    <xf numFmtId="0" fontId="31" fillId="36" borderId="0" xfId="0" applyFont="1" applyFill="1" applyAlignment="1">
      <alignment vertical="center"/>
    </xf>
    <xf numFmtId="0" fontId="31" fillId="37" borderId="1" xfId="0" applyFont="1" applyFill="1" applyBorder="1" applyAlignment="1">
      <alignment horizontal="left" vertical="center" wrapText="1"/>
    </xf>
    <xf numFmtId="0" fontId="31" fillId="36" borderId="1" xfId="0" applyFont="1" applyFill="1" applyBorder="1" applyAlignment="1">
      <alignment horizontal="left" vertical="center" wrapText="1"/>
    </xf>
    <xf numFmtId="0" fontId="31" fillId="38" borderId="0" xfId="0" applyFont="1" applyFill="1" applyAlignment="1">
      <alignment vertical="center"/>
    </xf>
    <xf numFmtId="0" fontId="31" fillId="38" borderId="1" xfId="0" applyFont="1" applyFill="1" applyBorder="1" applyAlignment="1">
      <alignment horizontal="left" vertical="center" wrapText="1"/>
    </xf>
    <xf numFmtId="0" fontId="57" fillId="30" borderId="0" xfId="0" applyFont="1" applyFill="1" applyAlignment="1">
      <alignment vertical="center"/>
    </xf>
    <xf numFmtId="0" fontId="57" fillId="38" borderId="0" xfId="0" applyFont="1" applyFill="1" applyAlignment="1">
      <alignment vertical="center"/>
    </xf>
    <xf numFmtId="0" fontId="57" fillId="38" borderId="1" xfId="0" applyFont="1" applyFill="1" applyBorder="1" applyAlignment="1">
      <alignment horizontal="left" vertical="center" wrapText="1"/>
    </xf>
    <xf numFmtId="0" fontId="43" fillId="38" borderId="0" xfId="0" applyFont="1" applyFill="1" applyAlignment="1">
      <alignment vertical="center"/>
    </xf>
    <xf numFmtId="0" fontId="31" fillId="38" borderId="1" xfId="0" applyFont="1" applyFill="1" applyBorder="1" applyAlignment="1">
      <alignment horizontal="left" vertical="center"/>
    </xf>
    <xf numFmtId="0" fontId="43" fillId="0" borderId="0" xfId="0" applyFont="1" applyAlignment="1">
      <alignment horizontal="center" vertical="center" wrapText="1"/>
    </xf>
    <xf numFmtId="0" fontId="43" fillId="0" borderId="0" xfId="0" applyFont="1" applyAlignment="1">
      <alignment horizontal="left" vertical="center"/>
    </xf>
    <xf numFmtId="0" fontId="43" fillId="0" borderId="0" xfId="0" applyFont="1" applyAlignment="1">
      <alignment horizontal="right" vertical="center"/>
    </xf>
    <xf numFmtId="0" fontId="20" fillId="30" borderId="1" xfId="0" applyFont="1" applyFill="1" applyBorder="1" applyAlignment="1">
      <alignment vertical="center" wrapText="1"/>
    </xf>
    <xf numFmtId="0" fontId="11" fillId="15" borderId="0" xfId="0" applyFont="1" applyFill="1" applyAlignment="1">
      <alignment vertical="center"/>
    </xf>
    <xf numFmtId="0" fontId="11" fillId="15" borderId="0" xfId="0" applyFont="1" applyFill="1" applyAlignment="1">
      <alignment horizontal="center" vertical="center"/>
    </xf>
    <xf numFmtId="0" fontId="11" fillId="15" borderId="1" xfId="0" applyFont="1" applyFill="1" applyBorder="1" applyAlignment="1">
      <alignment vertical="center"/>
    </xf>
    <xf numFmtId="0" fontId="12" fillId="15" borderId="0" xfId="0" applyFont="1" applyFill="1" applyAlignment="1">
      <alignment vertical="center"/>
    </xf>
    <xf numFmtId="0" fontId="21" fillId="15" borderId="0" xfId="0" applyFont="1" applyFill="1" applyAlignment="1">
      <alignment vertical="center" wrapText="1"/>
    </xf>
    <xf numFmtId="0" fontId="12" fillId="15" borderId="0" xfId="0" applyFont="1" applyFill="1" applyAlignment="1">
      <alignment horizontal="left" vertical="center"/>
    </xf>
    <xf numFmtId="0" fontId="43" fillId="0" borderId="1" xfId="0" applyFont="1" applyBorder="1" applyAlignment="1">
      <alignment vertical="center"/>
    </xf>
    <xf numFmtId="0" fontId="20" fillId="15" borderId="0" xfId="0" applyFont="1" applyFill="1" applyAlignment="1">
      <alignment vertical="center" textRotation="90" wrapText="1"/>
    </xf>
    <xf numFmtId="0" fontId="12" fillId="15" borderId="1" xfId="0" applyFont="1" applyFill="1" applyBorder="1" applyAlignment="1">
      <alignment horizontal="center" vertical="center" wrapText="1"/>
    </xf>
    <xf numFmtId="0" fontId="12" fillId="0" borderId="1" xfId="0" applyFont="1" applyBorder="1" applyAlignment="1">
      <alignment vertical="center"/>
    </xf>
    <xf numFmtId="0" fontId="45" fillId="15" borderId="0" xfId="0" applyFont="1" applyFill="1" applyAlignment="1">
      <alignment vertical="center"/>
    </xf>
    <xf numFmtId="0" fontId="47" fillId="15" borderId="0" xfId="0" applyFont="1" applyFill="1" applyAlignment="1">
      <alignment vertical="center"/>
    </xf>
    <xf numFmtId="0" fontId="11" fillId="15" borderId="0" xfId="0" applyFont="1" applyFill="1" applyAlignment="1">
      <alignment vertical="center" wrapText="1"/>
    </xf>
    <xf numFmtId="0" fontId="11" fillId="11" borderId="1" xfId="0" applyFont="1" applyFill="1" applyBorder="1" applyAlignment="1">
      <alignment vertical="center" wrapText="1"/>
    </xf>
    <xf numFmtId="17" fontId="11" fillId="11" borderId="1" xfId="0" applyNumberFormat="1" applyFont="1" applyFill="1" applyBorder="1" applyAlignment="1">
      <alignment horizontal="center" vertical="center" wrapText="1"/>
    </xf>
    <xf numFmtId="0" fontId="23" fillId="11" borderId="1" xfId="0" applyFont="1" applyFill="1" applyBorder="1" applyAlignment="1">
      <alignment vertical="center"/>
    </xf>
    <xf numFmtId="1" fontId="11" fillId="11" borderId="1" xfId="0" applyNumberFormat="1" applyFont="1" applyFill="1" applyBorder="1" applyAlignment="1">
      <alignment horizontal="center" vertical="center"/>
    </xf>
    <xf numFmtId="0" fontId="11" fillId="11" borderId="1" xfId="0" applyFont="1" applyFill="1" applyBorder="1" applyAlignment="1">
      <alignment vertical="center"/>
    </xf>
    <xf numFmtId="0" fontId="23" fillId="11" borderId="18" xfId="0" applyFont="1" applyFill="1" applyBorder="1" applyAlignment="1">
      <alignment vertical="center" wrapText="1"/>
    </xf>
    <xf numFmtId="1" fontId="23" fillId="11" borderId="11" xfId="0" applyNumberFormat="1" applyFont="1" applyFill="1" applyBorder="1" applyAlignment="1">
      <alignment horizontal="center" vertical="center" wrapText="1"/>
    </xf>
    <xf numFmtId="0" fontId="23" fillId="11" borderId="13" xfId="0" applyFont="1" applyFill="1" applyBorder="1" applyAlignment="1">
      <alignment vertical="center" wrapText="1"/>
    </xf>
    <xf numFmtId="1" fontId="23" fillId="11" borderId="1" xfId="0" applyNumberFormat="1" applyFont="1" applyFill="1" applyBorder="1" applyAlignment="1">
      <alignment horizontal="center" vertical="center" wrapText="1"/>
    </xf>
    <xf numFmtId="0" fontId="48" fillId="11" borderId="13" xfId="0" applyFont="1" applyFill="1" applyBorder="1" applyAlignment="1">
      <alignment vertical="center"/>
    </xf>
    <xf numFmtId="2" fontId="49" fillId="11" borderId="1" xfId="0" applyNumberFormat="1" applyFont="1" applyFill="1" applyBorder="1" applyAlignment="1">
      <alignment horizontal="center" vertical="center"/>
    </xf>
    <xf numFmtId="0" fontId="50" fillId="11" borderId="13" xfId="0" applyFont="1" applyFill="1" applyBorder="1" applyAlignment="1">
      <alignment vertical="center"/>
    </xf>
    <xf numFmtId="0" fontId="23" fillId="15"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28" fillId="11" borderId="1" xfId="0" applyFont="1" applyFill="1" applyBorder="1" applyAlignment="1">
      <alignment horizontal="center" vertical="center"/>
    </xf>
    <xf numFmtId="0" fontId="23" fillId="16" borderId="1" xfId="0" applyFont="1" applyFill="1" applyBorder="1" applyAlignment="1">
      <alignment horizontal="center" vertical="center" wrapText="1"/>
    </xf>
    <xf numFmtId="0" fontId="49" fillId="11" borderId="19" xfId="0" applyFont="1" applyFill="1" applyBorder="1" applyAlignment="1">
      <alignment vertical="center"/>
    </xf>
    <xf numFmtId="1" fontId="49" fillId="11" borderId="1" xfId="0" applyNumberFormat="1" applyFont="1" applyFill="1" applyBorder="1" applyAlignment="1">
      <alignment horizontal="center" vertical="center"/>
    </xf>
    <xf numFmtId="0" fontId="11" fillId="15" borderId="0" xfId="0" applyFont="1" applyFill="1" applyAlignment="1">
      <alignment horizontal="center" vertical="center" wrapText="1"/>
    </xf>
    <xf numFmtId="0" fontId="0" fillId="15" borderId="0" xfId="0" applyFill="1"/>
    <xf numFmtId="0" fontId="23" fillId="15" borderId="0" xfId="0" applyFont="1" applyFill="1" applyAlignment="1">
      <alignment vertical="center"/>
    </xf>
    <xf numFmtId="2" fontId="11" fillId="11" borderId="1" xfId="0" applyNumberFormat="1" applyFont="1" applyFill="1" applyBorder="1" applyAlignment="1">
      <alignment horizontal="center" vertical="center"/>
    </xf>
    <xf numFmtId="165" fontId="28" fillId="11" borderId="1" xfId="0" applyNumberFormat="1" applyFont="1" applyFill="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17" fontId="51" fillId="11" borderId="1" xfId="0" applyNumberFormat="1" applyFont="1" applyFill="1" applyBorder="1" applyAlignment="1">
      <alignment horizontal="center" vertical="center" wrapText="1"/>
    </xf>
    <xf numFmtId="0" fontId="37" fillId="6" borderId="20" xfId="0" applyFont="1" applyFill="1" applyBorder="1" applyAlignment="1">
      <alignment vertical="center" wrapText="1"/>
    </xf>
    <xf numFmtId="0" fontId="37" fillId="6" borderId="6" xfId="0" applyFont="1" applyFill="1" applyBorder="1" applyAlignment="1">
      <alignment vertical="center" wrapText="1"/>
    </xf>
    <xf numFmtId="170" fontId="0" fillId="0" borderId="0" xfId="0" applyNumberFormat="1" applyAlignment="1">
      <alignment vertical="center"/>
    </xf>
    <xf numFmtId="170" fontId="0" fillId="0" borderId="0" xfId="0" applyNumberFormat="1"/>
    <xf numFmtId="1" fontId="31" fillId="37" borderId="14" xfId="0" applyNumberFormat="1" applyFont="1" applyFill="1" applyBorder="1" applyAlignment="1">
      <alignment horizontal="center" vertical="center"/>
    </xf>
    <xf numFmtId="1" fontId="31" fillId="37" borderId="16" xfId="0" applyNumberFormat="1" applyFont="1" applyFill="1" applyBorder="1" applyAlignment="1">
      <alignment horizontal="center" vertical="center"/>
    </xf>
    <xf numFmtId="1" fontId="31" fillId="40" borderId="14" xfId="0" applyNumberFormat="1" applyFont="1" applyFill="1" applyBorder="1" applyAlignment="1">
      <alignment horizontal="center" vertical="center"/>
    </xf>
    <xf numFmtId="1" fontId="57" fillId="40" borderId="14" xfId="0" applyNumberFormat="1" applyFont="1" applyFill="1" applyBorder="1" applyAlignment="1">
      <alignment horizontal="center" vertical="center"/>
    </xf>
    <xf numFmtId="2" fontId="11" fillId="27" borderId="1" xfId="0" applyNumberFormat="1" applyFont="1" applyFill="1" applyBorder="1" applyAlignment="1">
      <alignment horizontal="center" vertical="center"/>
    </xf>
    <xf numFmtId="20" fontId="0" fillId="4" borderId="1" xfId="0" applyNumberFormat="1" applyFill="1" applyBorder="1" applyAlignment="1">
      <alignment horizontal="center" vertical="center"/>
    </xf>
    <xf numFmtId="165" fontId="0" fillId="27" borderId="1" xfId="0" applyNumberFormat="1" applyFill="1" applyBorder="1" applyAlignment="1">
      <alignment horizontal="center" vertical="center"/>
    </xf>
    <xf numFmtId="0" fontId="43" fillId="38" borderId="3" xfId="0" applyFont="1" applyFill="1" applyBorder="1" applyAlignment="1">
      <alignment horizontal="left" vertical="center" wrapText="1"/>
    </xf>
    <xf numFmtId="1" fontId="43" fillId="40" borderId="16" xfId="0" applyNumberFormat="1" applyFont="1" applyFill="1" applyBorder="1" applyAlignment="1">
      <alignment horizontal="center" vertical="center"/>
    </xf>
    <xf numFmtId="1" fontId="43" fillId="37" borderId="24" xfId="0" applyNumberFormat="1" applyFont="1" applyFill="1" applyBorder="1" applyAlignment="1">
      <alignment horizontal="center" vertical="center"/>
    </xf>
    <xf numFmtId="0" fontId="43" fillId="36" borderId="0" xfId="0" applyFont="1" applyFill="1" applyAlignment="1">
      <alignment vertical="center"/>
    </xf>
    <xf numFmtId="0" fontId="43" fillId="36" borderId="1" xfId="0" applyFont="1" applyFill="1" applyBorder="1" applyAlignment="1">
      <alignment horizontal="left" vertical="center" wrapText="1"/>
    </xf>
    <xf numFmtId="1" fontId="43" fillId="37" borderId="14" xfId="0" applyNumberFormat="1" applyFont="1" applyFill="1" applyBorder="1" applyAlignment="1">
      <alignment horizontal="center" vertical="center"/>
    </xf>
    <xf numFmtId="0" fontId="43" fillId="38" borderId="1" xfId="0" applyFont="1" applyFill="1" applyBorder="1" applyAlignment="1">
      <alignment horizontal="left" vertical="center" wrapText="1"/>
    </xf>
    <xf numFmtId="1" fontId="43" fillId="40" borderId="14" xfId="0" applyNumberFormat="1" applyFont="1" applyFill="1" applyBorder="1" applyAlignment="1">
      <alignment horizontal="center" vertical="center"/>
    </xf>
    <xf numFmtId="0" fontId="43" fillId="30" borderId="0" xfId="0" applyFont="1" applyFill="1" applyAlignment="1">
      <alignment horizontal="center" vertical="center"/>
    </xf>
    <xf numFmtId="0" fontId="43" fillId="0" borderId="0" xfId="0" applyFont="1" applyAlignment="1">
      <alignment horizontal="center" vertical="center"/>
    </xf>
    <xf numFmtId="0" fontId="59" fillId="38" borderId="9" xfId="0" applyFont="1" applyFill="1" applyBorder="1" applyAlignment="1">
      <alignment horizontal="left" vertical="center" wrapText="1"/>
    </xf>
    <xf numFmtId="1" fontId="59" fillId="40" borderId="22" xfId="0" applyNumberFormat="1" applyFont="1" applyFill="1" applyBorder="1" applyAlignment="1">
      <alignment horizontal="center" vertical="center"/>
    </xf>
    <xf numFmtId="0" fontId="59" fillId="30" borderId="0" xfId="0" applyFont="1" applyFill="1" applyAlignment="1">
      <alignment vertical="center"/>
    </xf>
    <xf numFmtId="0" fontId="59" fillId="0" borderId="0" xfId="0" applyFont="1" applyAlignment="1">
      <alignment vertical="center"/>
    </xf>
    <xf numFmtId="1" fontId="17" fillId="2" borderId="1" xfId="0" applyNumberFormat="1" applyFont="1" applyFill="1" applyBorder="1" applyAlignment="1">
      <alignment horizontal="center" vertical="center"/>
    </xf>
    <xf numFmtId="0" fontId="60" fillId="30" borderId="0" xfId="0" applyFont="1" applyFill="1" applyAlignment="1">
      <alignment vertical="center"/>
    </xf>
    <xf numFmtId="0" fontId="60" fillId="38" borderId="0" xfId="0" applyFont="1" applyFill="1" applyAlignment="1">
      <alignment vertical="center"/>
    </xf>
    <xf numFmtId="0" fontId="43" fillId="43" borderId="2" xfId="0" applyFont="1" applyFill="1" applyBorder="1" applyAlignment="1">
      <alignment horizontal="left" vertical="center" wrapText="1"/>
    </xf>
    <xf numFmtId="1" fontId="43" fillId="43" borderId="24" xfId="0" applyNumberFormat="1" applyFont="1" applyFill="1" applyBorder="1" applyAlignment="1">
      <alignment horizontal="center" vertical="center"/>
    </xf>
    <xf numFmtId="0" fontId="31" fillId="43" borderId="2" xfId="0" applyFont="1" applyFill="1" applyBorder="1" applyAlignment="1">
      <alignment horizontal="left" vertical="center" wrapText="1"/>
    </xf>
    <xf numFmtId="1" fontId="31" fillId="43" borderId="24" xfId="0" applyNumberFormat="1" applyFont="1" applyFill="1" applyBorder="1" applyAlignment="1">
      <alignment horizontal="center" vertical="center"/>
    </xf>
    <xf numFmtId="0" fontId="31" fillId="44" borderId="1" xfId="0" applyFont="1" applyFill="1" applyBorder="1" applyAlignment="1">
      <alignment horizontal="left" vertical="center" wrapText="1"/>
    </xf>
    <xf numFmtId="1" fontId="31" fillId="44" borderId="14" xfId="0" applyNumberFormat="1" applyFont="1" applyFill="1" applyBorder="1" applyAlignment="1">
      <alignment horizontal="center" vertical="center"/>
    </xf>
    <xf numFmtId="0" fontId="43" fillId="44" borderId="1" xfId="0" applyFont="1" applyFill="1" applyBorder="1" applyAlignment="1">
      <alignment horizontal="left" vertical="center" wrapText="1"/>
    </xf>
    <xf numFmtId="1" fontId="43" fillId="0" borderId="0" xfId="0" applyNumberFormat="1" applyFont="1" applyAlignment="1">
      <alignment horizontal="right" vertical="center"/>
    </xf>
    <xf numFmtId="0" fontId="23" fillId="0" borderId="1" xfId="0" applyFont="1" applyBorder="1" applyAlignment="1">
      <alignment horizontal="center"/>
    </xf>
    <xf numFmtId="0" fontId="0" fillId="0" borderId="1" xfId="0" applyBorder="1" applyAlignment="1">
      <alignment horizontal="center"/>
    </xf>
    <xf numFmtId="0" fontId="0" fillId="24" borderId="1" xfId="0" applyFill="1" applyBorder="1"/>
    <xf numFmtId="0" fontId="43" fillId="46" borderId="1" xfId="0" applyFont="1" applyFill="1" applyBorder="1" applyAlignment="1">
      <alignment horizontal="left" vertical="center" wrapText="1"/>
    </xf>
    <xf numFmtId="0" fontId="31" fillId="46" borderId="1" xfId="0" applyFont="1" applyFill="1" applyBorder="1" applyAlignment="1">
      <alignment horizontal="left" vertical="center" wrapText="1"/>
    </xf>
    <xf numFmtId="0" fontId="11" fillId="0" borderId="4" xfId="0" applyFont="1" applyBorder="1" applyAlignment="1">
      <alignment horizontal="center" vertical="center" wrapText="1"/>
    </xf>
    <xf numFmtId="0" fontId="12" fillId="0" borderId="0" xfId="0" applyFont="1" applyAlignment="1">
      <alignment horizontal="center" vertical="center"/>
    </xf>
    <xf numFmtId="171" fontId="23" fillId="11" borderId="9" xfId="2" applyNumberFormat="1" applyFont="1" applyFill="1" applyBorder="1" applyAlignment="1">
      <alignment horizontal="center" vertical="center"/>
    </xf>
    <xf numFmtId="10" fontId="23" fillId="11" borderId="9" xfId="2" applyNumberFormat="1" applyFont="1" applyFill="1" applyBorder="1" applyAlignment="1">
      <alignment horizontal="center" vertical="center"/>
    </xf>
    <xf numFmtId="10" fontId="23" fillId="11" borderId="17" xfId="2" applyNumberFormat="1" applyFont="1" applyFill="1" applyBorder="1" applyAlignment="1">
      <alignment horizontal="center" vertical="center"/>
    </xf>
    <xf numFmtId="9" fontId="11" fillId="15" borderId="0" xfId="2" applyFont="1" applyFill="1" applyBorder="1" applyAlignment="1">
      <alignment horizontal="center" vertical="center"/>
    </xf>
    <xf numFmtId="0" fontId="43" fillId="36" borderId="2" xfId="0" applyFont="1" applyFill="1" applyBorder="1" applyAlignment="1">
      <alignment horizontal="left" vertical="center" wrapText="1"/>
    </xf>
    <xf numFmtId="0" fontId="21" fillId="37" borderId="0" xfId="0" applyFont="1" applyFill="1" applyAlignment="1">
      <alignment horizontal="center" vertical="center" textRotation="90" wrapText="1"/>
    </xf>
    <xf numFmtId="0" fontId="31" fillId="42" borderId="2" xfId="0" applyFont="1" applyFill="1" applyBorder="1" applyAlignment="1">
      <alignment horizontal="left" vertical="center" wrapText="1"/>
    </xf>
    <xf numFmtId="165" fontId="17" fillId="2" borderId="1" xfId="0" applyNumberFormat="1" applyFont="1" applyFill="1" applyBorder="1" applyAlignment="1">
      <alignment horizontal="center" vertical="center"/>
    </xf>
    <xf numFmtId="0" fontId="43" fillId="47" borderId="1" xfId="0" applyFont="1" applyFill="1" applyBorder="1" applyAlignment="1">
      <alignment horizontal="left" vertical="center" wrapText="1"/>
    </xf>
    <xf numFmtId="1" fontId="43" fillId="48" borderId="1" xfId="0" applyNumberFormat="1" applyFont="1" applyFill="1" applyBorder="1" applyAlignment="1">
      <alignment horizontal="right" vertical="center"/>
    </xf>
    <xf numFmtId="1" fontId="0" fillId="0" borderId="0" xfId="0" applyNumberFormat="1" applyAlignment="1">
      <alignment vertical="center"/>
    </xf>
    <xf numFmtId="0" fontId="31" fillId="49" borderId="1" xfId="0" applyFont="1" applyFill="1" applyBorder="1" applyAlignment="1">
      <alignment horizontal="left" vertical="center" wrapText="1"/>
    </xf>
    <xf numFmtId="0" fontId="43" fillId="49" borderId="1" xfId="0" applyFont="1" applyFill="1" applyBorder="1" applyAlignment="1">
      <alignment horizontal="left" vertical="center" wrapText="1"/>
    </xf>
    <xf numFmtId="1" fontId="43" fillId="33" borderId="11" xfId="0" applyNumberFormat="1" applyFont="1" applyFill="1" applyBorder="1" applyAlignment="1">
      <alignment vertical="center"/>
    </xf>
    <xf numFmtId="1" fontId="43" fillId="33" borderId="1" xfId="0" applyNumberFormat="1" applyFont="1" applyFill="1" applyBorder="1" applyAlignment="1">
      <alignment vertical="center"/>
    </xf>
    <xf numFmtId="0" fontId="43" fillId="48" borderId="1" xfId="0" applyFont="1" applyFill="1" applyBorder="1" applyAlignment="1">
      <alignment horizontal="right" vertical="center"/>
    </xf>
    <xf numFmtId="0" fontId="31" fillId="45" borderId="3" xfId="0" applyFont="1" applyFill="1" applyBorder="1" applyAlignment="1">
      <alignment horizontal="left" vertical="center" wrapText="1"/>
    </xf>
    <xf numFmtId="2" fontId="18" fillId="4" borderId="1" xfId="0" applyNumberFormat="1" applyFont="1" applyFill="1" applyBorder="1" applyAlignment="1">
      <alignment horizontal="center" vertical="center"/>
    </xf>
    <xf numFmtId="0" fontId="43" fillId="33" borderId="1" xfId="0" applyFont="1" applyFill="1" applyBorder="1" applyAlignment="1">
      <alignment vertical="center"/>
    </xf>
    <xf numFmtId="2" fontId="12" fillId="0" borderId="4" xfId="0" applyNumberFormat="1" applyFont="1" applyBorder="1" applyAlignment="1">
      <alignment horizontal="center" vertical="center"/>
    </xf>
    <xf numFmtId="2" fontId="12" fillId="15" borderId="1" xfId="0" applyNumberFormat="1" applyFont="1" applyFill="1" applyBorder="1" applyAlignment="1">
      <alignment horizontal="center" vertical="center"/>
    </xf>
    <xf numFmtId="0" fontId="12" fillId="0" borderId="4" xfId="0" applyFont="1" applyBorder="1" applyAlignment="1">
      <alignment horizontal="center" vertical="center"/>
    </xf>
    <xf numFmtId="0" fontId="11" fillId="4" borderId="1" xfId="0" applyFont="1" applyFill="1" applyBorder="1" applyAlignment="1">
      <alignment horizontal="left" vertical="center" wrapText="1"/>
    </xf>
    <xf numFmtId="49" fontId="35" fillId="11" borderId="26" xfId="0" applyNumberFormat="1" applyFont="1" applyFill="1" applyBorder="1" applyAlignment="1">
      <alignment vertical="center"/>
    </xf>
    <xf numFmtId="0" fontId="43" fillId="24" borderId="1" xfId="0" applyFont="1" applyFill="1" applyBorder="1" applyAlignment="1">
      <alignment horizontal="left" vertical="center" wrapText="1"/>
    </xf>
    <xf numFmtId="2" fontId="17" fillId="50" borderId="1" xfId="0" applyNumberFormat="1" applyFont="1" applyFill="1" applyBorder="1" applyAlignment="1">
      <alignment horizontal="center" vertical="center"/>
    </xf>
    <xf numFmtId="164" fontId="17" fillId="50" borderId="1" xfId="0" applyNumberFormat="1" applyFont="1" applyFill="1" applyBorder="1" applyAlignment="1">
      <alignment horizontal="center" vertical="center"/>
    </xf>
    <xf numFmtId="164" fontId="17" fillId="2" borderId="2" xfId="0" applyNumberFormat="1" applyFont="1" applyFill="1" applyBorder="1" applyAlignment="1">
      <alignment horizontal="center" vertical="center"/>
    </xf>
    <xf numFmtId="2" fontId="17" fillId="6" borderId="1" xfId="0" applyNumberFormat="1" applyFont="1" applyFill="1" applyBorder="1" applyAlignment="1">
      <alignment horizontal="center" vertical="center"/>
    </xf>
    <xf numFmtId="2" fontId="17" fillId="9" borderId="1" xfId="0" applyNumberFormat="1" applyFont="1" applyFill="1" applyBorder="1" applyAlignment="1">
      <alignment horizontal="center" vertical="center"/>
    </xf>
    <xf numFmtId="1" fontId="34" fillId="2" borderId="1" xfId="0" applyNumberFormat="1" applyFont="1" applyFill="1" applyBorder="1" applyAlignment="1">
      <alignment horizontal="center" vertical="center"/>
    </xf>
    <xf numFmtId="164" fontId="17" fillId="9" borderId="1" xfId="0" applyNumberFormat="1" applyFont="1" applyFill="1" applyBorder="1" applyAlignment="1">
      <alignment horizontal="center" vertical="center"/>
    </xf>
    <xf numFmtId="165" fontId="17" fillId="9" borderId="1" xfId="0" applyNumberFormat="1" applyFont="1" applyFill="1" applyBorder="1" applyAlignment="1">
      <alignment horizontal="center" vertical="center"/>
    </xf>
    <xf numFmtId="1" fontId="17" fillId="9" borderId="1" xfId="0" applyNumberFormat="1" applyFont="1" applyFill="1" applyBorder="1" applyAlignment="1">
      <alignment horizontal="center" vertical="center"/>
    </xf>
    <xf numFmtId="0" fontId="53" fillId="0" borderId="1" xfId="0" applyFont="1" applyBorder="1"/>
    <xf numFmtId="164" fontId="0" fillId="0" borderId="0" xfId="0" applyNumberFormat="1" applyAlignment="1">
      <alignment horizontal="center"/>
    </xf>
    <xf numFmtId="165" fontId="17" fillId="28" borderId="1" xfId="0" applyNumberFormat="1" applyFont="1" applyFill="1" applyBorder="1" applyAlignment="1">
      <alignment horizontal="center" vertical="center"/>
    </xf>
    <xf numFmtId="2" fontId="17" fillId="28" borderId="1" xfId="0" applyNumberFormat="1" applyFont="1" applyFill="1" applyBorder="1" applyAlignment="1">
      <alignment horizontal="center" vertical="center"/>
    </xf>
    <xf numFmtId="164" fontId="17" fillId="51" borderId="1" xfId="0" applyNumberFormat="1" applyFont="1" applyFill="1" applyBorder="1" applyAlignment="1">
      <alignment horizontal="center" vertical="center"/>
    </xf>
    <xf numFmtId="0" fontId="11" fillId="24" borderId="1" xfId="0" applyFont="1" applyFill="1" applyBorder="1"/>
    <xf numFmtId="164" fontId="0" fillId="0" borderId="1" xfId="0" applyNumberFormat="1" applyBorder="1" applyAlignment="1">
      <alignment horizontal="center" vertical="center" wrapText="1"/>
    </xf>
    <xf numFmtId="1" fontId="31" fillId="39" borderId="27" xfId="0" applyNumberFormat="1" applyFont="1" applyFill="1" applyBorder="1" applyAlignment="1">
      <alignment horizontal="center" vertical="center"/>
    </xf>
    <xf numFmtId="1" fontId="31" fillId="39" borderId="25" xfId="0" applyNumberFormat="1" applyFont="1" applyFill="1" applyBorder="1" applyAlignment="1">
      <alignment horizontal="center" vertical="center"/>
    </xf>
    <xf numFmtId="2" fontId="0" fillId="0" borderId="0" xfId="0" applyNumberFormat="1" applyAlignment="1">
      <alignment horizontal="center"/>
    </xf>
    <xf numFmtId="170" fontId="0" fillId="0" borderId="0" xfId="0" applyNumberFormat="1" applyAlignment="1">
      <alignment horizontal="center"/>
    </xf>
    <xf numFmtId="2" fontId="17" fillId="5" borderId="1" xfId="0" applyNumberFormat="1" applyFont="1" applyFill="1" applyBorder="1" applyAlignment="1">
      <alignment horizontal="center" vertical="center"/>
    </xf>
    <xf numFmtId="0" fontId="31" fillId="5" borderId="1" xfId="0" applyFont="1" applyFill="1" applyBorder="1" applyAlignment="1">
      <alignment vertical="center"/>
    </xf>
    <xf numFmtId="170" fontId="0" fillId="27" borderId="1" xfId="0" applyNumberFormat="1" applyFill="1" applyBorder="1" applyAlignment="1">
      <alignment horizontal="center" vertical="center"/>
    </xf>
    <xf numFmtId="2" fontId="0" fillId="27" borderId="1" xfId="0" applyNumberFormat="1" applyFill="1" applyBorder="1" applyAlignment="1">
      <alignment horizontal="center" vertical="center"/>
    </xf>
    <xf numFmtId="165" fontId="0" fillId="0" borderId="0" xfId="0" applyNumberFormat="1" applyAlignment="1">
      <alignment horizontal="center"/>
    </xf>
    <xf numFmtId="49" fontId="32" fillId="31" borderId="7" xfId="0" applyNumberFormat="1" applyFont="1" applyFill="1" applyBorder="1" applyAlignment="1">
      <alignment horizontal="center" vertical="center"/>
    </xf>
    <xf numFmtId="1" fontId="31" fillId="39" borderId="38" xfId="0" applyNumberFormat="1" applyFont="1" applyFill="1" applyBorder="1" applyAlignment="1">
      <alignment horizontal="center" vertical="center"/>
    </xf>
    <xf numFmtId="1" fontId="31" fillId="41" borderId="27" xfId="0" applyNumberFormat="1" applyFont="1" applyFill="1" applyBorder="1" applyAlignment="1">
      <alignment horizontal="center" vertical="center"/>
    </xf>
    <xf numFmtId="1" fontId="31" fillId="41" borderId="25" xfId="0" applyNumberFormat="1" applyFont="1" applyFill="1" applyBorder="1" applyAlignment="1">
      <alignment horizontal="center" vertical="center"/>
    </xf>
    <xf numFmtId="1" fontId="31" fillId="41" borderId="39" xfId="0" applyNumberFormat="1" applyFont="1" applyFill="1" applyBorder="1" applyAlignment="1">
      <alignment horizontal="center" vertical="center"/>
    </xf>
    <xf numFmtId="1" fontId="31" fillId="37" borderId="25" xfId="0" applyNumberFormat="1" applyFont="1" applyFill="1" applyBorder="1" applyAlignment="1">
      <alignment horizontal="center" vertical="center"/>
    </xf>
    <xf numFmtId="165" fontId="0" fillId="0" borderId="0" xfId="0" applyNumberFormat="1" applyAlignment="1">
      <alignment vertical="center"/>
    </xf>
    <xf numFmtId="172" fontId="0" fillId="0" borderId="0" xfId="0" applyNumberFormat="1" applyAlignment="1">
      <alignment vertical="center"/>
    </xf>
    <xf numFmtId="2" fontId="11" fillId="4" borderId="1" xfId="0" applyNumberFormat="1" applyFont="1" applyFill="1" applyBorder="1" applyAlignment="1">
      <alignment horizontal="center" vertical="center" wrapText="1"/>
    </xf>
    <xf numFmtId="2" fontId="17" fillId="2" borderId="2" xfId="0" applyNumberFormat="1" applyFont="1" applyFill="1" applyBorder="1" applyAlignment="1">
      <alignment horizontal="center" vertical="center"/>
    </xf>
    <xf numFmtId="2" fontId="17" fillId="30" borderId="0" xfId="0" applyNumberFormat="1" applyFont="1" applyFill="1" applyAlignment="1">
      <alignment horizontal="center" vertical="center"/>
    </xf>
    <xf numFmtId="0" fontId="0" fillId="0" borderId="1" xfId="0" applyBorder="1" applyAlignment="1">
      <alignment vertical="center"/>
    </xf>
    <xf numFmtId="168" fontId="44" fillId="32" borderId="3" xfId="0" applyNumberFormat="1" applyFont="1" applyFill="1" applyBorder="1" applyAlignment="1" applyProtection="1">
      <alignment horizontal="right" vertical="center"/>
      <protection locked="0"/>
    </xf>
    <xf numFmtId="1" fontId="31" fillId="25" borderId="1" xfId="0" applyNumberFormat="1" applyFont="1" applyFill="1" applyBorder="1" applyAlignment="1">
      <alignment horizontal="right" vertical="center"/>
    </xf>
    <xf numFmtId="1" fontId="43" fillId="36" borderId="1" xfId="0" applyNumberFormat="1" applyFont="1" applyFill="1" applyBorder="1" applyAlignment="1">
      <alignment horizontal="right" vertical="center"/>
    </xf>
    <xf numFmtId="1" fontId="31" fillId="37" borderId="1" xfId="0" applyNumberFormat="1" applyFont="1" applyFill="1" applyBorder="1" applyAlignment="1">
      <alignment horizontal="right" vertical="center"/>
    </xf>
    <xf numFmtId="1" fontId="31" fillId="45" borderId="1" xfId="0" applyNumberFormat="1" applyFont="1" applyFill="1" applyBorder="1" applyAlignment="1">
      <alignment horizontal="right" vertical="center"/>
    </xf>
    <xf numFmtId="1" fontId="31" fillId="36" borderId="1" xfId="0" applyNumberFormat="1" applyFont="1" applyFill="1" applyBorder="1" applyAlignment="1">
      <alignment horizontal="right" vertical="center"/>
    </xf>
    <xf numFmtId="9" fontId="43" fillId="43" borderId="1" xfId="2" applyFont="1" applyFill="1" applyBorder="1" applyAlignment="1">
      <alignment horizontal="right" vertical="center"/>
    </xf>
    <xf numFmtId="9" fontId="31" fillId="43" borderId="1" xfId="2" applyFont="1" applyFill="1" applyBorder="1" applyAlignment="1">
      <alignment horizontal="right" vertical="center"/>
    </xf>
    <xf numFmtId="1" fontId="43" fillId="38" borderId="1" xfId="0" applyNumberFormat="1" applyFont="1" applyFill="1" applyBorder="1" applyAlignment="1">
      <alignment horizontal="right" vertical="center"/>
    </xf>
    <xf numFmtId="1" fontId="57" fillId="38" borderId="1" xfId="0" applyNumberFormat="1" applyFont="1" applyFill="1" applyBorder="1" applyAlignment="1">
      <alignment horizontal="right" vertical="center"/>
    </xf>
    <xf numFmtId="1" fontId="31" fillId="38" borderId="1" xfId="0" applyNumberFormat="1" applyFont="1" applyFill="1" applyBorder="1" applyAlignment="1">
      <alignment horizontal="right" vertical="center"/>
    </xf>
    <xf numFmtId="165" fontId="59" fillId="38" borderId="1" xfId="0" applyNumberFormat="1" applyFont="1" applyFill="1" applyBorder="1" applyAlignment="1">
      <alignment horizontal="right" vertical="center"/>
    </xf>
    <xf numFmtId="0" fontId="31" fillId="52" borderId="1" xfId="0" applyFont="1" applyFill="1" applyBorder="1" applyAlignment="1">
      <alignment horizontal="left" vertical="center" wrapText="1"/>
    </xf>
    <xf numFmtId="1" fontId="31" fillId="52" borderId="1" xfId="0" applyNumberFormat="1" applyFont="1" applyFill="1" applyBorder="1" applyAlignment="1">
      <alignment horizontal="right" vertical="center"/>
    </xf>
    <xf numFmtId="1" fontId="31" fillId="52" borderId="14" xfId="0" applyNumberFormat="1" applyFont="1" applyFill="1" applyBorder="1" applyAlignment="1">
      <alignment horizontal="center" vertical="center"/>
    </xf>
    <xf numFmtId="0" fontId="43" fillId="52" borderId="0" xfId="0" applyFont="1" applyFill="1" applyAlignment="1">
      <alignment vertical="center"/>
    </xf>
    <xf numFmtId="1" fontId="31" fillId="25" borderId="27" xfId="0" applyNumberFormat="1" applyFont="1" applyFill="1" applyBorder="1" applyAlignment="1">
      <alignment horizontal="right" vertical="center"/>
    </xf>
    <xf numFmtId="1" fontId="31" fillId="25" borderId="25" xfId="0" applyNumberFormat="1" applyFont="1" applyFill="1" applyBorder="1" applyAlignment="1">
      <alignment horizontal="right" vertical="center"/>
    </xf>
    <xf numFmtId="1" fontId="31" fillId="25" borderId="39" xfId="0" applyNumberFormat="1" applyFont="1" applyFill="1" applyBorder="1" applyAlignment="1">
      <alignment horizontal="right" vertical="center"/>
    </xf>
    <xf numFmtId="1" fontId="43" fillId="33" borderId="2" xfId="0" applyNumberFormat="1" applyFont="1" applyFill="1" applyBorder="1" applyAlignment="1">
      <alignment horizontal="right" vertical="center"/>
    </xf>
    <xf numFmtId="1" fontId="31" fillId="34" borderId="24" xfId="0" applyNumberFormat="1" applyFont="1" applyFill="1" applyBorder="1" applyAlignment="1">
      <alignment horizontal="center" vertical="center"/>
    </xf>
    <xf numFmtId="0" fontId="38" fillId="4" borderId="1" xfId="0" applyFont="1" applyFill="1" applyBorder="1" applyAlignment="1">
      <alignment horizontal="left" vertical="center"/>
    </xf>
    <xf numFmtId="164" fontId="23" fillId="9" borderId="1" xfId="0" applyNumberFormat="1" applyFont="1" applyFill="1" applyBorder="1" applyAlignment="1">
      <alignment horizontal="center" vertical="center"/>
    </xf>
    <xf numFmtId="164" fontId="23" fillId="28" borderId="1" xfId="0" applyNumberFormat="1" applyFont="1" applyFill="1" applyBorder="1" applyAlignment="1">
      <alignment horizontal="center" vertical="center"/>
    </xf>
    <xf numFmtId="164" fontId="23" fillId="19" borderId="1" xfId="0" applyNumberFormat="1" applyFont="1" applyFill="1" applyBorder="1" applyAlignment="1">
      <alignment horizontal="center" vertical="center"/>
    </xf>
    <xf numFmtId="164" fontId="23" fillId="2" borderId="1" xfId="0" applyNumberFormat="1" applyFont="1" applyFill="1" applyBorder="1" applyAlignment="1">
      <alignment horizontal="center" vertical="center"/>
    </xf>
    <xf numFmtId="164" fontId="23" fillId="6" borderId="1" xfId="0" applyNumberFormat="1" applyFont="1" applyFill="1" applyBorder="1" applyAlignment="1">
      <alignment horizontal="center" vertical="center"/>
    </xf>
    <xf numFmtId="165" fontId="0" fillId="0" borderId="0" xfId="0" applyNumberFormat="1"/>
    <xf numFmtId="166" fontId="17" fillId="2" borderId="3" xfId="0" applyNumberFormat="1" applyFont="1" applyFill="1" applyBorder="1" applyAlignment="1">
      <alignment horizontal="center" vertical="center"/>
    </xf>
    <xf numFmtId="166" fontId="17" fillId="2" borderId="1" xfId="0" applyNumberFormat="1" applyFont="1" applyFill="1" applyBorder="1" applyAlignment="1">
      <alignment horizontal="center" vertical="center"/>
    </xf>
    <xf numFmtId="170" fontId="17" fillId="2" borderId="2" xfId="0" applyNumberFormat="1" applyFont="1" applyFill="1" applyBorder="1" applyAlignment="1">
      <alignment horizontal="center" vertical="center"/>
    </xf>
    <xf numFmtId="0" fontId="11" fillId="30" borderId="1" xfId="0" applyFont="1" applyFill="1" applyBorder="1" applyAlignment="1">
      <alignment horizontal="center" vertical="center"/>
    </xf>
    <xf numFmtId="2" fontId="17" fillId="0" borderId="0" xfId="0" applyNumberFormat="1" applyFont="1" applyAlignment="1">
      <alignment horizontal="center" vertical="center"/>
    </xf>
    <xf numFmtId="0" fontId="17" fillId="2" borderId="1" xfId="0" applyFont="1" applyFill="1" applyBorder="1" applyAlignment="1">
      <alignment horizontal="center" vertical="center"/>
    </xf>
    <xf numFmtId="0" fontId="11" fillId="7" borderId="1" xfId="0" applyFont="1" applyFill="1" applyBorder="1" applyAlignment="1">
      <alignment horizontal="center" vertical="center"/>
    </xf>
    <xf numFmtId="2" fontId="17" fillId="19" borderId="1" xfId="0" applyNumberFormat="1" applyFont="1" applyFill="1" applyBorder="1" applyAlignment="1">
      <alignment horizontal="center" vertical="center"/>
    </xf>
    <xf numFmtId="165" fontId="17" fillId="6" borderId="1" xfId="0" applyNumberFormat="1" applyFont="1" applyFill="1" applyBorder="1" applyAlignment="1">
      <alignment horizontal="center" vertical="center"/>
    </xf>
    <xf numFmtId="0" fontId="17" fillId="6" borderId="1" xfId="0" applyFont="1" applyFill="1" applyBorder="1" applyAlignment="1">
      <alignment horizontal="center" vertical="center"/>
    </xf>
    <xf numFmtId="1" fontId="17" fillId="6" borderId="1" xfId="0" applyNumberFormat="1" applyFont="1" applyFill="1" applyBorder="1" applyAlignment="1">
      <alignment horizontal="center" vertical="center"/>
    </xf>
    <xf numFmtId="0" fontId="27" fillId="10" borderId="2" xfId="0" applyFont="1" applyFill="1" applyBorder="1" applyAlignment="1">
      <alignment vertical="center"/>
    </xf>
    <xf numFmtId="0" fontId="11" fillId="10" borderId="1" xfId="0" applyFont="1" applyFill="1" applyBorder="1" applyAlignment="1">
      <alignment vertical="center"/>
    </xf>
    <xf numFmtId="0" fontId="13" fillId="2"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5" borderId="0" xfId="0" applyFont="1" applyFill="1" applyAlignment="1">
      <alignment horizontal="center" vertical="center"/>
    </xf>
    <xf numFmtId="0" fontId="11" fillId="0" borderId="1" xfId="0" applyFont="1" applyBorder="1" applyAlignment="1">
      <alignment horizontal="center" vertical="center" wrapText="1"/>
    </xf>
    <xf numFmtId="2" fontId="0" fillId="0" borderId="0" xfId="0" applyNumberFormat="1"/>
    <xf numFmtId="2" fontId="53" fillId="29" borderId="1" xfId="0" applyNumberFormat="1" applyFont="1" applyFill="1" applyBorder="1" applyAlignment="1">
      <alignment horizontal="center" vertical="center"/>
    </xf>
    <xf numFmtId="2" fontId="12" fillId="0" borderId="0" xfId="0" applyNumberFormat="1" applyFont="1" applyAlignment="1">
      <alignment horizontal="center" vertical="center"/>
    </xf>
    <xf numFmtId="2" fontId="18" fillId="4" borderId="1" xfId="0" applyNumberFormat="1" applyFont="1" applyFill="1" applyBorder="1" applyAlignment="1">
      <alignment horizontal="center" vertical="center" wrapText="1"/>
    </xf>
    <xf numFmtId="173" fontId="0" fillId="0" borderId="0" xfId="0" applyNumberFormat="1" applyAlignment="1">
      <alignment vertical="center"/>
    </xf>
    <xf numFmtId="0" fontId="43" fillId="4" borderId="2" xfId="0" applyFont="1" applyFill="1" applyBorder="1" applyAlignment="1">
      <alignment horizontal="center" vertical="center" wrapText="1"/>
    </xf>
    <xf numFmtId="20" fontId="11" fillId="27" borderId="1" xfId="0" applyNumberFormat="1" applyFont="1" applyFill="1" applyBorder="1" applyAlignment="1">
      <alignment horizontal="center" vertical="center"/>
    </xf>
    <xf numFmtId="0" fontId="23" fillId="0" borderId="1" xfId="0" applyFont="1" applyBorder="1"/>
    <xf numFmtId="0" fontId="64" fillId="28" borderId="1" xfId="0" applyFont="1" applyFill="1" applyBorder="1"/>
    <xf numFmtId="0" fontId="64" fillId="28" borderId="1" xfId="0" applyFont="1" applyFill="1" applyBorder="1" applyAlignment="1">
      <alignment horizontal="center"/>
    </xf>
    <xf numFmtId="0" fontId="23" fillId="28" borderId="1" xfId="0" applyFont="1" applyFill="1" applyBorder="1"/>
    <xf numFmtId="0" fontId="23" fillId="28" borderId="1" xfId="0" applyFont="1" applyFill="1" applyBorder="1" applyAlignment="1">
      <alignment horizontal="center"/>
    </xf>
    <xf numFmtId="2" fontId="23" fillId="28" borderId="1" xfId="0" applyNumberFormat="1" applyFont="1" applyFill="1" applyBorder="1" applyAlignment="1">
      <alignment horizontal="center"/>
    </xf>
    <xf numFmtId="1" fontId="23" fillId="28" borderId="1" xfId="0" applyNumberFormat="1" applyFont="1" applyFill="1" applyBorder="1" applyAlignment="1">
      <alignment horizontal="center"/>
    </xf>
    <xf numFmtId="164" fontId="23" fillId="28" borderId="1" xfId="0" applyNumberFormat="1" applyFont="1" applyFill="1" applyBorder="1" applyAlignment="1">
      <alignment horizontal="center"/>
    </xf>
    <xf numFmtId="0" fontId="0" fillId="42" borderId="1" xfId="0" applyFill="1" applyBorder="1" applyAlignment="1">
      <alignment vertical="center"/>
    </xf>
    <xf numFmtId="0" fontId="65" fillId="28" borderId="40" xfId="0" applyFont="1" applyFill="1" applyBorder="1" applyAlignment="1">
      <alignment horizontal="center" vertical="center"/>
    </xf>
    <xf numFmtId="1" fontId="43" fillId="30" borderId="0" xfId="0" applyNumberFormat="1" applyFont="1" applyFill="1" applyAlignment="1">
      <alignment vertical="center"/>
    </xf>
    <xf numFmtId="169" fontId="66" fillId="0" borderId="1" xfId="0" applyNumberFormat="1" applyFont="1" applyBorder="1" applyAlignment="1">
      <alignment horizontal="center" vertical="center"/>
    </xf>
    <xf numFmtId="0" fontId="67" fillId="0" borderId="1" xfId="0" applyFont="1" applyBorder="1" applyAlignment="1">
      <alignment horizontal="center" vertical="center"/>
    </xf>
    <xf numFmtId="14" fontId="43" fillId="4" borderId="2" xfId="0" applyNumberFormat="1" applyFont="1" applyFill="1" applyBorder="1" applyAlignment="1">
      <alignment horizontal="center" vertical="center" wrapText="1"/>
    </xf>
    <xf numFmtId="165" fontId="18" fillId="4" borderId="2" xfId="0" applyNumberFormat="1" applyFont="1" applyFill="1" applyBorder="1" applyAlignment="1">
      <alignment horizontal="center" vertical="center" wrapText="1"/>
    </xf>
    <xf numFmtId="165" fontId="11" fillId="27" borderId="1" xfId="0" applyNumberFormat="1" applyFont="1" applyFill="1" applyBorder="1" applyAlignment="1">
      <alignment horizontal="center" vertical="center"/>
    </xf>
    <xf numFmtId="1" fontId="43" fillId="35" borderId="1" xfId="0" quotePrefix="1" applyNumberFormat="1" applyFont="1" applyFill="1" applyBorder="1" applyAlignment="1">
      <alignment horizontal="right" vertical="center"/>
    </xf>
    <xf numFmtId="1" fontId="43" fillId="33" borderId="3" xfId="0" applyNumberFormat="1" applyFont="1" applyFill="1" applyBorder="1" applyAlignment="1">
      <alignment vertical="center"/>
    </xf>
    <xf numFmtId="1" fontId="43" fillId="35" borderId="11" xfId="0" applyNumberFormat="1" applyFont="1" applyFill="1" applyBorder="1" applyAlignment="1">
      <alignment vertical="center"/>
    </xf>
    <xf numFmtId="1" fontId="43" fillId="43" borderId="1" xfId="0" applyNumberFormat="1" applyFont="1" applyFill="1" applyBorder="1" applyAlignment="1">
      <alignment vertical="center"/>
    </xf>
    <xf numFmtId="1" fontId="43" fillId="44" borderId="1" xfId="0" applyNumberFormat="1" applyFont="1" applyFill="1" applyBorder="1" applyAlignment="1">
      <alignment vertical="center"/>
    </xf>
    <xf numFmtId="9" fontId="43" fillId="44" borderId="1" xfId="2" applyFont="1" applyFill="1" applyBorder="1" applyAlignment="1">
      <alignment vertical="center"/>
    </xf>
    <xf numFmtId="9" fontId="31" fillId="44" borderId="1" xfId="2" applyFont="1" applyFill="1" applyBorder="1" applyAlignment="1">
      <alignment vertical="center"/>
    </xf>
    <xf numFmtId="1" fontId="43" fillId="38" borderId="1" xfId="0" applyNumberFormat="1" applyFont="1" applyFill="1" applyBorder="1" applyAlignment="1">
      <alignment vertical="center"/>
    </xf>
    <xf numFmtId="1" fontId="31" fillId="52" borderId="1" xfId="0" applyNumberFormat="1" applyFont="1" applyFill="1" applyBorder="1" applyAlignment="1">
      <alignment vertical="center"/>
    </xf>
    <xf numFmtId="165" fontId="59" fillId="38" borderId="1" xfId="0" applyNumberFormat="1" applyFont="1" applyFill="1" applyBorder="1" applyAlignment="1">
      <alignment vertical="center"/>
    </xf>
    <xf numFmtId="1" fontId="43" fillId="0" borderId="0" xfId="0" applyNumberFormat="1" applyFont="1" applyAlignment="1">
      <alignment vertical="center"/>
    </xf>
    <xf numFmtId="1" fontId="11" fillId="27" borderId="1" xfId="0" applyNumberFormat="1" applyFont="1" applyFill="1" applyBorder="1" applyAlignment="1">
      <alignment horizontal="center" vertical="center"/>
    </xf>
    <xf numFmtId="0" fontId="23" fillId="28" borderId="13" xfId="0" applyFont="1" applyFill="1" applyBorder="1" applyAlignment="1">
      <alignment horizontal="center"/>
    </xf>
    <xf numFmtId="0" fontId="23" fillId="28" borderId="43" xfId="0" applyFont="1" applyFill="1" applyBorder="1" applyAlignment="1">
      <alignment horizontal="center"/>
    </xf>
    <xf numFmtId="0" fontId="65" fillId="27" borderId="44" xfId="0" applyFont="1" applyFill="1" applyBorder="1" applyAlignment="1">
      <alignment horizontal="center" vertical="center"/>
    </xf>
    <xf numFmtId="0" fontId="23" fillId="25" borderId="43" xfId="0" applyFont="1" applyFill="1" applyBorder="1" applyAlignment="1">
      <alignment horizontal="center"/>
    </xf>
    <xf numFmtId="0" fontId="23" fillId="25" borderId="45" xfId="0" applyFont="1" applyFill="1" applyBorder="1" applyAlignment="1">
      <alignment horizontal="center"/>
    </xf>
    <xf numFmtId="0" fontId="23" fillId="24" borderId="45" xfId="0" applyFont="1" applyFill="1" applyBorder="1" applyAlignment="1">
      <alignment horizontal="center"/>
    </xf>
    <xf numFmtId="0" fontId="11" fillId="4" borderId="1" xfId="0" applyFont="1" applyFill="1" applyBorder="1" applyAlignment="1">
      <alignment horizontal="center" vertical="center"/>
    </xf>
    <xf numFmtId="9" fontId="43" fillId="44" borderId="1" xfId="2" applyFont="1" applyFill="1" applyBorder="1" applyAlignment="1">
      <alignment horizontal="right" vertical="center"/>
    </xf>
    <xf numFmtId="9" fontId="31" fillId="44" borderId="1" xfId="2" applyFont="1" applyFill="1" applyBorder="1" applyAlignment="1">
      <alignment horizontal="right" vertical="center"/>
    </xf>
    <xf numFmtId="164" fontId="23" fillId="24" borderId="1" xfId="0" applyNumberFormat="1" applyFont="1" applyFill="1" applyBorder="1" applyAlignment="1">
      <alignment horizontal="center"/>
    </xf>
    <xf numFmtId="0" fontId="23" fillId="28" borderId="45" xfId="0" applyFont="1" applyFill="1" applyBorder="1" applyAlignment="1">
      <alignment horizontal="center"/>
    </xf>
    <xf numFmtId="2" fontId="0" fillId="20" borderId="0" xfId="0" applyNumberFormat="1" applyFill="1" applyAlignment="1">
      <alignment vertical="center"/>
    </xf>
    <xf numFmtId="16" fontId="0" fillId="20" borderId="0" xfId="0" applyNumberFormat="1" applyFill="1" applyAlignment="1">
      <alignment vertical="center"/>
    </xf>
    <xf numFmtId="0" fontId="11" fillId="20" borderId="0" xfId="0" applyFont="1" applyFill="1" applyAlignment="1">
      <alignment horizontal="right" vertical="center"/>
    </xf>
    <xf numFmtId="0" fontId="28" fillId="20" borderId="0" xfId="0" applyFont="1" applyFill="1" applyAlignment="1">
      <alignment horizontal="center" vertical="center"/>
    </xf>
    <xf numFmtId="0" fontId="18" fillId="19" borderId="1" xfId="0" applyFont="1" applyFill="1" applyBorder="1" applyAlignment="1">
      <alignment vertical="center"/>
    </xf>
    <xf numFmtId="0" fontId="11" fillId="19" borderId="1" xfId="0" applyFont="1" applyFill="1" applyBorder="1" applyAlignment="1">
      <alignment horizontal="center" vertical="center"/>
    </xf>
    <xf numFmtId="0" fontId="18" fillId="51" borderId="1" xfId="0" applyFont="1" applyFill="1" applyBorder="1" applyAlignment="1">
      <alignment vertical="center"/>
    </xf>
    <xf numFmtId="0" fontId="11" fillId="51" borderId="1" xfId="0" applyFont="1" applyFill="1" applyBorder="1" applyAlignment="1">
      <alignment horizontal="center" vertical="center"/>
    </xf>
    <xf numFmtId="2" fontId="17" fillId="51" borderId="1" xfId="0" applyNumberFormat="1" applyFont="1" applyFill="1" applyBorder="1" applyAlignment="1">
      <alignment horizontal="center" vertical="center"/>
    </xf>
    <xf numFmtId="49" fontId="32" fillId="0" borderId="7" xfId="0" applyNumberFormat="1" applyFont="1" applyFill="1" applyBorder="1" applyAlignment="1">
      <alignment horizontal="center" vertical="center"/>
    </xf>
    <xf numFmtId="0" fontId="0" fillId="0" borderId="0" xfId="0" applyFill="1" applyAlignment="1">
      <alignment vertical="center"/>
    </xf>
    <xf numFmtId="0" fontId="14" fillId="0" borderId="1" xfId="0" applyFont="1" applyFill="1" applyBorder="1" applyAlignment="1">
      <alignment horizontal="center" vertical="center"/>
    </xf>
    <xf numFmtId="2" fontId="17" fillId="0" borderId="1" xfId="0" applyNumberFormat="1" applyFont="1" applyFill="1" applyBorder="1" applyAlignment="1">
      <alignment horizontal="center" vertical="center"/>
    </xf>
    <xf numFmtId="0" fontId="43" fillId="0" borderId="0" xfId="0" applyFont="1" applyFill="1" applyAlignment="1">
      <alignment vertical="center"/>
    </xf>
    <xf numFmtId="1" fontId="17" fillId="0" borderId="1" xfId="0" applyNumberFormat="1" applyFont="1" applyFill="1" applyBorder="1" applyAlignment="1">
      <alignment horizontal="center" vertical="center"/>
    </xf>
    <xf numFmtId="0" fontId="22" fillId="0" borderId="0" xfId="0" applyFont="1" applyFill="1" applyAlignment="1">
      <alignment vertical="center"/>
    </xf>
    <xf numFmtId="0" fontId="0" fillId="0" borderId="0" xfId="0" applyFill="1" applyAlignment="1">
      <alignment horizontal="center" vertical="center"/>
    </xf>
    <xf numFmtId="2" fontId="23" fillId="0" borderId="0" xfId="0" applyNumberFormat="1" applyFont="1" applyFill="1" applyAlignment="1">
      <alignment vertical="center"/>
    </xf>
    <xf numFmtId="0" fontId="23" fillId="0" borderId="0" xfId="0" applyFont="1" applyFill="1" applyAlignment="1">
      <alignment vertical="center"/>
    </xf>
    <xf numFmtId="2" fontId="23" fillId="28" borderId="45" xfId="0" applyNumberFormat="1" applyFont="1" applyFill="1" applyBorder="1" applyAlignment="1">
      <alignment horizontal="center"/>
    </xf>
    <xf numFmtId="0" fontId="23" fillId="44" borderId="43" xfId="0" quotePrefix="1" applyFont="1" applyFill="1" applyBorder="1" applyAlignment="1">
      <alignment horizontal="center"/>
    </xf>
    <xf numFmtId="3" fontId="65" fillId="27" borderId="44" xfId="0" applyNumberFormat="1" applyFont="1" applyFill="1" applyBorder="1" applyAlignment="1">
      <alignment horizontal="center" vertical="center"/>
    </xf>
    <xf numFmtId="0" fontId="57" fillId="43" borderId="1" xfId="0" applyFont="1" applyFill="1" applyBorder="1" applyAlignment="1">
      <alignment horizontal="left" vertical="center" wrapText="1"/>
    </xf>
    <xf numFmtId="1" fontId="31" fillId="43" borderId="1" xfId="0" applyNumberFormat="1" applyFont="1" applyFill="1" applyBorder="1" applyAlignment="1">
      <alignment horizontal="right" vertical="center"/>
    </xf>
    <xf numFmtId="0" fontId="11" fillId="9" borderId="4" xfId="0" applyFont="1" applyFill="1" applyBorder="1" applyAlignment="1">
      <alignment horizontal="center" vertical="center"/>
    </xf>
    <xf numFmtId="0" fontId="0" fillId="24" borderId="1" xfId="0" applyFill="1" applyBorder="1" applyAlignment="1">
      <alignment vertical="center"/>
    </xf>
    <xf numFmtId="0" fontId="0" fillId="56" borderId="1" xfId="0" applyFill="1" applyBorder="1" applyAlignment="1">
      <alignment vertical="center"/>
    </xf>
    <xf numFmtId="0" fontId="0" fillId="0" borderId="0" xfId="0" applyFill="1"/>
    <xf numFmtId="170" fontId="18" fillId="4" borderId="1" xfId="0" applyNumberFormat="1" applyFont="1" applyFill="1" applyBorder="1" applyAlignment="1">
      <alignment horizontal="center" vertical="center" wrapText="1"/>
    </xf>
    <xf numFmtId="172" fontId="18" fillId="4" borderId="1" xfId="0" applyNumberFormat="1" applyFont="1" applyFill="1" applyBorder="1" applyAlignment="1">
      <alignment horizontal="center" vertical="center" wrapText="1"/>
    </xf>
    <xf numFmtId="174" fontId="0" fillId="0" borderId="0" xfId="0" applyNumberFormat="1" applyAlignment="1">
      <alignment vertical="center"/>
    </xf>
    <xf numFmtId="0" fontId="29" fillId="17" borderId="1" xfId="0" applyFont="1" applyFill="1" applyBorder="1" applyAlignment="1">
      <alignment horizontal="center" vertical="center"/>
    </xf>
    <xf numFmtId="0" fontId="39" fillId="5" borderId="4" xfId="0" applyFont="1" applyFill="1" applyBorder="1" applyAlignment="1">
      <alignment horizontal="left" vertical="center"/>
    </xf>
    <xf numFmtId="0" fontId="39" fillId="5" borderId="25" xfId="0" applyFont="1" applyFill="1" applyBorder="1" applyAlignment="1">
      <alignment horizontal="left" vertical="center"/>
    </xf>
    <xf numFmtId="0" fontId="19" fillId="5" borderId="4" xfId="0" applyFont="1" applyFill="1" applyBorder="1" applyAlignment="1">
      <alignment horizontal="center" vertical="center"/>
    </xf>
    <xf numFmtId="0" fontId="19" fillId="5" borderId="5" xfId="0" applyFont="1" applyFill="1" applyBorder="1" applyAlignment="1">
      <alignment horizontal="center" vertical="center"/>
    </xf>
    <xf numFmtId="0" fontId="39" fillId="5" borderId="8" xfId="0" applyFont="1" applyFill="1" applyBorder="1" applyAlignment="1">
      <alignment horizontal="left" vertical="center"/>
    </xf>
    <xf numFmtId="0" fontId="39" fillId="5" borderId="27" xfId="0" applyFont="1" applyFill="1" applyBorder="1" applyAlignment="1">
      <alignment horizontal="left" vertical="center"/>
    </xf>
    <xf numFmtId="0" fontId="37" fillId="5" borderId="4" xfId="0" applyFont="1" applyFill="1" applyBorder="1" applyAlignment="1">
      <alignment horizontal="left" vertical="center"/>
    </xf>
    <xf numFmtId="0" fontId="37" fillId="5" borderId="25" xfId="0" applyFont="1" applyFill="1" applyBorder="1" applyAlignment="1">
      <alignment horizontal="left" vertical="center"/>
    </xf>
    <xf numFmtId="49" fontId="35" fillId="11" borderId="26" xfId="0" applyNumberFormat="1" applyFont="1" applyFill="1" applyBorder="1" applyAlignment="1">
      <alignment horizontal="center" vertical="center"/>
    </xf>
    <xf numFmtId="49" fontId="35" fillId="11" borderId="0" xfId="0" applyNumberFormat="1" applyFont="1" applyFill="1" applyAlignment="1">
      <alignment horizontal="center" vertical="center"/>
    </xf>
    <xf numFmtId="0" fontId="19" fillId="5" borderId="26" xfId="0" applyFont="1" applyFill="1" applyBorder="1" applyAlignment="1">
      <alignment horizontal="center" vertical="center"/>
    </xf>
    <xf numFmtId="0" fontId="19" fillId="5" borderId="0" xfId="0" applyFont="1" applyFill="1" applyAlignment="1">
      <alignment horizontal="center" vertical="center"/>
    </xf>
    <xf numFmtId="0" fontId="12" fillId="12" borderId="26" xfId="0" applyFont="1" applyFill="1" applyBorder="1" applyAlignment="1">
      <alignment horizontal="center" vertical="center"/>
    </xf>
    <xf numFmtId="0" fontId="12" fillId="12" borderId="0" xfId="0" applyFont="1" applyFill="1" applyAlignment="1">
      <alignment horizontal="center" vertical="center"/>
    </xf>
    <xf numFmtId="0" fontId="37" fillId="6" borderId="20" xfId="0" applyFont="1" applyFill="1" applyBorder="1" applyAlignment="1">
      <alignment horizontal="center" vertical="center" wrapText="1"/>
    </xf>
    <xf numFmtId="0" fontId="37" fillId="6" borderId="6" xfId="0" applyFont="1" applyFill="1" applyBorder="1" applyAlignment="1">
      <alignment horizontal="center" vertical="center" wrapText="1"/>
    </xf>
    <xf numFmtId="49" fontId="35" fillId="11" borderId="8" xfId="0" applyNumberFormat="1" applyFont="1" applyFill="1" applyBorder="1" applyAlignment="1">
      <alignment horizontal="center" vertical="center"/>
    </xf>
    <xf numFmtId="49" fontId="35" fillId="11" borderId="7" xfId="0" applyNumberFormat="1" applyFont="1" applyFill="1" applyBorder="1" applyAlignment="1">
      <alignment horizontal="center" vertical="center"/>
    </xf>
    <xf numFmtId="0" fontId="26" fillId="2" borderId="28" xfId="0" applyFont="1" applyFill="1" applyBorder="1" applyAlignment="1">
      <alignment horizontal="center" vertical="center"/>
    </xf>
    <xf numFmtId="0" fontId="26" fillId="2" borderId="0" xfId="0" applyFont="1" applyFill="1" applyAlignment="1">
      <alignment horizontal="center" vertical="center"/>
    </xf>
    <xf numFmtId="0" fontId="19" fillId="5" borderId="20" xfId="0" applyFont="1" applyFill="1" applyBorder="1" applyAlignment="1">
      <alignment horizontal="center" vertical="center"/>
    </xf>
    <xf numFmtId="0" fontId="19" fillId="5" borderId="6" xfId="0" applyFont="1" applyFill="1" applyBorder="1" applyAlignment="1">
      <alignment horizontal="center" vertical="center"/>
    </xf>
    <xf numFmtId="0" fontId="11" fillId="9" borderId="28" xfId="0" applyFont="1" applyFill="1" applyBorder="1" applyAlignment="1">
      <alignment horizontal="center" vertical="center"/>
    </xf>
    <xf numFmtId="0" fontId="11" fillId="9" borderId="0" xfId="0" applyFont="1" applyFill="1" applyAlignment="1">
      <alignment horizontal="center" vertical="center"/>
    </xf>
    <xf numFmtId="0" fontId="19" fillId="10" borderId="4" xfId="0" applyFont="1" applyFill="1" applyBorder="1" applyAlignment="1">
      <alignment horizontal="center" vertical="center"/>
    </xf>
    <xf numFmtId="0" fontId="19" fillId="10" borderId="5" xfId="0" applyFont="1" applyFill="1" applyBorder="1" applyAlignment="1">
      <alignment horizontal="center" vertical="center"/>
    </xf>
    <xf numFmtId="0" fontId="19" fillId="10" borderId="25" xfId="0" applyFont="1" applyFill="1" applyBorder="1" applyAlignment="1">
      <alignment horizontal="center" vertical="center"/>
    </xf>
    <xf numFmtId="0" fontId="19" fillId="10" borderId="26" xfId="0" applyFont="1" applyFill="1" applyBorder="1" applyAlignment="1">
      <alignment horizontal="center" vertical="center"/>
    </xf>
    <xf numFmtId="0" fontId="19" fillId="10" borderId="0" xfId="0" applyFont="1" applyFill="1" applyAlignment="1">
      <alignment horizontal="center" vertical="center"/>
    </xf>
    <xf numFmtId="0" fontId="19" fillId="10" borderId="20" xfId="0" applyFont="1" applyFill="1" applyBorder="1" applyAlignment="1">
      <alignment horizontal="center" vertical="center"/>
    </xf>
    <xf numFmtId="0" fontId="19" fillId="10" borderId="6" xfId="0" applyFont="1" applyFill="1" applyBorder="1" applyAlignment="1">
      <alignment horizontal="center" vertical="center"/>
    </xf>
    <xf numFmtId="0" fontId="27" fillId="10" borderId="20" xfId="0" applyFont="1" applyFill="1" applyBorder="1" applyAlignment="1">
      <alignment horizontal="center" vertical="center"/>
    </xf>
    <xf numFmtId="0" fontId="27" fillId="10" borderId="6" xfId="0" applyFont="1" applyFill="1" applyBorder="1" applyAlignment="1">
      <alignment horizontal="center" vertical="center"/>
    </xf>
    <xf numFmtId="0" fontId="34" fillId="2" borderId="4" xfId="0" applyFont="1" applyFill="1" applyBorder="1" applyAlignment="1">
      <alignment horizontal="center" vertical="center"/>
    </xf>
    <xf numFmtId="0" fontId="34" fillId="2" borderId="25" xfId="0" applyFont="1" applyFill="1" applyBorder="1" applyAlignment="1">
      <alignment horizontal="center" vertical="center"/>
    </xf>
    <xf numFmtId="0" fontId="38" fillId="2" borderId="4" xfId="0" applyFont="1" applyFill="1" applyBorder="1" applyAlignment="1">
      <alignment horizontal="center" vertical="center"/>
    </xf>
    <xf numFmtId="0" fontId="38" fillId="2" borderId="5" xfId="0" applyFont="1" applyFill="1" applyBorder="1" applyAlignment="1">
      <alignment horizontal="center" vertical="center"/>
    </xf>
    <xf numFmtId="0" fontId="36" fillId="6" borderId="4" xfId="0" applyFont="1" applyFill="1" applyBorder="1" applyAlignment="1">
      <alignment horizontal="center" vertical="center"/>
    </xf>
    <xf numFmtId="0" fontId="36" fillId="6" borderId="5" xfId="0" applyFont="1" applyFill="1" applyBorder="1" applyAlignment="1">
      <alignment horizontal="center" vertical="center"/>
    </xf>
    <xf numFmtId="0" fontId="20" fillId="20" borderId="1" xfId="0" applyFont="1" applyFill="1" applyBorder="1" applyAlignment="1">
      <alignment horizontal="center" vertical="center"/>
    </xf>
    <xf numFmtId="0" fontId="20" fillId="20" borderId="3" xfId="0" applyFont="1" applyFill="1" applyBorder="1" applyAlignment="1">
      <alignment horizontal="center" vertical="center"/>
    </xf>
    <xf numFmtId="0" fontId="0" fillId="6" borderId="28" xfId="0" applyFill="1" applyBorder="1" applyAlignment="1">
      <alignment horizontal="center"/>
    </xf>
    <xf numFmtId="0" fontId="0" fillId="6" borderId="0" xfId="0" applyFill="1" applyAlignment="1">
      <alignment horizontal="center"/>
    </xf>
    <xf numFmtId="0" fontId="19" fillId="7" borderId="26" xfId="0" applyFont="1" applyFill="1" applyBorder="1" applyAlignment="1">
      <alignment horizontal="center" vertical="center"/>
    </xf>
    <xf numFmtId="0" fontId="19" fillId="7" borderId="0" xfId="0" applyFont="1" applyFill="1" applyAlignment="1">
      <alignment horizontal="center" vertical="center"/>
    </xf>
    <xf numFmtId="0" fontId="19" fillId="7" borderId="20" xfId="0" applyFont="1" applyFill="1" applyBorder="1" applyAlignment="1">
      <alignment horizontal="center" vertical="center"/>
    </xf>
    <xf numFmtId="0" fontId="19" fillId="7" borderId="6" xfId="0" applyFont="1" applyFill="1" applyBorder="1" applyAlignment="1">
      <alignment horizontal="center" vertical="center"/>
    </xf>
    <xf numFmtId="0" fontId="19" fillId="7" borderId="4" xfId="0" applyFont="1" applyFill="1" applyBorder="1" applyAlignment="1">
      <alignment horizontal="center" vertical="center"/>
    </xf>
    <xf numFmtId="0" fontId="19" fillId="7" borderId="5" xfId="0" applyFont="1" applyFill="1" applyBorder="1" applyAlignment="1">
      <alignment horizontal="center" vertical="center"/>
    </xf>
    <xf numFmtId="0" fontId="21" fillId="40" borderId="21" xfId="0" applyFont="1" applyFill="1" applyBorder="1" applyAlignment="1">
      <alignment horizontal="center" vertical="center" textRotation="90" wrapText="1"/>
    </xf>
    <xf numFmtId="0" fontId="21" fillId="40" borderId="0" xfId="0" applyFont="1" applyFill="1" applyAlignment="1">
      <alignment horizontal="center" vertical="center" textRotation="90" wrapText="1"/>
    </xf>
    <xf numFmtId="0" fontId="21" fillId="40" borderId="35" xfId="0" applyFont="1" applyFill="1" applyBorder="1" applyAlignment="1">
      <alignment horizontal="center" vertical="center" textRotation="90" wrapText="1"/>
    </xf>
    <xf numFmtId="0" fontId="21" fillId="37" borderId="29" xfId="0" applyFont="1" applyFill="1" applyBorder="1" applyAlignment="1">
      <alignment horizontal="center" vertical="center" textRotation="90" wrapText="1"/>
    </xf>
    <xf numFmtId="0" fontId="38" fillId="4" borderId="30" xfId="0" applyFont="1" applyFill="1" applyBorder="1" applyAlignment="1">
      <alignment horizontal="left" vertical="center"/>
    </xf>
    <xf numFmtId="0" fontId="38" fillId="4" borderId="21" xfId="0" applyFont="1" applyFill="1" applyBorder="1" applyAlignment="1">
      <alignment horizontal="left" vertical="center"/>
    </xf>
    <xf numFmtId="0" fontId="31" fillId="32" borderId="1" xfId="0" applyFont="1" applyFill="1" applyBorder="1" applyAlignment="1">
      <alignment horizontal="center" vertical="center"/>
    </xf>
    <xf numFmtId="0" fontId="31" fillId="32" borderId="9" xfId="0" applyFont="1" applyFill="1" applyBorder="1" applyAlignment="1" applyProtection="1">
      <alignment horizontal="center" vertical="center"/>
      <protection locked="0"/>
    </xf>
    <xf numFmtId="0" fontId="21" fillId="34" borderId="31" xfId="0" applyFont="1" applyFill="1" applyBorder="1" applyAlignment="1">
      <alignment horizontal="center" vertical="center" textRotation="90" wrapText="1"/>
    </xf>
    <xf numFmtId="0" fontId="21" fillId="39" borderId="18" xfId="0" applyFont="1" applyFill="1" applyBorder="1" applyAlignment="1">
      <alignment horizontal="center" vertical="center" textRotation="90" wrapText="1"/>
    </xf>
    <xf numFmtId="0" fontId="21" fillId="39" borderId="13" xfId="0" applyFont="1" applyFill="1" applyBorder="1" applyAlignment="1">
      <alignment horizontal="center" vertical="center" textRotation="90" wrapText="1"/>
    </xf>
    <xf numFmtId="0" fontId="21" fillId="39" borderId="15" xfId="0" applyFont="1" applyFill="1" applyBorder="1" applyAlignment="1">
      <alignment horizontal="center" vertical="center" textRotation="90" wrapText="1"/>
    </xf>
    <xf numFmtId="0" fontId="21" fillId="41" borderId="36" xfId="0" applyFont="1" applyFill="1" applyBorder="1" applyAlignment="1">
      <alignment horizontal="center" vertical="center" textRotation="90" wrapText="1"/>
    </xf>
    <xf numFmtId="0" fontId="21" fillId="41" borderId="37" xfId="0" applyFont="1" applyFill="1" applyBorder="1" applyAlignment="1">
      <alignment horizontal="center" vertical="center" textRotation="90" wrapText="1"/>
    </xf>
    <xf numFmtId="0" fontId="21" fillId="41" borderId="27" xfId="0" applyFont="1" applyFill="1" applyBorder="1" applyAlignment="1">
      <alignment horizontal="center" vertical="center" textRotation="90" wrapText="1"/>
    </xf>
    <xf numFmtId="0" fontId="20" fillId="25" borderId="39" xfId="0" applyFont="1" applyFill="1" applyBorder="1" applyAlignment="1">
      <alignment horizontal="center" vertical="center" textRotation="90"/>
    </xf>
    <xf numFmtId="0" fontId="20" fillId="25" borderId="37" xfId="0" applyFont="1" applyFill="1" applyBorder="1" applyAlignment="1">
      <alignment horizontal="center" vertical="center" textRotation="90"/>
    </xf>
    <xf numFmtId="17" fontId="21" fillId="31" borderId="4" xfId="0" applyNumberFormat="1" applyFont="1" applyFill="1" applyBorder="1" applyAlignment="1">
      <alignment horizontal="center" vertical="center"/>
    </xf>
    <xf numFmtId="17" fontId="21" fillId="31" borderId="25" xfId="0" applyNumberFormat="1" applyFont="1" applyFill="1" applyBorder="1" applyAlignment="1">
      <alignment horizontal="center" vertical="center"/>
    </xf>
    <xf numFmtId="0" fontId="15" fillId="12" borderId="4" xfId="0" applyFont="1" applyFill="1" applyBorder="1" applyAlignment="1">
      <alignment horizontal="center" vertical="center" textRotation="90"/>
    </xf>
    <xf numFmtId="0" fontId="15" fillId="12" borderId="5" xfId="0" applyFont="1" applyFill="1" applyBorder="1" applyAlignment="1">
      <alignment horizontal="center" vertical="center" textRotation="90"/>
    </xf>
    <xf numFmtId="0" fontId="13" fillId="2" borderId="1" xfId="0" applyFont="1" applyFill="1" applyBorder="1" applyAlignment="1">
      <alignment horizontal="center" vertical="center"/>
    </xf>
    <xf numFmtId="0" fontId="20" fillId="0" borderId="1" xfId="0" applyFont="1" applyBorder="1" applyAlignment="1">
      <alignment horizontal="center" vertical="center" textRotation="90"/>
    </xf>
    <xf numFmtId="0" fontId="20" fillId="0" borderId="13" xfId="0" applyFont="1" applyBorder="1" applyAlignment="1">
      <alignment horizontal="center" vertical="center" textRotation="90"/>
    </xf>
    <xf numFmtId="0" fontId="20" fillId="35" borderId="39" xfId="0" applyFont="1" applyFill="1" applyBorder="1" applyAlignment="1">
      <alignment horizontal="center" vertical="center" textRotation="90"/>
    </xf>
    <xf numFmtId="0" fontId="20" fillId="35" borderId="37" xfId="0" applyFont="1" applyFill="1" applyBorder="1" applyAlignment="1">
      <alignment horizontal="center" vertical="center" textRotation="90"/>
    </xf>
    <xf numFmtId="0" fontId="20" fillId="43" borderId="39" xfId="0" applyFont="1" applyFill="1" applyBorder="1" applyAlignment="1">
      <alignment horizontal="center" vertical="center" textRotation="90"/>
    </xf>
    <xf numFmtId="0" fontId="20" fillId="43" borderId="37" xfId="0" applyFont="1" applyFill="1" applyBorder="1" applyAlignment="1">
      <alignment horizontal="center" vertical="center" textRotation="90"/>
    </xf>
    <xf numFmtId="0" fontId="15" fillId="0" borderId="5" xfId="0" applyFont="1" applyFill="1" applyBorder="1" applyAlignment="1">
      <alignment horizontal="center" vertical="center" textRotation="90"/>
    </xf>
    <xf numFmtId="14" fontId="11" fillId="4" borderId="4" xfId="0" applyNumberFormat="1" applyFont="1" applyFill="1" applyBorder="1" applyAlignment="1">
      <alignment horizontal="left" vertical="center" wrapText="1"/>
    </xf>
    <xf numFmtId="14" fontId="11" fillId="4" borderId="25" xfId="0" applyNumberFormat="1" applyFont="1" applyFill="1"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5" xfId="0" applyBorder="1" applyAlignment="1">
      <alignment horizontal="center" vertical="center"/>
    </xf>
    <xf numFmtId="14" fontId="11" fillId="4" borderId="4" xfId="0" applyNumberFormat="1" applyFont="1" applyFill="1" applyBorder="1" applyAlignment="1">
      <alignment horizontal="center" vertical="center" wrapText="1"/>
    </xf>
    <xf numFmtId="14" fontId="11" fillId="4" borderId="25" xfId="0" applyNumberFormat="1" applyFont="1" applyFill="1" applyBorder="1" applyAlignment="1">
      <alignment horizontal="center" vertical="center" wrapText="1"/>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25" xfId="0" applyFont="1" applyBorder="1" applyAlignment="1">
      <alignment horizontal="center" vertical="center"/>
    </xf>
    <xf numFmtId="49" fontId="30" fillId="13" borderId="1" xfId="0" applyNumberFormat="1" applyFont="1" applyFill="1" applyBorder="1" applyAlignment="1">
      <alignment horizontal="center" vertical="center"/>
    </xf>
    <xf numFmtId="0" fontId="0" fillId="24" borderId="1" xfId="0" applyFill="1" applyBorder="1" applyAlignment="1">
      <alignment horizontal="center"/>
    </xf>
    <xf numFmtId="0" fontId="20" fillId="22" borderId="4" xfId="0" applyFont="1" applyFill="1" applyBorder="1" applyAlignment="1">
      <alignment horizontal="center" vertical="center"/>
    </xf>
    <xf numFmtId="0" fontId="0" fillId="22" borderId="25" xfId="0" applyFill="1" applyBorder="1" applyAlignment="1"/>
    <xf numFmtId="0" fontId="20" fillId="22" borderId="4" xfId="0" applyFont="1" applyFill="1" applyBorder="1" applyAlignment="1">
      <alignment horizontal="center" vertical="center" wrapText="1"/>
    </xf>
    <xf numFmtId="0" fontId="20" fillId="22" borderId="5" xfId="0" applyFont="1" applyFill="1" applyBorder="1" applyAlignment="1">
      <alignment horizontal="center" vertical="center" wrapText="1"/>
    </xf>
    <xf numFmtId="0" fontId="20" fillId="22" borderId="25" xfId="0" applyFont="1" applyFill="1" applyBorder="1" applyAlignment="1">
      <alignment horizontal="center" vertical="center" wrapText="1"/>
    </xf>
    <xf numFmtId="49" fontId="21" fillId="21" borderId="1" xfId="0" applyNumberFormat="1" applyFont="1" applyFill="1" applyBorder="1" applyAlignment="1">
      <alignment horizontal="center" vertical="center"/>
    </xf>
    <xf numFmtId="49" fontId="21" fillId="21" borderId="4" xfId="0" applyNumberFormat="1" applyFont="1" applyFill="1" applyBorder="1" applyAlignment="1">
      <alignment horizontal="center" vertical="center"/>
    </xf>
    <xf numFmtId="0" fontId="53" fillId="0" borderId="1"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0" fillId="30" borderId="6" xfId="0" applyFill="1" applyBorder="1" applyAlignment="1">
      <alignment horizontal="center" vertical="center"/>
    </xf>
    <xf numFmtId="0" fontId="0" fillId="30" borderId="0" xfId="0" applyFill="1" applyAlignment="1">
      <alignment horizontal="center" vertical="center"/>
    </xf>
    <xf numFmtId="0" fontId="0" fillId="30" borderId="7" xfId="0" applyFill="1" applyBorder="1" applyAlignment="1">
      <alignment horizontal="center" vertical="center"/>
    </xf>
    <xf numFmtId="0" fontId="29" fillId="17" borderId="0" xfId="0" applyFont="1" applyFill="1" applyAlignment="1">
      <alignment horizontal="center" vertical="center"/>
    </xf>
    <xf numFmtId="0" fontId="25" fillId="3" borderId="0" xfId="0" applyFont="1" applyFill="1" applyAlignment="1">
      <alignment horizontal="center" vertical="center"/>
    </xf>
    <xf numFmtId="0" fontId="23" fillId="11" borderId="15" xfId="0" applyFont="1" applyFill="1" applyBorder="1" applyAlignment="1">
      <alignment horizontal="center" vertical="center" wrapText="1"/>
    </xf>
    <xf numFmtId="0" fontId="23" fillId="11" borderId="29" xfId="0" applyFont="1" applyFill="1" applyBorder="1" applyAlignment="1">
      <alignment horizontal="center" vertical="center" wrapText="1"/>
    </xf>
    <xf numFmtId="0" fontId="23" fillId="11" borderId="10" xfId="0" applyFont="1" applyFill="1" applyBorder="1" applyAlignment="1">
      <alignment horizontal="center" vertical="center" wrapText="1"/>
    </xf>
    <xf numFmtId="0" fontId="23" fillId="11" borderId="33" xfId="0" applyFont="1" applyFill="1" applyBorder="1" applyAlignment="1">
      <alignment horizontal="left" vertical="center" wrapText="1"/>
    </xf>
    <xf numFmtId="0" fontId="23" fillId="11" borderId="34" xfId="0" applyFont="1" applyFill="1" applyBorder="1" applyAlignment="1">
      <alignment horizontal="left" vertical="center" wrapText="1"/>
    </xf>
    <xf numFmtId="0" fontId="23" fillId="11" borderId="22" xfId="0" applyFont="1" applyFill="1" applyBorder="1" applyAlignment="1">
      <alignment horizontal="left" vertical="center" wrapText="1"/>
    </xf>
    <xf numFmtId="0" fontId="23" fillId="11" borderId="32" xfId="0" applyFont="1" applyFill="1" applyBorder="1" applyAlignment="1">
      <alignment horizontal="center" vertical="center" wrapText="1"/>
    </xf>
    <xf numFmtId="0" fontId="23" fillId="11" borderId="23" xfId="0" applyFont="1" applyFill="1" applyBorder="1" applyAlignment="1">
      <alignment horizontal="center" vertical="center" wrapText="1"/>
    </xf>
    <xf numFmtId="0" fontId="23" fillId="11" borderId="12" xfId="0" applyFont="1" applyFill="1" applyBorder="1" applyAlignment="1">
      <alignment horizontal="center" vertical="center" wrapText="1"/>
    </xf>
    <xf numFmtId="0" fontId="45" fillId="15" borderId="0" xfId="0" applyFont="1" applyFill="1" applyAlignment="1">
      <alignment horizontal="center" vertical="center"/>
    </xf>
    <xf numFmtId="0" fontId="46" fillId="15" borderId="0" xfId="0" applyFont="1" applyFill="1" applyAlignment="1">
      <alignment horizontal="right" vertical="center" wrapText="1"/>
    </xf>
    <xf numFmtId="0" fontId="11" fillId="15" borderId="0" xfId="0" applyFont="1" applyFill="1" applyAlignment="1">
      <alignment horizontal="right" vertical="center" wrapText="1"/>
    </xf>
    <xf numFmtId="0" fontId="23" fillId="15" borderId="0" xfId="0" applyFont="1" applyFill="1" applyAlignment="1">
      <alignment horizontal="center" vertical="center"/>
    </xf>
    <xf numFmtId="0" fontId="0" fillId="15" borderId="0" xfId="0" applyFill="1" applyAlignment="1"/>
    <xf numFmtId="0" fontId="11" fillId="15" borderId="0" xfId="0" applyFont="1" applyFill="1" applyAlignment="1">
      <alignment horizontal="center" vertical="center"/>
    </xf>
    <xf numFmtId="16"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20" fillId="15" borderId="4" xfId="0" applyFont="1" applyFill="1" applyBorder="1" applyAlignment="1">
      <alignment horizontal="center" vertical="center" textRotation="90" wrapText="1"/>
    </xf>
    <xf numFmtId="0" fontId="12" fillId="15" borderId="0" xfId="0" applyFont="1" applyFill="1" applyAlignment="1">
      <alignment horizontal="center" vertical="center"/>
    </xf>
    <xf numFmtId="0" fontId="18" fillId="4" borderId="4" xfId="0" applyFont="1" applyFill="1" applyBorder="1" applyAlignment="1">
      <alignment horizontal="left" vertical="center" wrapText="1"/>
    </xf>
    <xf numFmtId="0" fontId="18" fillId="4" borderId="5" xfId="0" applyFont="1" applyFill="1" applyBorder="1" applyAlignment="1">
      <alignment horizontal="left" vertical="center" wrapText="1"/>
    </xf>
    <xf numFmtId="0" fontId="18" fillId="4" borderId="25" xfId="0" applyFont="1" applyFill="1" applyBorder="1" applyAlignment="1">
      <alignment horizontal="left" vertical="center" wrapText="1"/>
    </xf>
    <xf numFmtId="0" fontId="58" fillId="42" borderId="4" xfId="0" applyFont="1" applyFill="1" applyBorder="1" applyAlignment="1">
      <alignment horizontal="center" vertical="center"/>
    </xf>
    <xf numFmtId="0" fontId="58" fillId="42" borderId="5" xfId="0" applyFont="1" applyFill="1" applyBorder="1" applyAlignment="1">
      <alignment horizontal="center" vertical="center"/>
    </xf>
    <xf numFmtId="0" fontId="58" fillId="42" borderId="25" xfId="0" applyFont="1" applyFill="1" applyBorder="1" applyAlignment="1">
      <alignment horizontal="center" vertical="center"/>
    </xf>
    <xf numFmtId="0" fontId="11" fillId="0" borderId="3" xfId="0" applyFont="1" applyBorder="1" applyAlignment="1">
      <alignment horizontal="center" vertical="center" wrapText="1"/>
    </xf>
    <xf numFmtId="0" fontId="0" fillId="0" borderId="4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1" fillId="0" borderId="41" xfId="0" applyFont="1" applyBorder="1" applyAlignment="1">
      <alignment horizontal="center" vertical="center" wrapText="1"/>
    </xf>
    <xf numFmtId="0" fontId="11" fillId="0" borderId="2" xfId="0" applyFont="1" applyBorder="1" applyAlignment="1">
      <alignment horizontal="center" vertical="center" wrapText="1"/>
    </xf>
    <xf numFmtId="0" fontId="64" fillId="53" borderId="32" xfId="0" applyFont="1" applyFill="1" applyBorder="1" applyAlignment="1">
      <alignment horizontal="center"/>
    </xf>
    <xf numFmtId="0" fontId="64" fillId="53" borderId="12" xfId="0" applyFont="1" applyFill="1" applyBorder="1" applyAlignment="1">
      <alignment horizontal="center"/>
    </xf>
    <xf numFmtId="0" fontId="64" fillId="54" borderId="18" xfId="0" applyFont="1" applyFill="1" applyBorder="1" applyAlignment="1">
      <alignment horizontal="center"/>
    </xf>
    <xf numFmtId="0" fontId="64" fillId="54" borderId="42" xfId="0" applyFont="1" applyFill="1" applyBorder="1" applyAlignment="1">
      <alignment horizontal="center"/>
    </xf>
    <xf numFmtId="0" fontId="64" fillId="55" borderId="18" xfId="0" applyFont="1" applyFill="1" applyBorder="1" applyAlignment="1">
      <alignment horizontal="center"/>
    </xf>
    <xf numFmtId="0" fontId="64" fillId="55" borderId="42" xfId="0" applyFont="1" applyFill="1" applyBorder="1" applyAlignment="1">
      <alignment horizontal="center"/>
    </xf>
    <xf numFmtId="0" fontId="64" fillId="53" borderId="18" xfId="0" applyFont="1" applyFill="1" applyBorder="1" applyAlignment="1">
      <alignment horizontal="center"/>
    </xf>
    <xf numFmtId="0" fontId="64" fillId="53" borderId="42" xfId="0" applyFont="1" applyFill="1" applyBorder="1" applyAlignment="1">
      <alignment horizontal="center"/>
    </xf>
  </cellXfs>
  <cellStyles count="22">
    <cellStyle name="Comma 2" xfId="6" xr:uid="{00000000-0005-0000-0000-000000000000}"/>
    <cellStyle name="Nor}al" xfId="15" xr:uid="{00000000-0005-0000-0000-000001000000}"/>
    <cellStyle name="Normal" xfId="0" builtinId="0"/>
    <cellStyle name="Normal 10" xfId="16" xr:uid="{00000000-0005-0000-0000-000003000000}"/>
    <cellStyle name="Normal 11" xfId="18" xr:uid="{00000000-0005-0000-0000-000004000000}"/>
    <cellStyle name="Normal 12" xfId="19" xr:uid="{00000000-0005-0000-0000-000005000000}"/>
    <cellStyle name="Normal 13" xfId="20" xr:uid="{00000000-0005-0000-0000-000006000000}"/>
    <cellStyle name="Normal 14" xfId="21" xr:uid="{3D599E88-9113-4DCC-A72D-3E22975E3335}"/>
    <cellStyle name="Normal 2" xfId="1" xr:uid="{00000000-0005-0000-0000-000007000000}"/>
    <cellStyle name="Normal 2 2" xfId="10" xr:uid="{00000000-0005-0000-0000-000008000000}"/>
    <cellStyle name="Normal 2 2 2" xfId="12" xr:uid="{00000000-0005-0000-0000-000009000000}"/>
    <cellStyle name="Normal 2 3" xfId="13" xr:uid="{00000000-0005-0000-0000-00000A000000}"/>
    <cellStyle name="Normal 22" xfId="17" xr:uid="{00000000-0005-0000-0000-00000B000000}"/>
    <cellStyle name="Normal 3" xfId="3" xr:uid="{00000000-0005-0000-0000-00000C000000}"/>
    <cellStyle name="Normal 3 2" xfId="7" xr:uid="{00000000-0005-0000-0000-00000D000000}"/>
    <cellStyle name="Normal 4" xfId="5" xr:uid="{00000000-0005-0000-0000-00000E000000}"/>
    <cellStyle name="Normal 5" xfId="8" xr:uid="{00000000-0005-0000-0000-00000F000000}"/>
    <cellStyle name="Normal 6" xfId="4" xr:uid="{00000000-0005-0000-0000-000010000000}"/>
    <cellStyle name="Normal 7" xfId="9" xr:uid="{00000000-0005-0000-0000-000011000000}"/>
    <cellStyle name="Normal 8" xfId="11" xr:uid="{00000000-0005-0000-0000-000012000000}"/>
    <cellStyle name="Normal 9" xfId="14" xr:uid="{00000000-0005-0000-0000-000013000000}"/>
    <cellStyle name="Percent 2" xfId="2" xr:uid="{00000000-0005-0000-0000-000014000000}"/>
  </cellStyles>
  <dxfs count="20">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font>
      <fill>
        <patternFill>
          <bgColor indexed="10"/>
        </patternFill>
      </fill>
    </dxf>
    <dxf>
      <font>
        <b/>
        <i val="0"/>
        <condense val="0"/>
        <extend val="0"/>
      </font>
      <fill>
        <patternFill>
          <bgColor indexed="34"/>
        </patternFill>
      </fill>
    </dxf>
    <dxf>
      <font>
        <b/>
        <i val="0"/>
        <condense val="0"/>
        <extend val="0"/>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font>
      <fill>
        <patternFill>
          <bgColor indexed="10"/>
        </patternFill>
      </fill>
    </dxf>
    <dxf>
      <font>
        <b/>
        <i val="0"/>
        <condense val="0"/>
        <extend val="0"/>
      </font>
      <fill>
        <patternFill>
          <bgColor indexed="34"/>
        </patternFill>
      </fill>
    </dxf>
    <dxf>
      <font>
        <b/>
        <i val="0"/>
        <condense val="0"/>
        <extend val="0"/>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font>
      <fill>
        <patternFill>
          <bgColor indexed="34"/>
        </patternFill>
      </fill>
    </dxf>
    <dxf>
      <font>
        <b/>
        <i val="0"/>
        <condense val="0"/>
        <extend val="0"/>
      </font>
      <fill>
        <patternFill>
          <bgColor indexed="11"/>
        </patternFill>
      </fill>
    </dxf>
  </dxfs>
  <tableStyles count="1" defaultTableStyle="TableStyleMedium9" defaultPivotStyle="PivotStyleLight16">
    <tableStyle name="Invisible" pivot="0" table="0" count="0" xr9:uid="{00000000-0011-0000-FFFF-FFFF00000000}"/>
  </tableStyles>
  <colors>
    <mruColors>
      <color rgb="FFFFFFAF"/>
      <color rgb="FFFFFF4F"/>
      <color rgb="FFFF99CC"/>
      <color rgb="FFFFFF99"/>
      <color rgb="FFCCFFFF"/>
      <color rgb="FF0000FF"/>
      <color rgb="FFB8CCE4"/>
      <color rgb="FFCCFFCC"/>
      <color rgb="FF00CCFF"/>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46063194009876E-2"/>
          <c:y val="0.15606966759221075"/>
          <c:w val="0.92879318938687705"/>
          <c:h val="0.71387383980120001"/>
        </c:manualLayout>
      </c:layout>
      <c:lineChart>
        <c:grouping val="standard"/>
        <c:varyColors val="0"/>
        <c:ser>
          <c:idx val="0"/>
          <c:order val="0"/>
          <c:tx>
            <c:v>Station Generation in MU's</c:v>
          </c:tx>
          <c:spPr>
            <a:ln w="12700">
              <a:solidFill>
                <a:srgbClr val="000080"/>
              </a:solidFill>
              <a:prstDash val="solid"/>
            </a:ln>
          </c:spPr>
          <c:marker>
            <c:symbol val="circle"/>
            <c:size val="6"/>
            <c:spPr>
              <a:solidFill>
                <a:srgbClr val="000080"/>
              </a:solidFill>
              <a:ln>
                <a:solidFill>
                  <a:srgbClr val="000080"/>
                </a:solidFill>
                <a:prstDash val="solid"/>
              </a:ln>
            </c:spPr>
          </c:marker>
          <c:cat>
            <c:numRef>
              <c:f>STATION!$C$2:$AF$2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formatCode="0">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STATION!$C$6:$AF$6</c:f>
              <c:numCache>
                <c:formatCode>0.000</c:formatCode>
                <c:ptCount val="30"/>
                <c:pt idx="0">
                  <c:v>2.3719999999999999</c:v>
                </c:pt>
                <c:pt idx="1">
                  <c:v>2.3029999999999999</c:v>
                </c:pt>
                <c:pt idx="2">
                  <c:v>2.3029999999999999</c:v>
                </c:pt>
                <c:pt idx="3">
                  <c:v>2.4119999999999999</c:v>
                </c:pt>
                <c:pt idx="4">
                  <c:v>2.4900000000000002</c:v>
                </c:pt>
                <c:pt idx="5">
                  <c:v>2.6040000000000001</c:v>
                </c:pt>
                <c:pt idx="6">
                  <c:v>2.726</c:v>
                </c:pt>
                <c:pt idx="7">
                  <c:v>2.7050000000000001</c:v>
                </c:pt>
                <c:pt idx="8">
                  <c:v>2.6360000000000001</c:v>
                </c:pt>
                <c:pt idx="9">
                  <c:v>2.73</c:v>
                </c:pt>
                <c:pt idx="10">
                  <c:v>2.7590000000000003</c:v>
                </c:pt>
                <c:pt idx="11">
                  <c:v>2.8050000000000002</c:v>
                </c:pt>
                <c:pt idx="12">
                  <c:v>2.8870000000000005</c:v>
                </c:pt>
                <c:pt idx="13">
                  <c:v>2.86</c:v>
                </c:pt>
                <c:pt idx="14">
                  <c:v>2.891</c:v>
                </c:pt>
                <c:pt idx="15">
                  <c:v>2.8759999999999999</c:v>
                </c:pt>
                <c:pt idx="16">
                  <c:v>2.819</c:v>
                </c:pt>
                <c:pt idx="17">
                  <c:v>2.8389999999999995</c:v>
                </c:pt>
                <c:pt idx="18">
                  <c:v>2.823</c:v>
                </c:pt>
                <c:pt idx="19">
                  <c:v>2.8410000000000002</c:v>
                </c:pt>
                <c:pt idx="20">
                  <c:v>2.8849999999999998</c:v>
                </c:pt>
                <c:pt idx="21">
                  <c:v>2.8620000000000001</c:v>
                </c:pt>
                <c:pt idx="22">
                  <c:v>2.8320000000000003</c:v>
                </c:pt>
                <c:pt idx="23">
                  <c:v>2.8570000000000002</c:v>
                </c:pt>
                <c:pt idx="24">
                  <c:v>2.0489999999999999</c:v>
                </c:pt>
                <c:pt idx="25">
                  <c:v>2.7610000000000001</c:v>
                </c:pt>
                <c:pt idx="26">
                  <c:v>2.4079999999999999</c:v>
                </c:pt>
                <c:pt idx="27">
                  <c:v>2.274</c:v>
                </c:pt>
                <c:pt idx="28">
                  <c:v>2.3499999999999996</c:v>
                </c:pt>
                <c:pt idx="29">
                  <c:v>2.456</c:v>
                </c:pt>
              </c:numCache>
            </c:numRef>
          </c:val>
          <c:smooth val="0"/>
          <c:extLst>
            <c:ext xmlns:c16="http://schemas.microsoft.com/office/drawing/2014/chart" uri="{C3380CC4-5D6E-409C-BE32-E72D297353CC}">
              <c16:uniqueId val="{00000000-FF54-4F9D-AD61-12BFA22D43DE}"/>
            </c:ext>
          </c:extLst>
        </c:ser>
        <c:ser>
          <c:idx val="1"/>
          <c:order val="1"/>
          <c:tx>
            <c:strRef>
              <c:f>STATION!$A$43</c:f>
              <c:strCache>
                <c:ptCount val="1"/>
                <c:pt idx="0">
                  <c:v>Total Sales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STATION!$C$2:$AF$2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formatCode="0">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STATION!$C$43:$AF$43</c:f>
              <c:numCache>
                <c:formatCode>0.000</c:formatCode>
                <c:ptCount val="30"/>
                <c:pt idx="0">
                  <c:v>2.5029699999999999</c:v>
                </c:pt>
                <c:pt idx="1">
                  <c:v>2.3499100000000004</c:v>
                </c:pt>
                <c:pt idx="2">
                  <c:v>2.1921300000000001</c:v>
                </c:pt>
                <c:pt idx="3">
                  <c:v>2.20112</c:v>
                </c:pt>
                <c:pt idx="4">
                  <c:v>2.26336</c:v>
                </c:pt>
                <c:pt idx="5">
                  <c:v>2.35473</c:v>
                </c:pt>
                <c:pt idx="6">
                  <c:v>2.43621</c:v>
                </c:pt>
                <c:pt idx="7">
                  <c:v>2.43947</c:v>
                </c:pt>
                <c:pt idx="8">
                  <c:v>2.3704700000000001</c:v>
                </c:pt>
                <c:pt idx="9">
                  <c:v>2.4497100000000001</c:v>
                </c:pt>
                <c:pt idx="10">
                  <c:v>2.4946000000000002</c:v>
                </c:pt>
                <c:pt idx="11">
                  <c:v>2.5221300000000002</c:v>
                </c:pt>
                <c:pt idx="12">
                  <c:v>2.6019399999999999</c:v>
                </c:pt>
                <c:pt idx="13">
                  <c:v>2.6059800000000002</c:v>
                </c:pt>
                <c:pt idx="14">
                  <c:v>2.6384699999999999</c:v>
                </c:pt>
                <c:pt idx="15">
                  <c:v>2.62412</c:v>
                </c:pt>
                <c:pt idx="16">
                  <c:v>2.5870500000000001</c:v>
                </c:pt>
                <c:pt idx="17">
                  <c:v>2.58684</c:v>
                </c:pt>
                <c:pt idx="18">
                  <c:v>2.5975100000000002</c:v>
                </c:pt>
                <c:pt idx="19">
                  <c:v>2.5658500000000002</c:v>
                </c:pt>
                <c:pt idx="20">
                  <c:v>2.6255999999999999</c:v>
                </c:pt>
                <c:pt idx="21">
                  <c:v>2.6351499999999999</c:v>
                </c:pt>
                <c:pt idx="22">
                  <c:v>2.5931500000000001</c:v>
                </c:pt>
                <c:pt idx="23">
                  <c:v>2.5827800000000001</c:v>
                </c:pt>
                <c:pt idx="24">
                  <c:v>1.84091</c:v>
                </c:pt>
                <c:pt idx="25">
                  <c:v>2.4996900000000002</c:v>
                </c:pt>
                <c:pt idx="26">
                  <c:v>2.2218200000000001</c:v>
                </c:pt>
                <c:pt idx="27">
                  <c:v>2.0554399999999999</c:v>
                </c:pt>
                <c:pt idx="28">
                  <c:v>2.1237499999999998</c:v>
                </c:pt>
                <c:pt idx="29">
                  <c:v>2.24878</c:v>
                </c:pt>
              </c:numCache>
            </c:numRef>
          </c:val>
          <c:smooth val="0"/>
          <c:extLst>
            <c:ext xmlns:c16="http://schemas.microsoft.com/office/drawing/2014/chart" uri="{C3380CC4-5D6E-409C-BE32-E72D297353CC}">
              <c16:uniqueId val="{00000001-FF54-4F9D-AD61-12BFA22D43DE}"/>
            </c:ext>
          </c:extLst>
        </c:ser>
        <c:dLbls>
          <c:showLegendKey val="0"/>
          <c:showVal val="0"/>
          <c:showCatName val="0"/>
          <c:showSerName val="0"/>
          <c:showPercent val="0"/>
          <c:showBubbleSize val="0"/>
        </c:dLbls>
        <c:marker val="1"/>
        <c:smooth val="0"/>
        <c:axId val="477374544"/>
        <c:axId val="477369840"/>
      </c:lineChart>
      <c:catAx>
        <c:axId val="477374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9840"/>
        <c:crosses val="autoZero"/>
        <c:auto val="1"/>
        <c:lblAlgn val="ctr"/>
        <c:lblOffset val="100"/>
        <c:tickLblSkip val="1"/>
        <c:tickMarkSkip val="1"/>
        <c:noMultiLvlLbl val="0"/>
      </c:catAx>
      <c:valAx>
        <c:axId val="477369840"/>
        <c:scaling>
          <c:orientation val="minMax"/>
          <c:max val="3"/>
          <c:min val="0"/>
        </c:scaling>
        <c:delete val="0"/>
        <c:axPos val="l"/>
        <c:majorGridlines>
          <c:spPr>
            <a:ln w="3175">
              <a:solidFill>
                <a:srgbClr val="000000"/>
              </a:solidFill>
              <a:prstDash val="sysDash"/>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4544"/>
        <c:crosses val="autoZero"/>
        <c:crossBetween val="between"/>
      </c:valAx>
      <c:spPr>
        <a:gradFill rotWithShape="0">
          <a:gsLst>
            <a:gs pos="0">
              <a:srgbClr val="FFEFD1"/>
            </a:gs>
            <a:gs pos="64999">
              <a:srgbClr val="F0EBD5"/>
            </a:gs>
            <a:gs pos="100000">
              <a:srgbClr val="D1C39F"/>
            </a:gs>
          </a:gsLst>
          <a:lin ang="5400000" scaled="0"/>
        </a:gradFill>
        <a:ln w="25400">
          <a:noFill/>
        </a:ln>
      </c:spPr>
    </c:plotArea>
    <c:legend>
      <c:legendPos val="t"/>
      <c:legendEntry>
        <c:idx val="0"/>
        <c:txPr>
          <a:bodyPr/>
          <a:lstStyle/>
          <a:p>
            <a:pPr>
              <a:defRPr sz="1100" b="0" i="0" u="none" strike="noStrike" baseline="0">
                <a:solidFill>
                  <a:srgbClr val="000000"/>
                </a:solidFill>
                <a:latin typeface="Arial"/>
                <a:ea typeface="Arial"/>
                <a:cs typeface="Arial"/>
              </a:defRPr>
            </a:pPr>
            <a:endParaRPr lang="en-US"/>
          </a:p>
        </c:txPr>
      </c:legendEntry>
      <c:legendEntry>
        <c:idx val="1"/>
        <c:txPr>
          <a:bodyPr/>
          <a:lstStyle/>
          <a:p>
            <a:pPr>
              <a:defRPr sz="1100" b="0" i="0" u="none" strike="noStrike" baseline="0">
                <a:solidFill>
                  <a:srgbClr val="000000"/>
                </a:solidFill>
                <a:latin typeface="Arial"/>
                <a:ea typeface="Arial"/>
                <a:cs typeface="Arial"/>
              </a:defRPr>
            </a:pPr>
            <a:endParaRPr lang="en-US"/>
          </a:p>
        </c:txPr>
      </c:legendEntry>
      <c:layout>
        <c:manualLayout>
          <c:xMode val="edge"/>
          <c:yMode val="edge"/>
          <c:x val="0.35737718840614885"/>
          <c:y val="2.3121387283236993E-2"/>
          <c:w val="0.37881618803813188"/>
          <c:h val="8.509671840152927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050209205020925E-2"/>
          <c:y val="0.15517241379310345"/>
          <c:w val="0.88842398884189777"/>
          <c:h val="0.71551724137931039"/>
        </c:manualLayout>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UNITS!$C$41:$AF$41</c:f>
              <c:numCache>
                <c:formatCode>0.00</c:formatCode>
                <c:ptCount val="30"/>
                <c:pt idx="0">
                  <c:v>86.249724135475702</c:v>
                </c:pt>
                <c:pt idx="1">
                  <c:v>83.992475588259623</c:v>
                </c:pt>
                <c:pt idx="2">
                  <c:v>88.204635839898273</c:v>
                </c:pt>
                <c:pt idx="3">
                  <c:v>79.890681451374078</c:v>
                </c:pt>
                <c:pt idx="4">
                  <c:v>95.123847373621444</c:v>
                </c:pt>
                <c:pt idx="5">
                  <c:v>97.296400226757356</c:v>
                </c:pt>
                <c:pt idx="6">
                  <c:v>101.67140043991431</c:v>
                </c:pt>
                <c:pt idx="7">
                  <c:v>99.476461872487761</c:v>
                </c:pt>
                <c:pt idx="8">
                  <c:v>95.254618345346472</c:v>
                </c:pt>
                <c:pt idx="9">
                  <c:v>98.75895553520553</c:v>
                </c:pt>
                <c:pt idx="10">
                  <c:v>102.11794768348319</c:v>
                </c:pt>
                <c:pt idx="11">
                  <c:v>105.13689775910365</c:v>
                </c:pt>
                <c:pt idx="12">
                  <c:v>109.24564646664577</c:v>
                </c:pt>
                <c:pt idx="13">
                  <c:v>106.93014797702297</c:v>
                </c:pt>
                <c:pt idx="14">
                  <c:v>109.92377012952073</c:v>
                </c:pt>
                <c:pt idx="15">
                  <c:v>109.13343160832947</c:v>
                </c:pt>
                <c:pt idx="16">
                  <c:v>106.67338468555212</c:v>
                </c:pt>
                <c:pt idx="17">
                  <c:v>107.10977320568948</c:v>
                </c:pt>
                <c:pt idx="18">
                  <c:v>105.72568583461252</c:v>
                </c:pt>
                <c:pt idx="19">
                  <c:v>106.60611821374097</c:v>
                </c:pt>
                <c:pt idx="20">
                  <c:v>108.97522024841133</c:v>
                </c:pt>
                <c:pt idx="21">
                  <c:v>107.7183144903664</c:v>
                </c:pt>
                <c:pt idx="22">
                  <c:v>105.35915861665994</c:v>
                </c:pt>
                <c:pt idx="23">
                  <c:v>105.71422789889493</c:v>
                </c:pt>
                <c:pt idx="24">
                  <c:v>27.399066859947173</c:v>
                </c:pt>
                <c:pt idx="25">
                  <c:v>100.12150834848286</c:v>
                </c:pt>
                <c:pt idx="26">
                  <c:v>85.176570121750231</c:v>
                </c:pt>
                <c:pt idx="27">
                  <c:v>79.175260013122823</c:v>
                </c:pt>
                <c:pt idx="28">
                  <c:v>82.979536938534295</c:v>
                </c:pt>
                <c:pt idx="29">
                  <c:v>88.657115705160848</c:v>
                </c:pt>
              </c:numCache>
            </c:numRef>
          </c:val>
          <c:smooth val="0"/>
          <c:extLst>
            <c:ext xmlns:c16="http://schemas.microsoft.com/office/drawing/2014/chart" uri="{C3380CC4-5D6E-409C-BE32-E72D297353CC}">
              <c16:uniqueId val="{00000000-D580-4944-9C3F-694498934FA0}"/>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Ref>
              <c:f>UNITS!$C$42:$AF$42</c:f>
              <c:numCache>
                <c:formatCode>0.00</c:formatCode>
                <c:ptCount val="30"/>
                <c:pt idx="0">
                  <c:v>86.249724135475702</c:v>
                </c:pt>
                <c:pt idx="1">
                  <c:v>84.940338258214041</c:v>
                </c:pt>
                <c:pt idx="2">
                  <c:v>84.50387629912683</c:v>
                </c:pt>
                <c:pt idx="3">
                  <c:v>83.243978652916553</c:v>
                </c:pt>
                <c:pt idx="4">
                  <c:v>85.543595620745947</c:v>
                </c:pt>
                <c:pt idx="5">
                  <c:v>87.456964604589871</c:v>
                </c:pt>
                <c:pt idx="6">
                  <c:v>89.489756509149586</c:v>
                </c:pt>
                <c:pt idx="7">
                  <c:v>90.704330596299542</c:v>
                </c:pt>
                <c:pt idx="8">
                  <c:v>91.197059295476137</c:v>
                </c:pt>
                <c:pt idx="9">
                  <c:v>91.938464477039631</c:v>
                </c:pt>
                <c:pt idx="10">
                  <c:v>92.8246502460822</c:v>
                </c:pt>
                <c:pt idx="11">
                  <c:v>93.83595584726848</c:v>
                </c:pt>
                <c:pt idx="12">
                  <c:v>95.027451307124522</c:v>
                </c:pt>
                <c:pt idx="13">
                  <c:v>95.857406599245991</c:v>
                </c:pt>
                <c:pt idx="14">
                  <c:v>96.76188637093648</c:v>
                </c:pt>
                <c:pt idx="15">
                  <c:v>97.528504583864049</c:v>
                </c:pt>
                <c:pt idx="16">
                  <c:v>98.04736939359006</c:v>
                </c:pt>
                <c:pt idx="17">
                  <c:v>98.536139877014961</c:v>
                </c:pt>
                <c:pt idx="18">
                  <c:v>98.905582807464455</c:v>
                </c:pt>
                <c:pt idx="19">
                  <c:v>99.282724302011886</c:v>
                </c:pt>
                <c:pt idx="20">
                  <c:v>99.727878020056664</c:v>
                </c:pt>
                <c:pt idx="21">
                  <c:v>100.07394128465727</c:v>
                </c:pt>
                <c:pt idx="22">
                  <c:v>100.29070574226017</c:v>
                </c:pt>
                <c:pt idx="23">
                  <c:v>100.5472768654332</c:v>
                </c:pt>
                <c:pt idx="24">
                  <c:v>97.600782616212697</c:v>
                </c:pt>
                <c:pt idx="25">
                  <c:v>97.689244579081191</c:v>
                </c:pt>
                <c:pt idx="26">
                  <c:v>97.2200074194797</c:v>
                </c:pt>
                <c:pt idx="27">
                  <c:v>96.56107291413548</c:v>
                </c:pt>
                <c:pt idx="28">
                  <c:v>96.080997602920078</c:v>
                </c:pt>
                <c:pt idx="29">
                  <c:v>95.824726254251317</c:v>
                </c:pt>
              </c:numCache>
            </c:numRef>
          </c:val>
          <c:smooth val="0"/>
          <c:extLst>
            <c:ext xmlns:c16="http://schemas.microsoft.com/office/drawing/2014/chart" uri="{C3380CC4-5D6E-409C-BE32-E72D297353CC}">
              <c16:uniqueId val="{00000001-D580-4944-9C3F-694498934FA0}"/>
            </c:ext>
          </c:extLst>
        </c:ser>
        <c:dLbls>
          <c:showLegendKey val="0"/>
          <c:showVal val="0"/>
          <c:showCatName val="0"/>
          <c:showSerName val="0"/>
          <c:showPercent val="0"/>
          <c:showBubbleSize val="0"/>
        </c:dLbls>
        <c:marker val="1"/>
        <c:smooth val="0"/>
        <c:axId val="488342792"/>
        <c:axId val="488343968"/>
      </c:lineChart>
      <c:catAx>
        <c:axId val="488342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3968"/>
        <c:crosses val="autoZero"/>
        <c:auto val="1"/>
        <c:lblAlgn val="ctr"/>
        <c:lblOffset val="100"/>
        <c:tickLblSkip val="1"/>
        <c:tickMarkSkip val="1"/>
        <c:noMultiLvlLbl val="0"/>
      </c:catAx>
      <c:valAx>
        <c:axId val="488343968"/>
        <c:scaling>
          <c:orientation val="minMax"/>
          <c:max val="115"/>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2792"/>
        <c:crosses val="autoZero"/>
        <c:crossBetween val="between"/>
        <c:majorUnit val="20"/>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3612282839652502"/>
          <c:y val="2.2988587100769751E-2"/>
          <c:w val="0.40027902762154727"/>
          <c:h val="6.896546639535237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04089454420021"/>
          <c:y val="0.15362362325527415"/>
          <c:w val="0.87598183316464118"/>
          <c:h val="0.71884261447762265"/>
        </c:manualLayout>
      </c:layout>
      <c:lineChart>
        <c:grouping val="standard"/>
        <c:varyColors val="0"/>
        <c:ser>
          <c:idx val="0"/>
          <c:order val="0"/>
          <c:tx>
            <c:v>Availability for the date %</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UNITS!$C$52:$AF$52</c:f>
              <c:numCache>
                <c:formatCode>0.00</c:formatCode>
                <c:ptCount val="30"/>
                <c:pt idx="0">
                  <c:v>85.916666666666671</c:v>
                </c:pt>
                <c:pt idx="1">
                  <c:v>90.972222222222229</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32.499999999999993</c:v>
                </c:pt>
                <c:pt idx="25">
                  <c:v>100</c:v>
                </c:pt>
                <c:pt idx="26">
                  <c:v>100</c:v>
                </c:pt>
                <c:pt idx="27">
                  <c:v>100</c:v>
                </c:pt>
                <c:pt idx="28">
                  <c:v>100</c:v>
                </c:pt>
                <c:pt idx="29">
                  <c:v>100</c:v>
                </c:pt>
              </c:numCache>
            </c:numRef>
          </c:val>
          <c:smooth val="0"/>
          <c:extLst>
            <c:ext xmlns:c16="http://schemas.microsoft.com/office/drawing/2014/chart" uri="{C3380CC4-5D6E-409C-BE32-E72D297353CC}">
              <c16:uniqueId val="{00000000-868E-4219-864F-F5AF1DD88E13}"/>
            </c:ext>
          </c:extLst>
        </c:ser>
        <c:dLbls>
          <c:showLegendKey val="0"/>
          <c:showVal val="0"/>
          <c:showCatName val="0"/>
          <c:showSerName val="0"/>
          <c:showPercent val="0"/>
          <c:showBubbleSize val="0"/>
        </c:dLbls>
        <c:marker val="1"/>
        <c:smooth val="0"/>
        <c:axId val="488346320"/>
        <c:axId val="418496632"/>
      </c:lineChart>
      <c:catAx>
        <c:axId val="488346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8496632"/>
        <c:crosses val="autoZero"/>
        <c:auto val="1"/>
        <c:lblAlgn val="ctr"/>
        <c:lblOffset val="100"/>
        <c:tickLblSkip val="1"/>
        <c:tickMarkSkip val="1"/>
        <c:noMultiLvlLbl val="0"/>
      </c:catAx>
      <c:valAx>
        <c:axId val="418496632"/>
        <c:scaling>
          <c:orientation val="minMax"/>
          <c:max val="12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88346320"/>
        <c:crosses val="autoZero"/>
        <c:crossBetween val="between"/>
      </c:valAx>
      <c:spPr>
        <a:solidFill>
          <a:srgbClr val="C0C0C0"/>
        </a:soli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145812267971998"/>
          <c:y val="3.5022458927327971E-2"/>
          <c:w val="0.27472543953983708"/>
          <c:h val="6.666697275085511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6367851624829"/>
          <c:y val="0.15229927795910544"/>
          <c:w val="0.87789799072642971"/>
          <c:h val="0.72126639184398456"/>
        </c:manualLayout>
      </c:layout>
      <c:lineChart>
        <c:grouping val="standard"/>
        <c:varyColors val="0"/>
        <c:ser>
          <c:idx val="0"/>
          <c:order val="0"/>
          <c:tx>
            <c:v> Availability for the day in %</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UNITS!$C$48:$AG$48</c:f>
              <c:numCache>
                <c:formatCode>0.00</c:formatCode>
                <c:ptCount val="31"/>
                <c:pt idx="0">
                  <c:v>85.916666666666671</c:v>
                </c:pt>
                <c:pt idx="1">
                  <c:v>90.972222222222214</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32.499999999999993</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0-B736-4F60-B579-AEEDEF154416}"/>
            </c:ext>
          </c:extLst>
        </c:ser>
        <c:dLbls>
          <c:showLegendKey val="0"/>
          <c:showVal val="0"/>
          <c:showCatName val="0"/>
          <c:showSerName val="0"/>
          <c:showPercent val="0"/>
          <c:showBubbleSize val="0"/>
        </c:dLbls>
        <c:marker val="1"/>
        <c:smooth val="0"/>
        <c:axId val="555808568"/>
        <c:axId val="555805432"/>
      </c:lineChart>
      <c:catAx>
        <c:axId val="55580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5432"/>
        <c:crosses val="autoZero"/>
        <c:auto val="1"/>
        <c:lblAlgn val="ctr"/>
        <c:lblOffset val="100"/>
        <c:tickLblSkip val="1"/>
        <c:tickMarkSkip val="1"/>
        <c:noMultiLvlLbl val="0"/>
      </c:catAx>
      <c:valAx>
        <c:axId val="555805432"/>
        <c:scaling>
          <c:orientation val="minMax"/>
          <c:max val="12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8568"/>
        <c:crosses val="autoZero"/>
        <c:crossBetween val="between"/>
      </c:valAx>
      <c:spPr>
        <a:solidFill>
          <a:srgbClr val="C0C0C0"/>
        </a:soli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5239581184863888"/>
          <c:y val="2.2988561614983312E-2"/>
          <c:w val="0.36939737694579688"/>
          <c:h val="6.321862544959658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506307729175227E-2"/>
          <c:y val="0.15186267665243094"/>
          <c:w val="0.88889022848281463"/>
          <c:h val="0.72206404747956165"/>
        </c:manualLayout>
      </c:layout>
      <c:lineChart>
        <c:grouping val="standard"/>
        <c:varyColors val="0"/>
        <c:ser>
          <c:idx val="0"/>
          <c:order val="0"/>
          <c:tx>
            <c:v>Generation in MU's</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UNITS!$C$61:$AF$61</c:f>
              <c:numCache>
                <c:formatCode>0.000</c:formatCode>
                <c:ptCount val="30"/>
                <c:pt idx="0">
                  <c:v>0.60299999999999998</c:v>
                </c:pt>
                <c:pt idx="1">
                  <c:v>0.56000000000000005</c:v>
                </c:pt>
                <c:pt idx="2">
                  <c:v>0.56000000000000005</c:v>
                </c:pt>
                <c:pt idx="3">
                  <c:v>0.65800000000000003</c:v>
                </c:pt>
                <c:pt idx="4">
                  <c:v>0.66700000000000004</c:v>
                </c:pt>
                <c:pt idx="5">
                  <c:v>0.66800000000000004</c:v>
                </c:pt>
                <c:pt idx="6">
                  <c:v>0.67200000000000004</c:v>
                </c:pt>
                <c:pt idx="7">
                  <c:v>0.67900000000000005</c:v>
                </c:pt>
                <c:pt idx="8">
                  <c:v>0.68100000000000005</c:v>
                </c:pt>
                <c:pt idx="9">
                  <c:v>0.68200000000000005</c:v>
                </c:pt>
                <c:pt idx="10">
                  <c:v>0.68700000000000006</c:v>
                </c:pt>
                <c:pt idx="11">
                  <c:v>0.68200000000000005</c:v>
                </c:pt>
                <c:pt idx="12">
                  <c:v>0.70499999999999996</c:v>
                </c:pt>
                <c:pt idx="13">
                  <c:v>0.70299999999999996</c:v>
                </c:pt>
                <c:pt idx="14">
                  <c:v>0.70199999999999996</c:v>
                </c:pt>
                <c:pt idx="15">
                  <c:v>0.70299999999999996</c:v>
                </c:pt>
                <c:pt idx="16">
                  <c:v>0.70199999999999996</c:v>
                </c:pt>
                <c:pt idx="17">
                  <c:v>0.70399999999999996</c:v>
                </c:pt>
                <c:pt idx="18">
                  <c:v>0.70299999999999996</c:v>
                </c:pt>
                <c:pt idx="19">
                  <c:v>0.70399999999999996</c:v>
                </c:pt>
                <c:pt idx="20">
                  <c:v>0.70299999999999996</c:v>
                </c:pt>
                <c:pt idx="21">
                  <c:v>0.70199999999999996</c:v>
                </c:pt>
                <c:pt idx="22">
                  <c:v>0.70099999999999996</c:v>
                </c:pt>
                <c:pt idx="23">
                  <c:v>0.71</c:v>
                </c:pt>
                <c:pt idx="24">
                  <c:v>0.69399999999999995</c:v>
                </c:pt>
                <c:pt idx="25">
                  <c:v>0.70199999999999996</c:v>
                </c:pt>
                <c:pt idx="26">
                  <c:v>0.66200000000000003</c:v>
                </c:pt>
                <c:pt idx="27">
                  <c:v>0.63</c:v>
                </c:pt>
                <c:pt idx="28">
                  <c:v>0.63100000000000001</c:v>
                </c:pt>
                <c:pt idx="29">
                  <c:v>0.63300000000000001</c:v>
                </c:pt>
              </c:numCache>
            </c:numRef>
          </c:val>
          <c:smooth val="0"/>
          <c:extLst>
            <c:ext xmlns:c16="http://schemas.microsoft.com/office/drawing/2014/chart" uri="{C3380CC4-5D6E-409C-BE32-E72D297353CC}">
              <c16:uniqueId val="{00000000-4C0E-4650-AA04-99914421D78D}"/>
            </c:ext>
          </c:extLst>
        </c:ser>
        <c:dLbls>
          <c:showLegendKey val="0"/>
          <c:showVal val="0"/>
          <c:showCatName val="0"/>
          <c:showSerName val="0"/>
          <c:showPercent val="0"/>
          <c:showBubbleSize val="0"/>
        </c:dLbls>
        <c:marker val="1"/>
        <c:smooth val="0"/>
        <c:axId val="555809744"/>
        <c:axId val="555808176"/>
      </c:lineChart>
      <c:catAx>
        <c:axId val="555809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8176"/>
        <c:crosses val="autoZero"/>
        <c:auto val="1"/>
        <c:lblAlgn val="ctr"/>
        <c:lblOffset val="100"/>
        <c:tickLblSkip val="1"/>
        <c:tickMarkSkip val="1"/>
        <c:noMultiLvlLbl val="0"/>
      </c:catAx>
      <c:valAx>
        <c:axId val="555808176"/>
        <c:scaling>
          <c:orientation val="minMax"/>
          <c:max val="1.5"/>
          <c:min val="0"/>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9744"/>
        <c:crosses val="autoZero"/>
        <c:crossBetween val="between"/>
        <c:majorUnit val="0.5"/>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42129694436343601"/>
          <c:y val="2.2922834645669292E-2"/>
          <c:w val="0.36886118401869838"/>
          <c:h val="8.8216872890888767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922068083318043E-2"/>
          <c:y val="0.15472801017418344"/>
          <c:w val="0.88857999147207378"/>
          <c:h val="0.71633338043598349"/>
        </c:manualLayout>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UNITS!$C$68:$AF$68</c:f>
              <c:numCache>
                <c:formatCode>0.00</c:formatCode>
                <c:ptCount val="30"/>
                <c:pt idx="0">
                  <c:v>90.188295353222856</c:v>
                </c:pt>
                <c:pt idx="1">
                  <c:v>83.69356998118397</c:v>
                </c:pt>
                <c:pt idx="2">
                  <c:v>87.890740338688673</c:v>
                </c:pt>
                <c:pt idx="3">
                  <c:v>98.442075646075168</c:v>
                </c:pt>
                <c:pt idx="4">
                  <c:v>99.655925965767821</c:v>
                </c:pt>
                <c:pt idx="5">
                  <c:v>99.684041950113382</c:v>
                </c:pt>
                <c:pt idx="6">
                  <c:v>99.985143066764493</c:v>
                </c:pt>
                <c:pt idx="7">
                  <c:v>101.31677641712879</c:v>
                </c:pt>
                <c:pt idx="8">
                  <c:v>101.46255749715478</c:v>
                </c:pt>
                <c:pt idx="9">
                  <c:v>101.64025303069945</c:v>
                </c:pt>
                <c:pt idx="10">
                  <c:v>102.66589764666287</c:v>
                </c:pt>
                <c:pt idx="11">
                  <c:v>101.65883403361343</c:v>
                </c:pt>
                <c:pt idx="12">
                  <c:v>104.83418433618681</c:v>
                </c:pt>
                <c:pt idx="13">
                  <c:v>104.89101492257743</c:v>
                </c:pt>
                <c:pt idx="14">
                  <c:v>104.94082497405742</c:v>
                </c:pt>
                <c:pt idx="15">
                  <c:v>104.71447100180475</c:v>
                </c:pt>
                <c:pt idx="16">
                  <c:v>104.78271835250594</c:v>
                </c:pt>
                <c:pt idx="17">
                  <c:v>105.02128180613565</c:v>
                </c:pt>
                <c:pt idx="18">
                  <c:v>104.78170649680347</c:v>
                </c:pt>
                <c:pt idx="19">
                  <c:v>104.91711168099762</c:v>
                </c:pt>
                <c:pt idx="20">
                  <c:v>104.9446299104564</c:v>
                </c:pt>
                <c:pt idx="21">
                  <c:v>104.8312247304582</c:v>
                </c:pt>
                <c:pt idx="22">
                  <c:v>104.61298893807168</c:v>
                </c:pt>
                <c:pt idx="23">
                  <c:v>104.9260509900495</c:v>
                </c:pt>
                <c:pt idx="24">
                  <c:v>105.24881402658673</c:v>
                </c:pt>
                <c:pt idx="25">
                  <c:v>104.69508271196868</c:v>
                </c:pt>
                <c:pt idx="26">
                  <c:v>98.69350540361495</c:v>
                </c:pt>
                <c:pt idx="27">
                  <c:v>94.232519788918196</c:v>
                </c:pt>
                <c:pt idx="28">
                  <c:v>94.285872403748755</c:v>
                </c:pt>
                <c:pt idx="29">
                  <c:v>94.478037443378454</c:v>
                </c:pt>
              </c:numCache>
            </c:numRef>
          </c:val>
          <c:smooth val="0"/>
          <c:extLst>
            <c:ext xmlns:c16="http://schemas.microsoft.com/office/drawing/2014/chart" uri="{C3380CC4-5D6E-409C-BE32-E72D297353CC}">
              <c16:uniqueId val="{00000000-3C29-45F0-B65A-02F06DDC4E1E}"/>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Ref>
              <c:f>UNITS!$C$69:$AF$69</c:f>
              <c:numCache>
                <c:formatCode>0.00</c:formatCode>
                <c:ptCount val="30"/>
                <c:pt idx="0">
                  <c:v>90.188295353222856</c:v>
                </c:pt>
                <c:pt idx="1">
                  <c:v>86.760814343278099</c:v>
                </c:pt>
                <c:pt idx="2">
                  <c:v>85.618320673296523</c:v>
                </c:pt>
                <c:pt idx="3">
                  <c:v>88.69290717163905</c:v>
                </c:pt>
                <c:pt idx="4">
                  <c:v>90.805516213501733</c:v>
                </c:pt>
                <c:pt idx="5">
                  <c:v>92.238723828711755</c:v>
                </c:pt>
                <c:pt idx="6">
                  <c:v>93.347477567467209</c:v>
                </c:pt>
                <c:pt idx="7">
                  <c:v>94.309251204867152</c:v>
                </c:pt>
                <c:pt idx="8">
                  <c:v>95.090366150358122</c:v>
                </c:pt>
                <c:pt idx="9">
                  <c:v>95.730139059131815</c:v>
                </c:pt>
                <c:pt idx="10">
                  <c:v>96.321230313496457</c:v>
                </c:pt>
                <c:pt idx="11">
                  <c:v>96.751802390546374</c:v>
                </c:pt>
                <c:pt idx="12">
                  <c:v>97.37941099786697</c:v>
                </c:pt>
                <c:pt idx="13">
                  <c:v>97.896102729311849</c:v>
                </c:pt>
                <c:pt idx="14">
                  <c:v>98.333981594976777</c:v>
                </c:pt>
                <c:pt idx="15">
                  <c:v>98.726426197671685</c:v>
                </c:pt>
                <c:pt idx="16">
                  <c:v>99.063947345707803</c:v>
                </c:pt>
                <c:pt idx="17">
                  <c:v>99.380500535496523</c:v>
                </c:pt>
                <c:pt idx="18">
                  <c:v>99.655900256685911</c:v>
                </c:pt>
                <c:pt idx="19">
                  <c:v>99.911200481946864</c:v>
                </c:pt>
                <c:pt idx="20">
                  <c:v>100.13510023223964</c:v>
                </c:pt>
                <c:pt idx="21">
                  <c:v>100.33188139051447</c:v>
                </c:pt>
                <c:pt idx="22">
                  <c:v>100.50508116442585</c:v>
                </c:pt>
                <c:pt idx="23">
                  <c:v>100.71965119527319</c:v>
                </c:pt>
                <c:pt idx="24">
                  <c:v>100.82181752841464</c:v>
                </c:pt>
                <c:pt idx="25">
                  <c:v>100.96191245864044</c:v>
                </c:pt>
                <c:pt idx="26">
                  <c:v>100.87117143283542</c:v>
                </c:pt>
                <c:pt idx="27">
                  <c:v>100.61684388166273</c:v>
                </c:pt>
                <c:pt idx="28">
                  <c:v>100.38518752449538</c:v>
                </c:pt>
                <c:pt idx="29">
                  <c:v>100.17889555939315</c:v>
                </c:pt>
              </c:numCache>
            </c:numRef>
          </c:val>
          <c:smooth val="0"/>
          <c:extLst>
            <c:ext xmlns:c16="http://schemas.microsoft.com/office/drawing/2014/chart" uri="{C3380CC4-5D6E-409C-BE32-E72D297353CC}">
              <c16:uniqueId val="{00000001-3C29-45F0-B65A-02F06DDC4E1E}"/>
            </c:ext>
          </c:extLst>
        </c:ser>
        <c:dLbls>
          <c:showLegendKey val="0"/>
          <c:showVal val="0"/>
          <c:showCatName val="0"/>
          <c:showSerName val="0"/>
          <c:showPercent val="0"/>
          <c:showBubbleSize val="0"/>
        </c:dLbls>
        <c:marker val="1"/>
        <c:smooth val="0"/>
        <c:axId val="555808960"/>
        <c:axId val="555805824"/>
      </c:lineChart>
      <c:catAx>
        <c:axId val="555808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55805824"/>
        <c:crosses val="autoZero"/>
        <c:auto val="1"/>
        <c:lblAlgn val="ctr"/>
        <c:lblOffset val="100"/>
        <c:tickLblSkip val="1"/>
        <c:tickMarkSkip val="1"/>
        <c:noMultiLvlLbl val="0"/>
      </c:catAx>
      <c:valAx>
        <c:axId val="555805824"/>
        <c:scaling>
          <c:orientation val="minMax"/>
          <c:max val="115"/>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55808960"/>
        <c:crosses val="autoZero"/>
        <c:crossBetween val="between"/>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27799235048962584"/>
          <c:y val="2.2922738106012603E-2"/>
          <c:w val="0.45738438993735558"/>
          <c:h val="9.9926388511804382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04089454420021"/>
          <c:y val="0.15362362325527415"/>
          <c:w val="0.87598183316464118"/>
          <c:h val="0.71884261447762265"/>
        </c:manualLayout>
      </c:layout>
      <c:lineChart>
        <c:grouping val="standard"/>
        <c:varyColors val="0"/>
        <c:ser>
          <c:idx val="0"/>
          <c:order val="0"/>
          <c:tx>
            <c:v>Availability for the date %</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UNITS!$C$79:$AF$79</c:f>
              <c:numCache>
                <c:formatCode>0.00</c:formatCode>
                <c:ptCount val="30"/>
                <c:pt idx="0">
                  <c:v>85.916666666666671</c:v>
                </c:pt>
                <c:pt idx="1">
                  <c:v>89.583333333333343</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numCache>
            </c:numRef>
          </c:val>
          <c:smooth val="0"/>
          <c:extLst>
            <c:ext xmlns:c16="http://schemas.microsoft.com/office/drawing/2014/chart" uri="{C3380CC4-5D6E-409C-BE32-E72D297353CC}">
              <c16:uniqueId val="{00000000-EF04-4C93-AD96-402DA46B3E1E}"/>
            </c:ext>
          </c:extLst>
        </c:ser>
        <c:dLbls>
          <c:showLegendKey val="0"/>
          <c:showVal val="0"/>
          <c:showCatName val="0"/>
          <c:showSerName val="0"/>
          <c:showPercent val="0"/>
          <c:showBubbleSize val="0"/>
        </c:dLbls>
        <c:marker val="1"/>
        <c:smooth val="0"/>
        <c:axId val="555802296"/>
        <c:axId val="555806608"/>
      </c:lineChart>
      <c:catAx>
        <c:axId val="555802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55806608"/>
        <c:crosses val="autoZero"/>
        <c:auto val="1"/>
        <c:lblAlgn val="ctr"/>
        <c:lblOffset val="100"/>
        <c:tickLblSkip val="1"/>
        <c:tickMarkSkip val="1"/>
        <c:noMultiLvlLbl val="0"/>
      </c:catAx>
      <c:valAx>
        <c:axId val="555806608"/>
        <c:scaling>
          <c:orientation val="minMax"/>
          <c:max val="12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55802296"/>
        <c:crosses val="autoZero"/>
        <c:crossBetween val="between"/>
      </c:valAx>
      <c:spPr>
        <a:solidFill>
          <a:srgbClr val="C0C0C0"/>
        </a:solidFill>
        <a:ln w="12700">
          <a:solidFill>
            <a:srgbClr val="808080"/>
          </a:solidFill>
          <a:prstDash val="solid"/>
        </a:ln>
      </c:spPr>
    </c:plotArea>
    <c:legend>
      <c:legendPos val="r"/>
      <c:legendEntry>
        <c:idx val="0"/>
        <c:txPr>
          <a:bodyPr/>
          <a:lstStyle/>
          <a:p>
            <a:pPr>
              <a:defRPr sz="1050" b="0" i="0" u="none" strike="noStrike" baseline="0">
                <a:solidFill>
                  <a:srgbClr val="000000"/>
                </a:solidFill>
                <a:latin typeface="Arial"/>
                <a:ea typeface="Arial"/>
                <a:cs typeface="Arial"/>
              </a:defRPr>
            </a:pPr>
            <a:endParaRPr lang="en-US"/>
          </a:p>
        </c:txPr>
      </c:legendEntry>
      <c:layout>
        <c:manualLayout>
          <c:xMode val="edge"/>
          <c:yMode val="edge"/>
          <c:x val="0.39502760430813266"/>
          <c:y val="3.0987561337441467E-2"/>
          <c:w val="0.27429467084639575"/>
          <c:h val="6.9364068621857095E-2"/>
        </c:manualLayout>
      </c:layout>
      <c:overlay val="0"/>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895632428388"/>
          <c:y val="4.273482208166602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tracker'!$C$31:$E$31</c:f>
              <c:strCache>
                <c:ptCount val="3"/>
                <c:pt idx="0">
                  <c:v>Jan'24</c:v>
                </c:pt>
                <c:pt idx="1">
                  <c:v>Feb'24</c:v>
                </c:pt>
                <c:pt idx="2">
                  <c:v>March'24</c:v>
                </c:pt>
              </c:strCache>
            </c:strRef>
          </c:cat>
          <c:val>
            <c:numRef>
              <c:f>'KPI tracker'!$C$32:$E$32</c:f>
              <c:numCache>
                <c:formatCode>0</c:formatCode>
                <c:ptCount val="3"/>
                <c:pt idx="0">
                  <c:v>94</c:v>
                </c:pt>
                <c:pt idx="1">
                  <c:v>94</c:v>
                </c:pt>
                <c:pt idx="2">
                  <c:v>94</c:v>
                </c:pt>
              </c:numCache>
            </c:numRef>
          </c:val>
          <c:extLst>
            <c:ext xmlns:c16="http://schemas.microsoft.com/office/drawing/2014/chart" uri="{C3380CC4-5D6E-409C-BE32-E72D297353CC}">
              <c16:uniqueId val="{00000000-97AE-4D8A-9BD7-6F49F969BBB9}"/>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AE-4D8A-9BD7-6F49F969BBB9}"/>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AE-4D8A-9BD7-6F49F969BBB9}"/>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AE-4D8A-9BD7-6F49F969BBB9}"/>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tracker'!$C$31:$E$31</c:f>
              <c:strCache>
                <c:ptCount val="3"/>
                <c:pt idx="0">
                  <c:v>Jan'24</c:v>
                </c:pt>
                <c:pt idx="1">
                  <c:v>Feb'24</c:v>
                </c:pt>
                <c:pt idx="2">
                  <c:v>March'24</c:v>
                </c:pt>
              </c:strCache>
            </c:strRef>
          </c:cat>
          <c:val>
            <c:numRef>
              <c:f>'KPI tracker'!$C$33:$E$33</c:f>
              <c:numCache>
                <c:formatCode>0</c:formatCode>
                <c:ptCount val="3"/>
                <c:pt idx="0">
                  <c:v>89.66</c:v>
                </c:pt>
                <c:pt idx="1">
                  <c:v>85.427467357910913</c:v>
                </c:pt>
                <c:pt idx="2">
                  <c:v>88.17</c:v>
                </c:pt>
              </c:numCache>
            </c:numRef>
          </c:val>
          <c:extLst>
            <c:ext xmlns:c16="http://schemas.microsoft.com/office/drawing/2014/chart" uri="{C3380CC4-5D6E-409C-BE32-E72D297353CC}">
              <c16:uniqueId val="{00000004-97AE-4D8A-9BD7-6F49F969BBB9}"/>
            </c:ext>
          </c:extLst>
        </c:ser>
        <c:dLbls>
          <c:showLegendKey val="0"/>
          <c:showVal val="1"/>
          <c:showCatName val="0"/>
          <c:showSerName val="0"/>
          <c:showPercent val="0"/>
          <c:showBubbleSize val="0"/>
        </c:dLbls>
        <c:gapWidth val="150"/>
        <c:axId val="555807392"/>
        <c:axId val="555807784"/>
      </c:barChart>
      <c:catAx>
        <c:axId val="555807392"/>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807784"/>
        <c:crosses val="autoZero"/>
        <c:auto val="1"/>
        <c:lblAlgn val="ctr"/>
        <c:lblOffset val="100"/>
        <c:noMultiLvlLbl val="0"/>
      </c:catAx>
      <c:valAx>
        <c:axId val="555807784"/>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807392"/>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728592468264956E-2"/>
          <c:y val="2.5945277388281049E-2"/>
          <c:w val="0.93187320004661167"/>
          <c:h val="0.89779739016721849"/>
        </c:manualLayout>
      </c:layout>
      <c:lineChart>
        <c:grouping val="standard"/>
        <c:varyColors val="0"/>
        <c:ser>
          <c:idx val="1"/>
          <c:order val="0"/>
          <c:tx>
            <c:strRef>
              <c:f>'KPI tracker'!$F$37</c:f>
              <c:strCache>
                <c:ptCount val="1"/>
                <c:pt idx="0">
                  <c:v>Target</c:v>
                </c:pt>
              </c:strCache>
            </c:strRef>
          </c:tx>
          <c:val>
            <c:numRef>
              <c:f>'KPI tracker'!$G$37:$AK$37</c:f>
              <c:numCache>
                <c:formatCode>0.00</c:formatCode>
                <c:ptCount val="31"/>
                <c:pt idx="0">
                  <c:v>99.7222222222222</c:v>
                </c:pt>
                <c:pt idx="1">
                  <c:v>99.7222222222222</c:v>
                </c:pt>
                <c:pt idx="2">
                  <c:v>99.7222222222222</c:v>
                </c:pt>
                <c:pt idx="3">
                  <c:v>99.7222222222222</c:v>
                </c:pt>
                <c:pt idx="4">
                  <c:v>99.7222222222222</c:v>
                </c:pt>
                <c:pt idx="5">
                  <c:v>99.7222222222222</c:v>
                </c:pt>
                <c:pt idx="6">
                  <c:v>99.7222222222222</c:v>
                </c:pt>
                <c:pt idx="7">
                  <c:v>99.7222222222222</c:v>
                </c:pt>
                <c:pt idx="8">
                  <c:v>99.7222222222222</c:v>
                </c:pt>
                <c:pt idx="9">
                  <c:v>99.7222222222222</c:v>
                </c:pt>
                <c:pt idx="10">
                  <c:v>99.7222222222222</c:v>
                </c:pt>
                <c:pt idx="11">
                  <c:v>99.7222222222222</c:v>
                </c:pt>
                <c:pt idx="12">
                  <c:v>99.7222222222222</c:v>
                </c:pt>
                <c:pt idx="13">
                  <c:v>99.7222222222222</c:v>
                </c:pt>
                <c:pt idx="14">
                  <c:v>99.7222222222222</c:v>
                </c:pt>
                <c:pt idx="15">
                  <c:v>99.7222222222222</c:v>
                </c:pt>
                <c:pt idx="16">
                  <c:v>99.7222222222222</c:v>
                </c:pt>
                <c:pt idx="17">
                  <c:v>99.7222222222222</c:v>
                </c:pt>
                <c:pt idx="18">
                  <c:v>99.7222222222222</c:v>
                </c:pt>
                <c:pt idx="19">
                  <c:v>99.7222222222222</c:v>
                </c:pt>
                <c:pt idx="20">
                  <c:v>99.7222222222222</c:v>
                </c:pt>
                <c:pt idx="21">
                  <c:v>99.7222222222222</c:v>
                </c:pt>
                <c:pt idx="22">
                  <c:v>99.7222222222222</c:v>
                </c:pt>
                <c:pt idx="23">
                  <c:v>99.7222222222222</c:v>
                </c:pt>
                <c:pt idx="24">
                  <c:v>99.7222222222222</c:v>
                </c:pt>
                <c:pt idx="25">
                  <c:v>99.7222222222222</c:v>
                </c:pt>
                <c:pt idx="26">
                  <c:v>99.7222222222222</c:v>
                </c:pt>
                <c:pt idx="27">
                  <c:v>99.7222222222222</c:v>
                </c:pt>
                <c:pt idx="28">
                  <c:v>99.7222222222222</c:v>
                </c:pt>
                <c:pt idx="29">
                  <c:v>99.7222222222222</c:v>
                </c:pt>
                <c:pt idx="30">
                  <c:v>99.7222222222222</c:v>
                </c:pt>
              </c:numCache>
            </c:numRef>
          </c:val>
          <c:smooth val="0"/>
          <c:extLst>
            <c:ext xmlns:c16="http://schemas.microsoft.com/office/drawing/2014/chart" uri="{C3380CC4-5D6E-409C-BE32-E72D297353CC}">
              <c16:uniqueId val="{00000000-6AFF-44A6-96B0-77BFA4E4622A}"/>
            </c:ext>
          </c:extLst>
        </c:ser>
        <c:ser>
          <c:idx val="2"/>
          <c:order val="1"/>
          <c:tx>
            <c:strRef>
              <c:f>'KPI tracker'!$F$38</c:f>
              <c:strCache>
                <c:ptCount val="1"/>
                <c:pt idx="0">
                  <c:v>Actual</c:v>
                </c:pt>
              </c:strCache>
            </c:strRef>
          </c:tx>
          <c:val>
            <c:numRef>
              <c:f>'KPI tracker'!$G$38:$AK$38</c:f>
              <c:numCache>
                <c:formatCode>0.00</c:formatCode>
                <c:ptCount val="31"/>
                <c:pt idx="0">
                  <c:v>88.692635397116334</c:v>
                </c:pt>
                <c:pt idx="1">
                  <c:v>86.047451636904768</c:v>
                </c:pt>
                <c:pt idx="2">
                  <c:v>90.362667410714295</c:v>
                </c:pt>
                <c:pt idx="3">
                  <c:v>90.213634672619037</c:v>
                </c:pt>
                <c:pt idx="4">
                  <c:v>93.007217261904756</c:v>
                </c:pt>
                <c:pt idx="5">
                  <c:v>97.147172619047609</c:v>
                </c:pt>
                <c:pt idx="6">
                  <c:v>101.39862351190477</c:v>
                </c:pt>
                <c:pt idx="7">
                  <c:v>100.90643601190477</c:v>
                </c:pt>
                <c:pt idx="8">
                  <c:v>98.184765624999997</c:v>
                </c:pt>
                <c:pt idx="9">
                  <c:v>101.71476934523812</c:v>
                </c:pt>
                <c:pt idx="10">
                  <c:v>103.07686011904761</c:v>
                </c:pt>
                <c:pt idx="11">
                  <c:v>104.52823660714284</c:v>
                </c:pt>
                <c:pt idx="12">
                  <c:v>107.32492559523808</c:v>
                </c:pt>
                <c:pt idx="13">
                  <c:v>106.68147321428572</c:v>
                </c:pt>
                <c:pt idx="14">
                  <c:v>108.04270833333334</c:v>
                </c:pt>
                <c:pt idx="15">
                  <c:v>107.0977306547619</c:v>
                </c:pt>
                <c:pt idx="16">
                  <c:v>105.19319196428572</c:v>
                </c:pt>
                <c:pt idx="17">
                  <c:v>105.87905505952381</c:v>
                </c:pt>
                <c:pt idx="18">
                  <c:v>105.19159226190479</c:v>
                </c:pt>
                <c:pt idx="19">
                  <c:v>105.84854910714286</c:v>
                </c:pt>
                <c:pt idx="20">
                  <c:v>107.66901041666669</c:v>
                </c:pt>
                <c:pt idx="21">
                  <c:v>106.84720982142858</c:v>
                </c:pt>
                <c:pt idx="22">
                  <c:v>105.65762648809522</c:v>
                </c:pt>
                <c:pt idx="23">
                  <c:v>105.55412946428572</c:v>
                </c:pt>
                <c:pt idx="24">
                  <c:v>77.685453869047635</c:v>
                </c:pt>
                <c:pt idx="25">
                  <c:v>102.9427077520461</c:v>
                </c:pt>
                <c:pt idx="26">
                  <c:v>89.748474702380946</c:v>
                </c:pt>
                <c:pt idx="27">
                  <c:v>85.03363095238096</c:v>
                </c:pt>
                <c:pt idx="28">
                  <c:v>87.785974702380969</c:v>
                </c:pt>
                <c:pt idx="29">
                  <c:v>91.642203776041669</c:v>
                </c:pt>
                <c:pt idx="30">
                  <c:v>96.628348214285737</c:v>
                </c:pt>
              </c:numCache>
            </c:numRef>
          </c:val>
          <c:smooth val="0"/>
          <c:extLst>
            <c:ext xmlns:c16="http://schemas.microsoft.com/office/drawing/2014/chart" uri="{C3380CC4-5D6E-409C-BE32-E72D297353CC}">
              <c16:uniqueId val="{00000001-6AFF-44A6-96B0-77BFA4E4622A}"/>
            </c:ext>
          </c:extLst>
        </c:ser>
        <c:ser>
          <c:idx val="3"/>
          <c:order val="2"/>
          <c:tx>
            <c:strRef>
              <c:f>'KPI tracker'!$F$39</c:f>
              <c:strCache>
                <c:ptCount val="1"/>
                <c:pt idx="0">
                  <c:v>Upper Band</c:v>
                </c:pt>
              </c:strCache>
            </c:strRef>
          </c:tx>
          <c:val>
            <c:numRef>
              <c:f>'KPI tracker'!$G$39:$AK$39</c:f>
              <c:numCache>
                <c:formatCode>General</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2-6AFF-44A6-96B0-77BFA4E4622A}"/>
            </c:ext>
          </c:extLst>
        </c:ser>
        <c:ser>
          <c:idx val="4"/>
          <c:order val="3"/>
          <c:tx>
            <c:strRef>
              <c:f>'KPI tracker'!$F$40</c:f>
              <c:strCache>
                <c:ptCount val="1"/>
                <c:pt idx="0">
                  <c:v>Lower Band</c:v>
                </c:pt>
              </c:strCache>
            </c:strRef>
          </c:tx>
          <c:val>
            <c:numRef>
              <c:f>'KPI tracker'!$G$40:$AK$40</c:f>
              <c:numCache>
                <c:formatCode>General</c:formatCode>
                <c:ptCount val="3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85</c:v>
                </c:pt>
                <c:pt idx="22">
                  <c:v>85</c:v>
                </c:pt>
                <c:pt idx="23">
                  <c:v>85</c:v>
                </c:pt>
                <c:pt idx="24">
                  <c:v>85</c:v>
                </c:pt>
                <c:pt idx="25">
                  <c:v>85</c:v>
                </c:pt>
                <c:pt idx="26">
                  <c:v>85</c:v>
                </c:pt>
                <c:pt idx="27">
                  <c:v>85</c:v>
                </c:pt>
                <c:pt idx="28">
                  <c:v>85</c:v>
                </c:pt>
                <c:pt idx="29">
                  <c:v>85</c:v>
                </c:pt>
                <c:pt idx="30">
                  <c:v>85</c:v>
                </c:pt>
              </c:numCache>
            </c:numRef>
          </c:val>
          <c:smooth val="0"/>
          <c:extLst>
            <c:ext xmlns:c16="http://schemas.microsoft.com/office/drawing/2014/chart" uri="{C3380CC4-5D6E-409C-BE32-E72D297353CC}">
              <c16:uniqueId val="{00000003-6AFF-44A6-96B0-77BFA4E4622A}"/>
            </c:ext>
          </c:extLst>
        </c:ser>
        <c:dLbls>
          <c:showLegendKey val="0"/>
          <c:showVal val="0"/>
          <c:showCatName val="0"/>
          <c:showSerName val="0"/>
          <c:showPercent val="0"/>
          <c:showBubbleSize val="0"/>
        </c:dLbls>
        <c:marker val="1"/>
        <c:smooth val="0"/>
        <c:axId val="555804648"/>
        <c:axId val="555802688"/>
      </c:lineChart>
      <c:catAx>
        <c:axId val="555804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802688"/>
        <c:crosses val="autoZero"/>
        <c:auto val="1"/>
        <c:lblAlgn val="ctr"/>
        <c:lblOffset val="100"/>
        <c:noMultiLvlLbl val="0"/>
      </c:catAx>
      <c:valAx>
        <c:axId val="555802688"/>
        <c:scaling>
          <c:orientation val="minMax"/>
          <c:min val="2"/>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804648"/>
        <c:crosses val="autoZero"/>
        <c:crossBetween val="between"/>
      </c:valAx>
    </c:plotArea>
    <c:legend>
      <c:legendPos val="r"/>
      <c:overlay val="0"/>
      <c:txPr>
        <a:bodyPr/>
        <a:lstStyle/>
        <a:p>
          <a:pPr>
            <a:defRPr sz="24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683772507964032E-2"/>
          <c:y val="4.4913472952835647E-2"/>
          <c:w val="0.93187320004661167"/>
          <c:h val="0.89779739016721849"/>
        </c:manualLayout>
      </c:layout>
      <c:lineChart>
        <c:grouping val="standard"/>
        <c:varyColors val="0"/>
        <c:ser>
          <c:idx val="1"/>
          <c:order val="0"/>
          <c:tx>
            <c:strRef>
              <c:f>'KPI tracker'!$F$72</c:f>
              <c:strCache>
                <c:ptCount val="1"/>
                <c:pt idx="0">
                  <c:v>Target</c:v>
                </c:pt>
              </c:strCache>
            </c:strRef>
          </c:tx>
          <c:val>
            <c:numRef>
              <c:f>'KPI tracker'!$G$72:$AK$72</c:f>
              <c:numCache>
                <c:formatCode>0.00</c:formatCode>
                <c:ptCount val="31"/>
                <c:pt idx="0">
                  <c:v>99.7222222222222</c:v>
                </c:pt>
                <c:pt idx="1">
                  <c:v>99.7222222222222</c:v>
                </c:pt>
                <c:pt idx="2">
                  <c:v>99.7222222222222</c:v>
                </c:pt>
                <c:pt idx="3">
                  <c:v>99.7222222222222</c:v>
                </c:pt>
                <c:pt idx="4">
                  <c:v>99.7222222222222</c:v>
                </c:pt>
                <c:pt idx="5">
                  <c:v>99.7222222222222</c:v>
                </c:pt>
                <c:pt idx="6">
                  <c:v>99.7222222222222</c:v>
                </c:pt>
                <c:pt idx="7">
                  <c:v>99.7222222222222</c:v>
                </c:pt>
                <c:pt idx="8">
                  <c:v>99.7222222222222</c:v>
                </c:pt>
                <c:pt idx="9">
                  <c:v>99.7222222222222</c:v>
                </c:pt>
                <c:pt idx="10">
                  <c:v>99.7222222222222</c:v>
                </c:pt>
                <c:pt idx="11">
                  <c:v>99.7222222222222</c:v>
                </c:pt>
                <c:pt idx="12">
                  <c:v>99.7222222222222</c:v>
                </c:pt>
                <c:pt idx="13">
                  <c:v>99.7222222222222</c:v>
                </c:pt>
                <c:pt idx="14">
                  <c:v>99.7222222222222</c:v>
                </c:pt>
                <c:pt idx="15">
                  <c:v>99.7222222222222</c:v>
                </c:pt>
                <c:pt idx="16">
                  <c:v>99.7222222222222</c:v>
                </c:pt>
                <c:pt idx="17">
                  <c:v>99.7222222222222</c:v>
                </c:pt>
                <c:pt idx="18">
                  <c:v>99.7222222222222</c:v>
                </c:pt>
                <c:pt idx="19">
                  <c:v>99.7222222222222</c:v>
                </c:pt>
                <c:pt idx="20">
                  <c:v>99.7222222222222</c:v>
                </c:pt>
                <c:pt idx="21">
                  <c:v>99.7222222222222</c:v>
                </c:pt>
                <c:pt idx="22">
                  <c:v>99.7222222222222</c:v>
                </c:pt>
                <c:pt idx="23">
                  <c:v>99.7222222222222</c:v>
                </c:pt>
                <c:pt idx="24">
                  <c:v>99.7222222222222</c:v>
                </c:pt>
                <c:pt idx="25">
                  <c:v>99.7222222222222</c:v>
                </c:pt>
                <c:pt idx="26">
                  <c:v>99.7222222222222</c:v>
                </c:pt>
                <c:pt idx="27">
                  <c:v>99.7222222222222</c:v>
                </c:pt>
                <c:pt idx="28">
                  <c:v>99.7222222222222</c:v>
                </c:pt>
                <c:pt idx="29">
                  <c:v>99.7222222222222</c:v>
                </c:pt>
                <c:pt idx="30">
                  <c:v>99.7222222222222</c:v>
                </c:pt>
              </c:numCache>
            </c:numRef>
          </c:val>
          <c:smooth val="0"/>
          <c:extLst>
            <c:ext xmlns:c16="http://schemas.microsoft.com/office/drawing/2014/chart" uri="{C3380CC4-5D6E-409C-BE32-E72D297353CC}">
              <c16:uniqueId val="{00000000-11FD-436A-980C-CD9E40E2131C}"/>
            </c:ext>
          </c:extLst>
        </c:ser>
        <c:ser>
          <c:idx val="2"/>
          <c:order val="1"/>
          <c:tx>
            <c:strRef>
              <c:f>'KPI tracker'!$F$73</c:f>
              <c:strCache>
                <c:ptCount val="1"/>
                <c:pt idx="0">
                  <c:v>Actual</c:v>
                </c:pt>
              </c:strCache>
            </c:strRef>
          </c:tx>
          <c:val>
            <c:numRef>
              <c:f>'KPI tracker'!$G$73:$AK$73</c:f>
              <c:numCache>
                <c:formatCode>0.00</c:formatCode>
                <c:ptCount val="31"/>
                <c:pt idx="0">
                  <c:v>85.916666666666671</c:v>
                </c:pt>
                <c:pt idx="1">
                  <c:v>92.18697916666666</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74.6875</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1-11FD-436A-980C-CD9E40E2131C}"/>
            </c:ext>
          </c:extLst>
        </c:ser>
        <c:ser>
          <c:idx val="3"/>
          <c:order val="2"/>
          <c:tx>
            <c:strRef>
              <c:f>'KPI tracker'!$F$74</c:f>
              <c:strCache>
                <c:ptCount val="1"/>
                <c:pt idx="0">
                  <c:v>Upper Band</c:v>
                </c:pt>
              </c:strCache>
            </c:strRef>
          </c:tx>
          <c:val>
            <c:numRef>
              <c:f>'KPI tracker'!$G$74:$AK$74</c:f>
              <c:numCache>
                <c:formatCode>General</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2-11FD-436A-980C-CD9E40E2131C}"/>
            </c:ext>
          </c:extLst>
        </c:ser>
        <c:ser>
          <c:idx val="4"/>
          <c:order val="3"/>
          <c:tx>
            <c:strRef>
              <c:f>'KPI tracker'!$F$75</c:f>
              <c:strCache>
                <c:ptCount val="1"/>
                <c:pt idx="0">
                  <c:v>Lower Band</c:v>
                </c:pt>
              </c:strCache>
            </c:strRef>
          </c:tx>
          <c:val>
            <c:numRef>
              <c:f>'KPI tracker'!$G$75:$AK$75</c:f>
              <c:numCache>
                <c:formatCode>General</c:formatCode>
                <c:ptCount val="3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85</c:v>
                </c:pt>
                <c:pt idx="22">
                  <c:v>85</c:v>
                </c:pt>
                <c:pt idx="23">
                  <c:v>85</c:v>
                </c:pt>
                <c:pt idx="24">
                  <c:v>85</c:v>
                </c:pt>
                <c:pt idx="25">
                  <c:v>85</c:v>
                </c:pt>
                <c:pt idx="26">
                  <c:v>85</c:v>
                </c:pt>
                <c:pt idx="27">
                  <c:v>85</c:v>
                </c:pt>
                <c:pt idx="28">
                  <c:v>85</c:v>
                </c:pt>
                <c:pt idx="29">
                  <c:v>85</c:v>
                </c:pt>
                <c:pt idx="30">
                  <c:v>85</c:v>
                </c:pt>
              </c:numCache>
            </c:numRef>
          </c:val>
          <c:smooth val="0"/>
          <c:extLst>
            <c:ext xmlns:c16="http://schemas.microsoft.com/office/drawing/2014/chart" uri="{C3380CC4-5D6E-409C-BE32-E72D297353CC}">
              <c16:uniqueId val="{00000003-11FD-436A-980C-CD9E40E2131C}"/>
            </c:ext>
          </c:extLst>
        </c:ser>
        <c:dLbls>
          <c:showLegendKey val="0"/>
          <c:showVal val="0"/>
          <c:showCatName val="0"/>
          <c:showSerName val="0"/>
          <c:showPercent val="0"/>
          <c:showBubbleSize val="0"/>
        </c:dLbls>
        <c:marker val="1"/>
        <c:smooth val="0"/>
        <c:axId val="555805040"/>
        <c:axId val="555609608"/>
      </c:lineChart>
      <c:catAx>
        <c:axId val="5558050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9608"/>
        <c:crosses val="autoZero"/>
        <c:auto val="1"/>
        <c:lblAlgn val="ctr"/>
        <c:lblOffset val="100"/>
        <c:noMultiLvlLbl val="0"/>
      </c:catAx>
      <c:valAx>
        <c:axId val="555609608"/>
        <c:scaling>
          <c:orientation val="minMax"/>
          <c:min val="2"/>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805040"/>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904929987988"/>
          <c:y val="4.273492275861213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tracker'!$C$66:$E$66</c:f>
              <c:strCache>
                <c:ptCount val="3"/>
                <c:pt idx="0">
                  <c:v>Jan'24</c:v>
                </c:pt>
                <c:pt idx="1">
                  <c:v>#REF!</c:v>
                </c:pt>
                <c:pt idx="2">
                  <c:v>Feb'24</c:v>
                </c:pt>
              </c:strCache>
            </c:strRef>
          </c:cat>
          <c:val>
            <c:numRef>
              <c:f>'KPI tracker'!$C$67:$E$67</c:f>
              <c:numCache>
                <c:formatCode>0</c:formatCode>
                <c:ptCount val="3"/>
                <c:pt idx="0">
                  <c:v>99.46</c:v>
                </c:pt>
                <c:pt idx="1">
                  <c:v>99.46</c:v>
                </c:pt>
                <c:pt idx="2">
                  <c:v>99.4</c:v>
                </c:pt>
              </c:numCache>
            </c:numRef>
          </c:val>
          <c:extLst>
            <c:ext xmlns:c16="http://schemas.microsoft.com/office/drawing/2014/chart" uri="{C3380CC4-5D6E-409C-BE32-E72D297353CC}">
              <c16:uniqueId val="{00000000-83AD-44D2-8677-6B780AF34EC6}"/>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AD-44D2-8677-6B780AF34EC6}"/>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AD-44D2-8677-6B780AF34EC6}"/>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AD-44D2-8677-6B780AF34EC6}"/>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tracker'!$C$66:$E$66</c:f>
              <c:strCache>
                <c:ptCount val="3"/>
                <c:pt idx="0">
                  <c:v>Jan'24</c:v>
                </c:pt>
                <c:pt idx="1">
                  <c:v>#REF!</c:v>
                </c:pt>
                <c:pt idx="2">
                  <c:v>Feb'24</c:v>
                </c:pt>
              </c:strCache>
            </c:strRef>
          </c:cat>
          <c:val>
            <c:numRef>
              <c:f>'KPI tracker'!$C$68:$E$68</c:f>
              <c:numCache>
                <c:formatCode>0</c:formatCode>
                <c:ptCount val="3"/>
                <c:pt idx="0">
                  <c:v>100</c:v>
                </c:pt>
                <c:pt idx="1">
                  <c:v>100</c:v>
                </c:pt>
                <c:pt idx="2">
                  <c:v>100</c:v>
                </c:pt>
              </c:numCache>
            </c:numRef>
          </c:val>
          <c:extLst>
            <c:ext xmlns:c16="http://schemas.microsoft.com/office/drawing/2014/chart" uri="{C3380CC4-5D6E-409C-BE32-E72D297353CC}">
              <c16:uniqueId val="{00000004-83AD-44D2-8677-6B780AF34EC6}"/>
            </c:ext>
          </c:extLst>
        </c:ser>
        <c:dLbls>
          <c:showLegendKey val="0"/>
          <c:showVal val="1"/>
          <c:showCatName val="0"/>
          <c:showSerName val="0"/>
          <c:showPercent val="0"/>
          <c:showBubbleSize val="0"/>
        </c:dLbls>
        <c:gapWidth val="150"/>
        <c:axId val="555607648"/>
        <c:axId val="555610392"/>
      </c:barChart>
      <c:catAx>
        <c:axId val="555607648"/>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10392"/>
        <c:crosses val="autoZero"/>
        <c:auto val="1"/>
        <c:lblAlgn val="ctr"/>
        <c:lblOffset val="100"/>
        <c:noMultiLvlLbl val="0"/>
      </c:catAx>
      <c:valAx>
        <c:axId val="555610392"/>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07648"/>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747281050052934E-2"/>
          <c:y val="0.15340930371289244"/>
          <c:w val="0.93186863188351265"/>
          <c:h val="0.71875099702460465"/>
        </c:manualLayout>
      </c:layout>
      <c:lineChart>
        <c:grouping val="standard"/>
        <c:varyColors val="0"/>
        <c:ser>
          <c:idx val="0"/>
          <c:order val="0"/>
          <c:tx>
            <c:v>Station PLF %</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STATION!$C$15:$AF$15</c:f>
              <c:numCache>
                <c:formatCode>0.00</c:formatCode>
                <c:ptCount val="30"/>
                <c:pt idx="0">
                  <c:v>88.692635397116334</c:v>
                </c:pt>
                <c:pt idx="1">
                  <c:v>86.047451636904768</c:v>
                </c:pt>
                <c:pt idx="2">
                  <c:v>90.362667410714295</c:v>
                </c:pt>
                <c:pt idx="3">
                  <c:v>90.213634672619037</c:v>
                </c:pt>
                <c:pt idx="4">
                  <c:v>93.007217261904756</c:v>
                </c:pt>
                <c:pt idx="5">
                  <c:v>97.147172619047609</c:v>
                </c:pt>
                <c:pt idx="6">
                  <c:v>101.39862351190477</c:v>
                </c:pt>
                <c:pt idx="7">
                  <c:v>100.90643601190477</c:v>
                </c:pt>
                <c:pt idx="8">
                  <c:v>98.184765624999997</c:v>
                </c:pt>
                <c:pt idx="9">
                  <c:v>101.71476934523812</c:v>
                </c:pt>
                <c:pt idx="10">
                  <c:v>103.07686011904761</c:v>
                </c:pt>
                <c:pt idx="11">
                  <c:v>104.52823660714284</c:v>
                </c:pt>
                <c:pt idx="12">
                  <c:v>107.32492559523808</c:v>
                </c:pt>
                <c:pt idx="13">
                  <c:v>106.68147321428572</c:v>
                </c:pt>
                <c:pt idx="14">
                  <c:v>108.04270833333334</c:v>
                </c:pt>
                <c:pt idx="15">
                  <c:v>107.0977306547619</c:v>
                </c:pt>
                <c:pt idx="16">
                  <c:v>105.19319196428572</c:v>
                </c:pt>
                <c:pt idx="17">
                  <c:v>105.87905505952381</c:v>
                </c:pt>
                <c:pt idx="18">
                  <c:v>105.19159226190479</c:v>
                </c:pt>
                <c:pt idx="19">
                  <c:v>105.84854910714286</c:v>
                </c:pt>
                <c:pt idx="20">
                  <c:v>107.66901041666669</c:v>
                </c:pt>
                <c:pt idx="21">
                  <c:v>106.84720982142858</c:v>
                </c:pt>
                <c:pt idx="22">
                  <c:v>105.65762648809522</c:v>
                </c:pt>
                <c:pt idx="23">
                  <c:v>105.55412946428572</c:v>
                </c:pt>
                <c:pt idx="24">
                  <c:v>77.685453869047635</c:v>
                </c:pt>
                <c:pt idx="25">
                  <c:v>102.9427077520461</c:v>
                </c:pt>
                <c:pt idx="26">
                  <c:v>89.748474702380946</c:v>
                </c:pt>
                <c:pt idx="27">
                  <c:v>85.03363095238096</c:v>
                </c:pt>
                <c:pt idx="28">
                  <c:v>87.785974702380969</c:v>
                </c:pt>
                <c:pt idx="29">
                  <c:v>91.642203776041669</c:v>
                </c:pt>
              </c:numCache>
            </c:numRef>
          </c:val>
          <c:smooth val="0"/>
          <c:extLst>
            <c:ext xmlns:c16="http://schemas.microsoft.com/office/drawing/2014/chart" uri="{C3380CC4-5D6E-409C-BE32-E72D297353CC}">
              <c16:uniqueId val="{00000000-90DF-4007-898E-9EB289F8A38E}"/>
            </c:ext>
          </c:extLst>
        </c:ser>
        <c:ser>
          <c:idx val="1"/>
          <c:order val="1"/>
          <c:tx>
            <c:v>Station Availability %</c:v>
          </c:tx>
          <c:spPr>
            <a:ln w="12700">
              <a:solidFill>
                <a:srgbClr val="FF00FF"/>
              </a:solidFill>
              <a:prstDash val="solid"/>
            </a:ln>
          </c:spPr>
          <c:marker>
            <c:symbol val="square"/>
            <c:size val="5"/>
            <c:spPr>
              <a:solidFill>
                <a:srgbClr val="FF00FF"/>
              </a:solidFill>
              <a:ln>
                <a:solidFill>
                  <a:srgbClr val="FF00FF"/>
                </a:solidFill>
                <a:prstDash val="solid"/>
              </a:ln>
            </c:spPr>
          </c:marker>
          <c:val>
            <c:numRef>
              <c:f>STATION!$C$31:$AF$31</c:f>
              <c:numCache>
                <c:formatCode>0.00</c:formatCode>
                <c:ptCount val="30"/>
                <c:pt idx="0">
                  <c:v>85.916666666666671</c:v>
                </c:pt>
                <c:pt idx="1">
                  <c:v>92.18697916666666</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74.6875</c:v>
                </c:pt>
                <c:pt idx="25">
                  <c:v>100</c:v>
                </c:pt>
                <c:pt idx="26">
                  <c:v>100</c:v>
                </c:pt>
                <c:pt idx="27">
                  <c:v>100</c:v>
                </c:pt>
                <c:pt idx="28">
                  <c:v>100</c:v>
                </c:pt>
                <c:pt idx="29">
                  <c:v>100</c:v>
                </c:pt>
              </c:numCache>
            </c:numRef>
          </c:val>
          <c:smooth val="0"/>
          <c:extLst>
            <c:ext xmlns:c16="http://schemas.microsoft.com/office/drawing/2014/chart" uri="{C3380CC4-5D6E-409C-BE32-E72D297353CC}">
              <c16:uniqueId val="{00000001-90DF-4007-898E-9EB289F8A38E}"/>
            </c:ext>
          </c:extLst>
        </c:ser>
        <c:ser>
          <c:idx val="2"/>
          <c:order val="2"/>
          <c:tx>
            <c:v>Station Boiler availability%</c:v>
          </c:tx>
          <c:spPr>
            <a:ln w="19050">
              <a:solidFill>
                <a:srgbClr val="00B050"/>
              </a:solidFill>
              <a:prstDash val="solid"/>
            </a:ln>
          </c:spPr>
          <c:marker>
            <c:symbol val="triangle"/>
            <c:size val="5"/>
            <c:spPr>
              <a:solidFill>
                <a:srgbClr val="00B050"/>
              </a:solidFill>
              <a:ln>
                <a:solidFill>
                  <a:srgbClr val="00B050"/>
                </a:solidFill>
                <a:prstDash val="solid"/>
              </a:ln>
            </c:spPr>
          </c:marker>
          <c:val>
            <c:numRef>
              <c:f>STATION!$C$35:$AF$35</c:f>
              <c:numCache>
                <c:formatCode>0.00</c:formatCode>
                <c:ptCount val="30"/>
                <c:pt idx="0">
                  <c:v>85.916666666666671</c:v>
                </c:pt>
                <c:pt idx="1">
                  <c:v>91.731770833333343</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76.888020833333343</c:v>
                </c:pt>
                <c:pt idx="25">
                  <c:v>100</c:v>
                </c:pt>
                <c:pt idx="26">
                  <c:v>100</c:v>
                </c:pt>
                <c:pt idx="27">
                  <c:v>100</c:v>
                </c:pt>
                <c:pt idx="28">
                  <c:v>100</c:v>
                </c:pt>
                <c:pt idx="29">
                  <c:v>100</c:v>
                </c:pt>
              </c:numCache>
            </c:numRef>
          </c:val>
          <c:smooth val="0"/>
          <c:extLst>
            <c:ext xmlns:c16="http://schemas.microsoft.com/office/drawing/2014/chart" uri="{C3380CC4-5D6E-409C-BE32-E72D297353CC}">
              <c16:uniqueId val="{00000002-90DF-4007-898E-9EB289F8A38E}"/>
            </c:ext>
          </c:extLst>
        </c:ser>
        <c:dLbls>
          <c:showLegendKey val="0"/>
          <c:showVal val="0"/>
          <c:showCatName val="0"/>
          <c:showSerName val="0"/>
          <c:showPercent val="0"/>
          <c:showBubbleSize val="0"/>
        </c:dLbls>
        <c:marker val="1"/>
        <c:smooth val="0"/>
        <c:axId val="477368272"/>
        <c:axId val="477368664"/>
      </c:lineChart>
      <c:catAx>
        <c:axId val="477368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8664"/>
        <c:crosses val="autoZero"/>
        <c:auto val="1"/>
        <c:lblAlgn val="ctr"/>
        <c:lblOffset val="100"/>
        <c:tickLblSkip val="1"/>
        <c:tickMarkSkip val="1"/>
        <c:noMultiLvlLbl val="0"/>
      </c:catAx>
      <c:valAx>
        <c:axId val="477368664"/>
        <c:scaling>
          <c:orientation val="minMax"/>
          <c:max val="110"/>
          <c:min val="50"/>
        </c:scaling>
        <c:delete val="0"/>
        <c:axPos val="l"/>
        <c:majorGridlines>
          <c:spPr>
            <a:ln w="3175">
              <a:solidFill>
                <a:srgbClr val="000000"/>
              </a:solidFill>
              <a:prstDash val="sysDash"/>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8272"/>
        <c:crosses val="autoZero"/>
        <c:crossBetween val="between"/>
        <c:majorUnit val="10"/>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egendEntry>
        <c:idx val="2"/>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3296745489752338"/>
          <c:y val="2.2727130780040652E-2"/>
          <c:w val="0.53956056440812117"/>
          <c:h val="7.9545552556639088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5069168151021292E-2"/>
          <c:y val="1.7250939038980551E-2"/>
          <c:w val="0.93187320004661167"/>
          <c:h val="0.89779739016721849"/>
        </c:manualLayout>
      </c:layout>
      <c:lineChart>
        <c:grouping val="standard"/>
        <c:varyColors val="0"/>
        <c:ser>
          <c:idx val="1"/>
          <c:order val="0"/>
          <c:tx>
            <c:strRef>
              <c:f>'KPI tracker'!$F$107</c:f>
              <c:strCache>
                <c:ptCount val="1"/>
                <c:pt idx="0">
                  <c:v>Target</c:v>
                </c:pt>
              </c:strCache>
            </c:strRef>
          </c:tx>
          <c:val>
            <c:numRef>
              <c:f>'KPI tracker'!$G$107:$AK$107</c:f>
              <c:numCache>
                <c:formatCode>0.00</c:formatCode>
                <c:ptCount val="31"/>
                <c:pt idx="0">
                  <c:v>7.0591666666666697</c:v>
                </c:pt>
                <c:pt idx="1">
                  <c:v>7.0591666666666697</c:v>
                </c:pt>
                <c:pt idx="2">
                  <c:v>7.0591666666666697</c:v>
                </c:pt>
                <c:pt idx="3">
                  <c:v>7.0591666666666697</c:v>
                </c:pt>
                <c:pt idx="4">
                  <c:v>7.0591666666666697</c:v>
                </c:pt>
                <c:pt idx="5">
                  <c:v>7.0591666666666697</c:v>
                </c:pt>
                <c:pt idx="6">
                  <c:v>7.0591666666666697</c:v>
                </c:pt>
                <c:pt idx="7">
                  <c:v>7.0591666666666697</c:v>
                </c:pt>
                <c:pt idx="8">
                  <c:v>7.0591666666666697</c:v>
                </c:pt>
                <c:pt idx="9">
                  <c:v>7.0591666666666697</c:v>
                </c:pt>
                <c:pt idx="10">
                  <c:v>7.0591666666666697</c:v>
                </c:pt>
                <c:pt idx="11">
                  <c:v>7.0591666666666697</c:v>
                </c:pt>
                <c:pt idx="12">
                  <c:v>7.0591666666666697</c:v>
                </c:pt>
                <c:pt idx="13">
                  <c:v>7.0591666666666697</c:v>
                </c:pt>
                <c:pt idx="14">
                  <c:v>7.0591666666666697</c:v>
                </c:pt>
                <c:pt idx="15">
                  <c:v>7.0591666666666697</c:v>
                </c:pt>
                <c:pt idx="16">
                  <c:v>7.0591666666666697</c:v>
                </c:pt>
                <c:pt idx="17">
                  <c:v>7.0591666666666697</c:v>
                </c:pt>
                <c:pt idx="18">
                  <c:v>7.0591666666666697</c:v>
                </c:pt>
                <c:pt idx="19">
                  <c:v>7.0591666666666697</c:v>
                </c:pt>
                <c:pt idx="20">
                  <c:v>7.0591666666666697</c:v>
                </c:pt>
                <c:pt idx="21">
                  <c:v>7.0591666666666697</c:v>
                </c:pt>
                <c:pt idx="22">
                  <c:v>7.0591666666666697</c:v>
                </c:pt>
                <c:pt idx="23">
                  <c:v>7.0591666666666697</c:v>
                </c:pt>
                <c:pt idx="24">
                  <c:v>7.0591666666666697</c:v>
                </c:pt>
                <c:pt idx="25">
                  <c:v>7.0591666666666697</c:v>
                </c:pt>
                <c:pt idx="26">
                  <c:v>7.0591666666666697</c:v>
                </c:pt>
                <c:pt idx="27">
                  <c:v>7.0591666666666697</c:v>
                </c:pt>
                <c:pt idx="28">
                  <c:v>7.0591666666666697</c:v>
                </c:pt>
                <c:pt idx="29">
                  <c:v>7.0591666666666697</c:v>
                </c:pt>
                <c:pt idx="30">
                  <c:v>7.0591666666666697</c:v>
                </c:pt>
              </c:numCache>
            </c:numRef>
          </c:val>
          <c:smooth val="0"/>
          <c:extLst>
            <c:ext xmlns:c16="http://schemas.microsoft.com/office/drawing/2014/chart" uri="{C3380CC4-5D6E-409C-BE32-E72D297353CC}">
              <c16:uniqueId val="{00000000-20E6-421A-AD7D-771E21EED56C}"/>
            </c:ext>
          </c:extLst>
        </c:ser>
        <c:ser>
          <c:idx val="2"/>
          <c:order val="1"/>
          <c:tx>
            <c:strRef>
              <c:f>'KPI tracker'!$F$108</c:f>
              <c:strCache>
                <c:ptCount val="1"/>
                <c:pt idx="0">
                  <c:v>Actual</c:v>
                </c:pt>
              </c:strCache>
            </c:strRef>
          </c:tx>
          <c:val>
            <c:numRef>
              <c:f>'KPI tracker'!$G$108:$AK$108</c:f>
              <c:numCache>
                <c:formatCode>0.00</c:formatCode>
                <c:ptCount val="31"/>
                <c:pt idx="0">
                  <c:v>6.8603195598397368</c:v>
                </c:pt>
                <c:pt idx="1">
                  <c:v>7.5416712513491957</c:v>
                </c:pt>
                <c:pt idx="2">
                  <c:v>7.1021884572686487</c:v>
                </c:pt>
                <c:pt idx="3">
                  <c:v>6.93717479899008</c:v>
                </c:pt>
                <c:pt idx="4">
                  <c:v>6.831027098031468</c:v>
                </c:pt>
                <c:pt idx="5">
                  <c:v>7.0608076540717395</c:v>
                </c:pt>
                <c:pt idx="6">
                  <c:v>7.0720338128005071</c:v>
                </c:pt>
                <c:pt idx="7">
                  <c:v>6.8682865322329398</c:v>
                </c:pt>
                <c:pt idx="8">
                  <c:v>7.0717656992736275</c:v>
                </c:pt>
                <c:pt idx="9">
                  <c:v>6.9020695345769125</c:v>
                </c:pt>
                <c:pt idx="10">
                  <c:v>6.899974230394708</c:v>
                </c:pt>
                <c:pt idx="11">
                  <c:v>6.826269815593661</c:v>
                </c:pt>
                <c:pt idx="12">
                  <c:v>6.8208398644802912</c:v>
                </c:pt>
                <c:pt idx="13">
                  <c:v>6.7001720603794528</c:v>
                </c:pt>
                <c:pt idx="14">
                  <c:v>6.6187175210420266</c:v>
                </c:pt>
                <c:pt idx="15">
                  <c:v>6.7724010147329414</c:v>
                </c:pt>
                <c:pt idx="16">
                  <c:v>6.8078043763724132</c:v>
                </c:pt>
                <c:pt idx="17">
                  <c:v>6.8169719985284765</c:v>
                </c:pt>
                <c:pt idx="18">
                  <c:v>6.8080847376704208</c:v>
                </c:pt>
                <c:pt idx="19">
                  <c:v>6.8446641353939217</c:v>
                </c:pt>
                <c:pt idx="20">
                  <c:v>6.6912726841762815</c:v>
                </c:pt>
                <c:pt idx="21">
                  <c:v>6.7292978228465845</c:v>
                </c:pt>
                <c:pt idx="22">
                  <c:v>6.7887243902189986</c:v>
                </c:pt>
                <c:pt idx="23">
                  <c:v>6.7861466643405075</c:v>
                </c:pt>
                <c:pt idx="24">
                  <c:v>8.1483680804143308</c:v>
                </c:pt>
                <c:pt idx="25">
                  <c:v>6.9379489522986004</c:v>
                </c:pt>
                <c:pt idx="26">
                  <c:v>7.2636448009669881</c:v>
                </c:pt>
                <c:pt idx="27">
                  <c:v>7.3717331727992779</c:v>
                </c:pt>
                <c:pt idx="28">
                  <c:v>7.2921111994938297</c:v>
                </c:pt>
                <c:pt idx="29">
                  <c:v>7.2184213933512442</c:v>
                </c:pt>
                <c:pt idx="30">
                  <c:v>7.1291344706376059</c:v>
                </c:pt>
              </c:numCache>
            </c:numRef>
          </c:val>
          <c:smooth val="0"/>
          <c:extLst>
            <c:ext xmlns:c16="http://schemas.microsoft.com/office/drawing/2014/chart" uri="{C3380CC4-5D6E-409C-BE32-E72D297353CC}">
              <c16:uniqueId val="{00000001-20E6-421A-AD7D-771E21EED56C}"/>
            </c:ext>
          </c:extLst>
        </c:ser>
        <c:ser>
          <c:idx val="3"/>
          <c:order val="2"/>
          <c:tx>
            <c:strRef>
              <c:f>'KPI tracker'!$F$109</c:f>
              <c:strCache>
                <c:ptCount val="1"/>
                <c:pt idx="0">
                  <c:v>Upper Band</c:v>
                </c:pt>
              </c:strCache>
            </c:strRef>
          </c:tx>
          <c:val>
            <c:numRef>
              <c:f>'KPI tracker'!$G$109:$AK$109</c:f>
              <c:numCache>
                <c:formatCode>General</c:formatCode>
                <c:ptCount val="3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8.5</c:v>
                </c:pt>
                <c:pt idx="22">
                  <c:v>8.5</c:v>
                </c:pt>
                <c:pt idx="23">
                  <c:v>8.5</c:v>
                </c:pt>
                <c:pt idx="24">
                  <c:v>8.5</c:v>
                </c:pt>
                <c:pt idx="25">
                  <c:v>8.5</c:v>
                </c:pt>
                <c:pt idx="26">
                  <c:v>8.5</c:v>
                </c:pt>
                <c:pt idx="27">
                  <c:v>8.5</c:v>
                </c:pt>
                <c:pt idx="28">
                  <c:v>8.5</c:v>
                </c:pt>
                <c:pt idx="29">
                  <c:v>8.5</c:v>
                </c:pt>
                <c:pt idx="30">
                  <c:v>8.5</c:v>
                </c:pt>
              </c:numCache>
            </c:numRef>
          </c:val>
          <c:smooth val="0"/>
          <c:extLst>
            <c:ext xmlns:c16="http://schemas.microsoft.com/office/drawing/2014/chart" uri="{C3380CC4-5D6E-409C-BE32-E72D297353CC}">
              <c16:uniqueId val="{00000002-20E6-421A-AD7D-771E21EED56C}"/>
            </c:ext>
          </c:extLst>
        </c:ser>
        <c:ser>
          <c:idx val="0"/>
          <c:order val="3"/>
          <c:tx>
            <c:strRef>
              <c:f>'KPI tracker'!$F$110</c:f>
              <c:strCache>
                <c:ptCount val="1"/>
                <c:pt idx="0">
                  <c:v>Lower Band</c:v>
                </c:pt>
              </c:strCache>
            </c:strRef>
          </c:tx>
          <c:val>
            <c:numRef>
              <c:f>'KPI tracker'!$G$110:$AK$110</c:f>
              <c:numCache>
                <c:formatCode>General</c:formatCode>
                <c:ptCount val="31"/>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numCache>
            </c:numRef>
          </c:val>
          <c:smooth val="0"/>
          <c:extLst>
            <c:ext xmlns:c16="http://schemas.microsoft.com/office/drawing/2014/chart" uri="{C3380CC4-5D6E-409C-BE32-E72D297353CC}">
              <c16:uniqueId val="{00000003-20E6-421A-AD7D-771E21EED56C}"/>
            </c:ext>
          </c:extLst>
        </c:ser>
        <c:dLbls>
          <c:showLegendKey val="0"/>
          <c:showVal val="0"/>
          <c:showCatName val="0"/>
          <c:showSerName val="0"/>
          <c:showPercent val="0"/>
          <c:showBubbleSize val="0"/>
        </c:dLbls>
        <c:marker val="1"/>
        <c:smooth val="0"/>
        <c:axId val="555610784"/>
        <c:axId val="555611960"/>
      </c:lineChart>
      <c:catAx>
        <c:axId val="5556107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11960"/>
        <c:crosses val="autoZero"/>
        <c:auto val="1"/>
        <c:lblAlgn val="ctr"/>
        <c:lblOffset val="100"/>
        <c:noMultiLvlLbl val="0"/>
      </c:catAx>
      <c:valAx>
        <c:axId val="555611960"/>
        <c:scaling>
          <c:orientation val="minMax"/>
          <c:min val="2"/>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10784"/>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923616299775"/>
          <c:y val="4.2735050867886433E-2"/>
        </c:manualLayout>
      </c:layout>
      <c:overlay val="0"/>
      <c:spPr>
        <a:noFill/>
        <a:ln w="25400">
          <a:noFill/>
        </a:ln>
      </c:spPr>
    </c:title>
    <c:autoTitleDeleted val="0"/>
    <c:plotArea>
      <c:layout>
        <c:manualLayout>
          <c:layoutTarget val="inner"/>
          <c:xMode val="edge"/>
          <c:yMode val="edge"/>
          <c:x val="0.10855978218656442"/>
          <c:y val="0.19271488604907994"/>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tracker'!$C$101:$E$101</c:f>
              <c:strCache>
                <c:ptCount val="3"/>
                <c:pt idx="0">
                  <c:v>Jan'24</c:v>
                </c:pt>
                <c:pt idx="1">
                  <c:v>Feb'24</c:v>
                </c:pt>
                <c:pt idx="2">
                  <c:v>March'24</c:v>
                </c:pt>
              </c:strCache>
            </c:strRef>
          </c:cat>
          <c:val>
            <c:numRef>
              <c:f>'KPI tracker'!$C$102:$E$102</c:f>
              <c:numCache>
                <c:formatCode>0.00</c:formatCode>
                <c:ptCount val="3"/>
                <c:pt idx="0">
                  <c:v>7.24</c:v>
                </c:pt>
                <c:pt idx="1">
                  <c:v>7.24</c:v>
                </c:pt>
                <c:pt idx="2">
                  <c:v>7.24</c:v>
                </c:pt>
              </c:numCache>
            </c:numRef>
          </c:val>
          <c:extLst>
            <c:ext xmlns:c16="http://schemas.microsoft.com/office/drawing/2014/chart" uri="{C3380CC4-5D6E-409C-BE32-E72D297353CC}">
              <c16:uniqueId val="{00000000-02E4-4598-8A07-266887CEC01A}"/>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E4-4598-8A07-266887CEC01A}"/>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E4-4598-8A07-266887CEC01A}"/>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E4-4598-8A07-266887CEC01A}"/>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tracker'!$C$101:$E$101</c:f>
              <c:strCache>
                <c:ptCount val="3"/>
                <c:pt idx="0">
                  <c:v>Jan'24</c:v>
                </c:pt>
                <c:pt idx="1">
                  <c:v>Feb'24</c:v>
                </c:pt>
                <c:pt idx="2">
                  <c:v>March'24</c:v>
                </c:pt>
              </c:strCache>
            </c:strRef>
          </c:cat>
          <c:val>
            <c:numRef>
              <c:f>'KPI tracker'!$C$103:$E$103</c:f>
              <c:numCache>
                <c:formatCode>0.00</c:formatCode>
                <c:ptCount val="3"/>
                <c:pt idx="0">
                  <c:v>7.52</c:v>
                </c:pt>
                <c:pt idx="1">
                  <c:v>7.71</c:v>
                </c:pt>
                <c:pt idx="2">
                  <c:v>7.55</c:v>
                </c:pt>
              </c:numCache>
            </c:numRef>
          </c:val>
          <c:extLst>
            <c:ext xmlns:c16="http://schemas.microsoft.com/office/drawing/2014/chart" uri="{C3380CC4-5D6E-409C-BE32-E72D297353CC}">
              <c16:uniqueId val="{00000004-02E4-4598-8A07-266887CEC01A}"/>
            </c:ext>
          </c:extLst>
        </c:ser>
        <c:dLbls>
          <c:showLegendKey val="0"/>
          <c:showVal val="1"/>
          <c:showCatName val="0"/>
          <c:showSerName val="0"/>
          <c:showPercent val="0"/>
          <c:showBubbleSize val="0"/>
        </c:dLbls>
        <c:gapWidth val="150"/>
        <c:axId val="555608824"/>
        <c:axId val="555612352"/>
      </c:barChart>
      <c:catAx>
        <c:axId val="555608824"/>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12352"/>
        <c:crosses val="autoZero"/>
        <c:auto val="1"/>
        <c:lblAlgn val="ctr"/>
        <c:lblOffset val="100"/>
        <c:noMultiLvlLbl val="0"/>
      </c:catAx>
      <c:valAx>
        <c:axId val="555612352"/>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08824"/>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8945671160478721E-2"/>
          <c:y val="6.1032005327692304E-2"/>
          <c:w val="0.93187320004661167"/>
          <c:h val="0.89779739016721849"/>
        </c:manualLayout>
      </c:layout>
      <c:lineChart>
        <c:grouping val="standard"/>
        <c:varyColors val="0"/>
        <c:ser>
          <c:idx val="1"/>
          <c:order val="0"/>
          <c:tx>
            <c:strRef>
              <c:f>'KPI tracker'!$F$142</c:f>
              <c:strCache>
                <c:ptCount val="1"/>
                <c:pt idx="0">
                  <c:v>Target</c:v>
                </c:pt>
              </c:strCache>
            </c:strRef>
          </c:tx>
          <c:val>
            <c:numRef>
              <c:f>'KPI tracker'!$G$142:$AK$142</c:f>
              <c:numCache>
                <c:formatCode>0.00</c:formatCode>
                <c:ptCount val="3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numCache>
            </c:numRef>
          </c:val>
          <c:smooth val="0"/>
          <c:extLst>
            <c:ext xmlns:c16="http://schemas.microsoft.com/office/drawing/2014/chart" uri="{C3380CC4-5D6E-409C-BE32-E72D297353CC}">
              <c16:uniqueId val="{00000000-416A-4639-BB8A-B0867772925D}"/>
            </c:ext>
          </c:extLst>
        </c:ser>
        <c:ser>
          <c:idx val="2"/>
          <c:order val="1"/>
          <c:tx>
            <c:strRef>
              <c:f>'KPI tracker'!$F$143</c:f>
              <c:strCache>
                <c:ptCount val="1"/>
                <c:pt idx="0">
                  <c:v>Actual</c:v>
                </c:pt>
              </c:strCache>
            </c:strRef>
          </c:tx>
          <c:val>
            <c:numRef>
              <c:f>'KPI tracker'!$G$143:$AK$143</c:f>
              <c:numCache>
                <c:formatCode>0.00</c:formatCode>
                <c:ptCount val="31"/>
                <c:pt idx="0">
                  <c:v>2.8440166265587399</c:v>
                </c:pt>
                <c:pt idx="1">
                  <c:v>7.8113228208497603</c:v>
                </c:pt>
                <c:pt idx="2">
                  <c:v>2.180482686253935</c:v>
                </c:pt>
                <c:pt idx="3">
                  <c:v>2.4593881856540083</c:v>
                </c:pt>
                <c:pt idx="4">
                  <c:v>2.1628239134870433</c:v>
                </c:pt>
                <c:pt idx="5">
                  <c:v>1.9342169857633775</c:v>
                </c:pt>
                <c:pt idx="6">
                  <c:v>2.1668264621284754</c:v>
                </c:pt>
                <c:pt idx="7">
                  <c:v>1.8148505303760849</c:v>
                </c:pt>
                <c:pt idx="8">
                  <c:v>2.4416446918644397</c:v>
                </c:pt>
                <c:pt idx="9">
                  <c:v>2.0993098159509205</c:v>
                </c:pt>
                <c:pt idx="10">
                  <c:v>2.0652338572240105</c:v>
                </c:pt>
                <c:pt idx="11">
                  <c:v>2.2582731076454925</c:v>
                </c:pt>
                <c:pt idx="12">
                  <c:v>2.127857275599331</c:v>
                </c:pt>
                <c:pt idx="13">
                  <c:v>2.0603109196478742</c:v>
                </c:pt>
                <c:pt idx="14">
                  <c:v>2.3486136783733826</c:v>
                </c:pt>
                <c:pt idx="15">
                  <c:v>1.9872423037810856</c:v>
                </c:pt>
                <c:pt idx="16">
                  <c:v>2.193801344286781</c:v>
                </c:pt>
                <c:pt idx="17">
                  <c:v>2.5619416044947956</c:v>
                </c:pt>
                <c:pt idx="18">
                  <c:v>2.140724746526474</c:v>
                </c:pt>
                <c:pt idx="19">
                  <c:v>2.5271433919880195</c:v>
                </c:pt>
                <c:pt idx="20">
                  <c:v>2.1911250230160193</c:v>
                </c:pt>
                <c:pt idx="21">
                  <c:v>2.5860465116279068</c:v>
                </c:pt>
                <c:pt idx="22">
                  <c:v>2.9084612504679894</c:v>
                </c:pt>
                <c:pt idx="23">
                  <c:v>2.2827098455239159</c:v>
                </c:pt>
                <c:pt idx="24">
                  <c:v>7.779148673658236</c:v>
                </c:pt>
                <c:pt idx="25">
                  <c:v>2.956989247311828</c:v>
                </c:pt>
                <c:pt idx="26">
                  <c:v>2.2467235281880589</c:v>
                </c:pt>
                <c:pt idx="27">
                  <c:v>2.4832435996044389</c:v>
                </c:pt>
                <c:pt idx="28">
                  <c:v>2.3325167749494091</c:v>
                </c:pt>
                <c:pt idx="29">
                  <c:v>2.1387402223137095</c:v>
                </c:pt>
                <c:pt idx="30">
                  <c:v>2.0182938954066412</c:v>
                </c:pt>
              </c:numCache>
            </c:numRef>
          </c:val>
          <c:smooth val="0"/>
          <c:extLst>
            <c:ext xmlns:c16="http://schemas.microsoft.com/office/drawing/2014/chart" uri="{C3380CC4-5D6E-409C-BE32-E72D297353CC}">
              <c16:uniqueId val="{00000001-416A-4639-BB8A-B0867772925D}"/>
            </c:ext>
          </c:extLst>
        </c:ser>
        <c:ser>
          <c:idx val="3"/>
          <c:order val="2"/>
          <c:tx>
            <c:strRef>
              <c:f>'KPI tracker'!$F$144</c:f>
              <c:strCache>
                <c:ptCount val="1"/>
                <c:pt idx="0">
                  <c:v>Upper Band</c:v>
                </c:pt>
              </c:strCache>
            </c:strRef>
          </c:tx>
          <c:val>
            <c:numRef>
              <c:f>'KPI tracker'!$G$144:$AK$144</c:f>
              <c:numCache>
                <c:formatCode>General</c:formatCode>
                <c:ptCount val="31"/>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numCache>
            </c:numRef>
          </c:val>
          <c:smooth val="0"/>
          <c:extLst>
            <c:ext xmlns:c16="http://schemas.microsoft.com/office/drawing/2014/chart" uri="{C3380CC4-5D6E-409C-BE32-E72D297353CC}">
              <c16:uniqueId val="{00000002-416A-4639-BB8A-B0867772925D}"/>
            </c:ext>
          </c:extLst>
        </c:ser>
        <c:ser>
          <c:idx val="4"/>
          <c:order val="3"/>
          <c:tx>
            <c:strRef>
              <c:f>'KPI tracker'!$F$145</c:f>
              <c:strCache>
                <c:ptCount val="1"/>
                <c:pt idx="0">
                  <c:v>Lower Band</c:v>
                </c:pt>
              </c:strCache>
            </c:strRef>
          </c:tx>
          <c:val>
            <c:numRef>
              <c:f>'KPI tracker'!$G$145:$AK$145</c:f>
              <c:numCache>
                <c:formatCode>General</c:formatCode>
                <c:ptCount val="3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numCache>
            </c:numRef>
          </c:val>
          <c:smooth val="0"/>
          <c:extLst>
            <c:ext xmlns:c16="http://schemas.microsoft.com/office/drawing/2014/chart" uri="{C3380CC4-5D6E-409C-BE32-E72D297353CC}">
              <c16:uniqueId val="{00000003-416A-4639-BB8A-B0867772925D}"/>
            </c:ext>
          </c:extLst>
        </c:ser>
        <c:dLbls>
          <c:showLegendKey val="0"/>
          <c:showVal val="0"/>
          <c:showCatName val="0"/>
          <c:showSerName val="0"/>
          <c:showPercent val="0"/>
          <c:showBubbleSize val="0"/>
        </c:dLbls>
        <c:marker val="1"/>
        <c:smooth val="0"/>
        <c:axId val="555606472"/>
        <c:axId val="555606080"/>
      </c:lineChart>
      <c:catAx>
        <c:axId val="555606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6080"/>
        <c:crosses val="autoZero"/>
        <c:auto val="1"/>
        <c:lblAlgn val="ctr"/>
        <c:lblOffset val="100"/>
        <c:noMultiLvlLbl val="0"/>
      </c:catAx>
      <c:valAx>
        <c:axId val="555606080"/>
        <c:scaling>
          <c:orientation val="minMax"/>
          <c:max val="12"/>
          <c:min val="1.8"/>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6472"/>
        <c:crosses val="autoZero"/>
        <c:crossBetween val="between"/>
      </c:valAx>
    </c:plotArea>
    <c:legend>
      <c:legendPos val="r"/>
      <c:overlay val="0"/>
      <c:txPr>
        <a:bodyPr/>
        <a:lstStyle/>
        <a:p>
          <a:pPr>
            <a:defRPr sz="25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898705899982"/>
          <c:y val="4.273497976495631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tracker'!$C$136:$E$136</c:f>
              <c:strCache>
                <c:ptCount val="3"/>
                <c:pt idx="0">
                  <c:v>Jan'24</c:v>
                </c:pt>
                <c:pt idx="1">
                  <c:v>#REF!</c:v>
                </c:pt>
                <c:pt idx="2">
                  <c:v>Feb'24</c:v>
                </c:pt>
              </c:strCache>
            </c:strRef>
          </c:cat>
          <c:val>
            <c:numRef>
              <c:f>'KPI tracker'!$C$137:$E$137</c:f>
              <c:numCache>
                <c:formatCode>0.00</c:formatCode>
                <c:ptCount val="3"/>
                <c:pt idx="0">
                  <c:v>2.5</c:v>
                </c:pt>
                <c:pt idx="1">
                  <c:v>2.5</c:v>
                </c:pt>
                <c:pt idx="2">
                  <c:v>2.5</c:v>
                </c:pt>
              </c:numCache>
            </c:numRef>
          </c:val>
          <c:extLst>
            <c:ext xmlns:c16="http://schemas.microsoft.com/office/drawing/2014/chart" uri="{C3380CC4-5D6E-409C-BE32-E72D297353CC}">
              <c16:uniqueId val="{00000000-0FA7-4E1E-B881-4A6AAF16EC3E}"/>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A7-4E1E-B881-4A6AAF16EC3E}"/>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A7-4E1E-B881-4A6AAF16EC3E}"/>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A7-4E1E-B881-4A6AAF16EC3E}"/>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tracker'!$C$136:$E$136</c:f>
              <c:strCache>
                <c:ptCount val="3"/>
                <c:pt idx="0">
                  <c:v>Jan'24</c:v>
                </c:pt>
                <c:pt idx="1">
                  <c:v>#REF!</c:v>
                </c:pt>
                <c:pt idx="2">
                  <c:v>Feb'24</c:v>
                </c:pt>
              </c:strCache>
            </c:strRef>
          </c:cat>
          <c:val>
            <c:numRef>
              <c:f>'KPI tracker'!$C$138:$E$138</c:f>
              <c:numCache>
                <c:formatCode>0.00</c:formatCode>
                <c:ptCount val="3"/>
                <c:pt idx="0">
                  <c:v>2.9</c:v>
                </c:pt>
                <c:pt idx="1">
                  <c:v>3.16</c:v>
                </c:pt>
                <c:pt idx="2">
                  <c:v>3.6</c:v>
                </c:pt>
              </c:numCache>
            </c:numRef>
          </c:val>
          <c:extLst>
            <c:ext xmlns:c16="http://schemas.microsoft.com/office/drawing/2014/chart" uri="{C3380CC4-5D6E-409C-BE32-E72D297353CC}">
              <c16:uniqueId val="{00000004-0FA7-4E1E-B881-4A6AAF16EC3E}"/>
            </c:ext>
          </c:extLst>
        </c:ser>
        <c:dLbls>
          <c:showLegendKey val="0"/>
          <c:showVal val="1"/>
          <c:showCatName val="0"/>
          <c:showSerName val="0"/>
          <c:showPercent val="0"/>
          <c:showBubbleSize val="0"/>
        </c:dLbls>
        <c:gapWidth val="150"/>
        <c:axId val="555606864"/>
        <c:axId val="555613136"/>
      </c:barChart>
      <c:catAx>
        <c:axId val="555606864"/>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13136"/>
        <c:crosses val="autoZero"/>
        <c:auto val="1"/>
        <c:lblAlgn val="ctr"/>
        <c:lblOffset val="100"/>
        <c:noMultiLvlLbl val="0"/>
      </c:catAx>
      <c:valAx>
        <c:axId val="555613136"/>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06864"/>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5069168151021292E-2"/>
          <c:y val="1.7250939038980551E-2"/>
          <c:w val="0.93187320004661167"/>
          <c:h val="0.89779739016721849"/>
        </c:manualLayout>
      </c:layout>
      <c:lineChart>
        <c:grouping val="standard"/>
        <c:varyColors val="0"/>
        <c:ser>
          <c:idx val="1"/>
          <c:order val="0"/>
          <c:tx>
            <c:strRef>
              <c:f>'KPI tracker'!$F$176</c:f>
              <c:strCache>
                <c:ptCount val="1"/>
                <c:pt idx="0">
                  <c:v>Target</c:v>
                </c:pt>
              </c:strCache>
            </c:strRef>
          </c:tx>
          <c:val>
            <c:numRef>
              <c:f>'KPI tracker'!$G$176:$AK$176</c:f>
              <c:numCache>
                <c:formatCode>0.00</c:formatCode>
                <c:ptCount val="31"/>
                <c:pt idx="0">
                  <c:v>2.410945178494623</c:v>
                </c:pt>
                <c:pt idx="1">
                  <c:v>2.410945178494623</c:v>
                </c:pt>
                <c:pt idx="2">
                  <c:v>2.410945178494623</c:v>
                </c:pt>
                <c:pt idx="3">
                  <c:v>2.410945178494623</c:v>
                </c:pt>
                <c:pt idx="4">
                  <c:v>2.410945178494623</c:v>
                </c:pt>
                <c:pt idx="5">
                  <c:v>2.410945178494623</c:v>
                </c:pt>
                <c:pt idx="6">
                  <c:v>2.410945178494623</c:v>
                </c:pt>
                <c:pt idx="7">
                  <c:v>2.410945178494623</c:v>
                </c:pt>
                <c:pt idx="8">
                  <c:v>2.410945178494623</c:v>
                </c:pt>
                <c:pt idx="9">
                  <c:v>2.410945178494623</c:v>
                </c:pt>
                <c:pt idx="10">
                  <c:v>2.410945178494623</c:v>
                </c:pt>
                <c:pt idx="11">
                  <c:v>2.410945178494623</c:v>
                </c:pt>
                <c:pt idx="12">
                  <c:v>2.410945178494623</c:v>
                </c:pt>
                <c:pt idx="13">
                  <c:v>2.410945178494623</c:v>
                </c:pt>
                <c:pt idx="14">
                  <c:v>2.410945178494623</c:v>
                </c:pt>
                <c:pt idx="15">
                  <c:v>2.410945178494623</c:v>
                </c:pt>
                <c:pt idx="16">
                  <c:v>2.410945178494623</c:v>
                </c:pt>
                <c:pt idx="17">
                  <c:v>2.410945178494623</c:v>
                </c:pt>
                <c:pt idx="18">
                  <c:v>2.410945178494623</c:v>
                </c:pt>
                <c:pt idx="19">
                  <c:v>2.410945178494623</c:v>
                </c:pt>
                <c:pt idx="20">
                  <c:v>2.410945178494623</c:v>
                </c:pt>
                <c:pt idx="21">
                  <c:v>2.410945178494623</c:v>
                </c:pt>
                <c:pt idx="22">
                  <c:v>2.410945178494623</c:v>
                </c:pt>
                <c:pt idx="23">
                  <c:v>2.410945178494623</c:v>
                </c:pt>
                <c:pt idx="24">
                  <c:v>2.410945178494623</c:v>
                </c:pt>
                <c:pt idx="25">
                  <c:v>2.410945178494623</c:v>
                </c:pt>
                <c:pt idx="26">
                  <c:v>2.410945178494623</c:v>
                </c:pt>
                <c:pt idx="27">
                  <c:v>2.410945178494623</c:v>
                </c:pt>
                <c:pt idx="28">
                  <c:v>2.410945178494623</c:v>
                </c:pt>
                <c:pt idx="29">
                  <c:v>2.410945178494623</c:v>
                </c:pt>
                <c:pt idx="30">
                  <c:v>2.410945178494623</c:v>
                </c:pt>
              </c:numCache>
            </c:numRef>
          </c:val>
          <c:smooth val="0"/>
          <c:extLst>
            <c:ext xmlns:c16="http://schemas.microsoft.com/office/drawing/2014/chart" uri="{C3380CC4-5D6E-409C-BE32-E72D297353CC}">
              <c16:uniqueId val="{00000000-1430-4CAC-B289-CFBE587110D6}"/>
            </c:ext>
          </c:extLst>
        </c:ser>
        <c:ser>
          <c:idx val="2"/>
          <c:order val="1"/>
          <c:tx>
            <c:strRef>
              <c:f>'KPI tracker'!$F$177</c:f>
              <c:strCache>
                <c:ptCount val="1"/>
                <c:pt idx="0">
                  <c:v>Actual</c:v>
                </c:pt>
              </c:strCache>
            </c:strRef>
          </c:tx>
          <c:val>
            <c:numRef>
              <c:f>'KPI tracker'!$G$177:$AK$177</c:f>
              <c:numCache>
                <c:formatCode>0.00</c:formatCode>
                <c:ptCount val="31"/>
                <c:pt idx="0">
                  <c:v>2.5029699999999999</c:v>
                </c:pt>
                <c:pt idx="1">
                  <c:v>2.3499100000000004</c:v>
                </c:pt>
                <c:pt idx="2">
                  <c:v>2.1921300000000001</c:v>
                </c:pt>
                <c:pt idx="3">
                  <c:v>2.20112</c:v>
                </c:pt>
                <c:pt idx="4">
                  <c:v>2.26336</c:v>
                </c:pt>
                <c:pt idx="5">
                  <c:v>2.35473</c:v>
                </c:pt>
                <c:pt idx="6">
                  <c:v>2.43621</c:v>
                </c:pt>
                <c:pt idx="7">
                  <c:v>2.43947</c:v>
                </c:pt>
                <c:pt idx="8">
                  <c:v>2.3704700000000001</c:v>
                </c:pt>
                <c:pt idx="9">
                  <c:v>2.4497100000000001</c:v>
                </c:pt>
                <c:pt idx="10">
                  <c:v>2.4946000000000002</c:v>
                </c:pt>
                <c:pt idx="11">
                  <c:v>2.5221300000000002</c:v>
                </c:pt>
                <c:pt idx="12">
                  <c:v>2.6019399999999999</c:v>
                </c:pt>
                <c:pt idx="13">
                  <c:v>2.6059800000000002</c:v>
                </c:pt>
                <c:pt idx="14">
                  <c:v>2.6384699999999999</c:v>
                </c:pt>
                <c:pt idx="15">
                  <c:v>2.62412</c:v>
                </c:pt>
                <c:pt idx="16">
                  <c:v>2.5870500000000001</c:v>
                </c:pt>
                <c:pt idx="17">
                  <c:v>2.58684</c:v>
                </c:pt>
                <c:pt idx="18">
                  <c:v>2.5975100000000002</c:v>
                </c:pt>
                <c:pt idx="19">
                  <c:v>2.5658500000000002</c:v>
                </c:pt>
                <c:pt idx="20">
                  <c:v>2.6255999999999999</c:v>
                </c:pt>
                <c:pt idx="21">
                  <c:v>2.6351499999999999</c:v>
                </c:pt>
                <c:pt idx="22">
                  <c:v>2.5931500000000001</c:v>
                </c:pt>
                <c:pt idx="23">
                  <c:v>2.5827800000000001</c:v>
                </c:pt>
                <c:pt idx="24">
                  <c:v>1.84091</c:v>
                </c:pt>
                <c:pt idx="25">
                  <c:v>2.4996900000000002</c:v>
                </c:pt>
                <c:pt idx="26">
                  <c:v>2.2218200000000001</c:v>
                </c:pt>
                <c:pt idx="27">
                  <c:v>2.0554399999999999</c:v>
                </c:pt>
                <c:pt idx="28">
                  <c:v>2.1237499999999998</c:v>
                </c:pt>
                <c:pt idx="29">
                  <c:v>2.24878</c:v>
                </c:pt>
                <c:pt idx="30">
                  <c:v>2.3387799999999999</c:v>
                </c:pt>
              </c:numCache>
            </c:numRef>
          </c:val>
          <c:smooth val="0"/>
          <c:extLst>
            <c:ext xmlns:c16="http://schemas.microsoft.com/office/drawing/2014/chart" uri="{C3380CC4-5D6E-409C-BE32-E72D297353CC}">
              <c16:uniqueId val="{00000001-1430-4CAC-B289-CFBE587110D6}"/>
            </c:ext>
          </c:extLst>
        </c:ser>
        <c:ser>
          <c:idx val="3"/>
          <c:order val="2"/>
          <c:tx>
            <c:strRef>
              <c:f>'KPI tracker'!$F$178</c:f>
              <c:strCache>
                <c:ptCount val="1"/>
                <c:pt idx="0">
                  <c:v>Upper Band</c:v>
                </c:pt>
              </c:strCache>
            </c:strRef>
          </c:tx>
          <c:val>
            <c:numRef>
              <c:f>'KPI tracker'!$G$178:$AK$178</c:f>
              <c:numCache>
                <c:formatCode>General</c:formatCode>
                <c:ptCount val="31"/>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numCache>
            </c:numRef>
          </c:val>
          <c:smooth val="0"/>
          <c:extLst>
            <c:ext xmlns:c16="http://schemas.microsoft.com/office/drawing/2014/chart" uri="{C3380CC4-5D6E-409C-BE32-E72D297353CC}">
              <c16:uniqueId val="{00000002-1430-4CAC-B289-CFBE587110D6}"/>
            </c:ext>
          </c:extLst>
        </c:ser>
        <c:ser>
          <c:idx val="4"/>
          <c:order val="3"/>
          <c:tx>
            <c:strRef>
              <c:f>'KPI tracker'!$F$179</c:f>
              <c:strCache>
                <c:ptCount val="1"/>
                <c:pt idx="0">
                  <c:v>Lower Band</c:v>
                </c:pt>
              </c:strCache>
            </c:strRef>
          </c:tx>
          <c:val>
            <c:numRef>
              <c:f>'KPI tracker'!$G$179:$AK$179</c:f>
              <c:numCache>
                <c:formatCode>General</c:formatCode>
                <c:ptCount val="3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numCache>
            </c:numRef>
          </c:val>
          <c:smooth val="0"/>
          <c:extLst>
            <c:ext xmlns:c16="http://schemas.microsoft.com/office/drawing/2014/chart" uri="{C3380CC4-5D6E-409C-BE32-E72D297353CC}">
              <c16:uniqueId val="{00000003-1430-4CAC-B289-CFBE587110D6}"/>
            </c:ext>
          </c:extLst>
        </c:ser>
        <c:dLbls>
          <c:showLegendKey val="0"/>
          <c:showVal val="0"/>
          <c:showCatName val="0"/>
          <c:showSerName val="0"/>
          <c:showPercent val="0"/>
          <c:showBubbleSize val="0"/>
        </c:dLbls>
        <c:marker val="1"/>
        <c:smooth val="0"/>
        <c:axId val="555609216"/>
        <c:axId val="555611568"/>
      </c:lineChart>
      <c:catAx>
        <c:axId val="55560921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11568"/>
        <c:crosses val="autoZero"/>
        <c:auto val="1"/>
        <c:lblAlgn val="ctr"/>
        <c:lblOffset val="100"/>
        <c:noMultiLvlLbl val="0"/>
      </c:catAx>
      <c:valAx>
        <c:axId val="555611568"/>
        <c:scaling>
          <c:orientation val="minMax"/>
          <c:max val="3"/>
          <c:min val="0.5"/>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9216"/>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913372332279"/>
          <c:y val="4.273496941287008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tracker'!$C$170:$E$170</c:f>
              <c:strCache>
                <c:ptCount val="3"/>
                <c:pt idx="0">
                  <c:v>Jan'24</c:v>
                </c:pt>
                <c:pt idx="1">
                  <c:v>#REF!</c:v>
                </c:pt>
                <c:pt idx="2">
                  <c:v>Feb'24</c:v>
                </c:pt>
              </c:strCache>
            </c:strRef>
          </c:cat>
          <c:val>
            <c:numRef>
              <c:f>'KPI tracker'!$C$171:$E$171</c:f>
              <c:numCache>
                <c:formatCode>0.00</c:formatCode>
                <c:ptCount val="3"/>
                <c:pt idx="0">
                  <c:v>72.66</c:v>
                </c:pt>
                <c:pt idx="1">
                  <c:v>72.66</c:v>
                </c:pt>
                <c:pt idx="2">
                  <c:v>65.627359456438356</c:v>
                </c:pt>
              </c:numCache>
            </c:numRef>
          </c:val>
          <c:extLst>
            <c:ext xmlns:c16="http://schemas.microsoft.com/office/drawing/2014/chart" uri="{C3380CC4-5D6E-409C-BE32-E72D297353CC}">
              <c16:uniqueId val="{00000000-F77B-456E-89EB-9B0BF09F96BC}"/>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7B-456E-89EB-9B0BF09F96BC}"/>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7B-456E-89EB-9B0BF09F96BC}"/>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7B-456E-89EB-9B0BF09F96BC}"/>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tracker'!$C$170:$E$170</c:f>
              <c:strCache>
                <c:ptCount val="3"/>
                <c:pt idx="0">
                  <c:v>Jan'24</c:v>
                </c:pt>
                <c:pt idx="1">
                  <c:v>#REF!</c:v>
                </c:pt>
                <c:pt idx="2">
                  <c:v>Feb'24</c:v>
                </c:pt>
              </c:strCache>
            </c:strRef>
          </c:cat>
          <c:val>
            <c:numRef>
              <c:f>'KPI tracker'!$C$172:$E$172</c:f>
              <c:numCache>
                <c:formatCode>0.00</c:formatCode>
                <c:ptCount val="3"/>
                <c:pt idx="0">
                  <c:v>66.819999999999993</c:v>
                </c:pt>
                <c:pt idx="1">
                  <c:v>64.06</c:v>
                </c:pt>
                <c:pt idx="2">
                  <c:v>60.566699999999997</c:v>
                </c:pt>
              </c:numCache>
            </c:numRef>
          </c:val>
          <c:extLst>
            <c:ext xmlns:c16="http://schemas.microsoft.com/office/drawing/2014/chart" uri="{C3380CC4-5D6E-409C-BE32-E72D297353CC}">
              <c16:uniqueId val="{00000004-F77B-456E-89EB-9B0BF09F96BC}"/>
            </c:ext>
          </c:extLst>
        </c:ser>
        <c:dLbls>
          <c:showLegendKey val="0"/>
          <c:showVal val="1"/>
          <c:showCatName val="0"/>
          <c:showSerName val="0"/>
          <c:showPercent val="0"/>
          <c:showBubbleSize val="0"/>
        </c:dLbls>
        <c:gapWidth val="150"/>
        <c:axId val="557808904"/>
        <c:axId val="557812432"/>
      </c:barChart>
      <c:catAx>
        <c:axId val="557808904"/>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12432"/>
        <c:crosses val="autoZero"/>
        <c:auto val="1"/>
        <c:lblAlgn val="ctr"/>
        <c:lblOffset val="100"/>
        <c:noMultiLvlLbl val="0"/>
      </c:catAx>
      <c:valAx>
        <c:axId val="557812432"/>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08904"/>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93207126550933E-2"/>
          <c:y val="6.1032005327692304E-2"/>
          <c:w val="0.93187320004661167"/>
          <c:h val="0.89779739016721849"/>
        </c:manualLayout>
      </c:layout>
      <c:lineChart>
        <c:grouping val="standard"/>
        <c:varyColors val="0"/>
        <c:ser>
          <c:idx val="1"/>
          <c:order val="0"/>
          <c:tx>
            <c:strRef>
              <c:f>'KPI tracker'!$F$209</c:f>
              <c:strCache>
                <c:ptCount val="1"/>
                <c:pt idx="0">
                  <c:v>Target</c:v>
                </c:pt>
              </c:strCache>
            </c:strRef>
          </c:tx>
          <c:val>
            <c:numRef>
              <c:f>'KPI tracker'!$G$209:$AK$209</c:f>
              <c:numCache>
                <c:formatCode>0.00</c:formatCode>
                <c:ptCount val="31"/>
                <c:pt idx="0">
                  <c:v>2.410945178494623</c:v>
                </c:pt>
                <c:pt idx="1">
                  <c:v>2.410945178494623</c:v>
                </c:pt>
                <c:pt idx="2">
                  <c:v>2.410945178494623</c:v>
                </c:pt>
                <c:pt idx="3">
                  <c:v>2.410945178494623</c:v>
                </c:pt>
                <c:pt idx="4">
                  <c:v>2.410945178494623</c:v>
                </c:pt>
                <c:pt idx="5">
                  <c:v>2.410945178494623</c:v>
                </c:pt>
                <c:pt idx="6">
                  <c:v>2.410945178494623</c:v>
                </c:pt>
                <c:pt idx="7">
                  <c:v>2.410945178494623</c:v>
                </c:pt>
                <c:pt idx="8">
                  <c:v>2.410945178494623</c:v>
                </c:pt>
                <c:pt idx="9">
                  <c:v>2.410945178494623</c:v>
                </c:pt>
                <c:pt idx="10">
                  <c:v>2.410945178494623</c:v>
                </c:pt>
                <c:pt idx="11">
                  <c:v>2.410945178494623</c:v>
                </c:pt>
                <c:pt idx="12">
                  <c:v>2.410945178494623</c:v>
                </c:pt>
                <c:pt idx="13">
                  <c:v>2.410945178494623</c:v>
                </c:pt>
                <c:pt idx="14">
                  <c:v>2.410945178494623</c:v>
                </c:pt>
                <c:pt idx="15">
                  <c:v>2.410945178494623</c:v>
                </c:pt>
                <c:pt idx="16">
                  <c:v>2.410945178494623</c:v>
                </c:pt>
                <c:pt idx="17">
                  <c:v>2.410945178494623</c:v>
                </c:pt>
                <c:pt idx="18">
                  <c:v>2.410945178494623</c:v>
                </c:pt>
                <c:pt idx="19">
                  <c:v>2.410945178494623</c:v>
                </c:pt>
                <c:pt idx="20">
                  <c:v>2.410945178494623</c:v>
                </c:pt>
                <c:pt idx="21">
                  <c:v>2.410945178494623</c:v>
                </c:pt>
                <c:pt idx="22">
                  <c:v>2.410945178494623</c:v>
                </c:pt>
                <c:pt idx="23">
                  <c:v>2.410945178494623</c:v>
                </c:pt>
                <c:pt idx="24">
                  <c:v>2.410945178494623</c:v>
                </c:pt>
                <c:pt idx="25">
                  <c:v>2.410945178494623</c:v>
                </c:pt>
                <c:pt idx="26">
                  <c:v>2.410945178494623</c:v>
                </c:pt>
                <c:pt idx="27">
                  <c:v>2.410945178494623</c:v>
                </c:pt>
                <c:pt idx="28">
                  <c:v>2.410945178494623</c:v>
                </c:pt>
                <c:pt idx="29">
                  <c:v>2.410945178494623</c:v>
                </c:pt>
                <c:pt idx="30">
                  <c:v>2.410945178494623</c:v>
                </c:pt>
              </c:numCache>
            </c:numRef>
          </c:val>
          <c:smooth val="0"/>
          <c:extLst>
            <c:ext xmlns:c16="http://schemas.microsoft.com/office/drawing/2014/chart" uri="{C3380CC4-5D6E-409C-BE32-E72D297353CC}">
              <c16:uniqueId val="{00000000-3672-449F-8C00-4ACD0B9B3F0F}"/>
            </c:ext>
          </c:extLst>
        </c:ser>
        <c:ser>
          <c:idx val="2"/>
          <c:order val="1"/>
          <c:tx>
            <c:strRef>
              <c:f>'KPI tracker'!$F$210</c:f>
              <c:strCache>
                <c:ptCount val="1"/>
                <c:pt idx="0">
                  <c:v>Actual</c:v>
                </c:pt>
              </c:strCache>
            </c:strRef>
          </c:tx>
          <c:val>
            <c:numRef>
              <c:f>'KPI tracker'!$G$210:$AK$210</c:f>
              <c:numCache>
                <c:formatCode>0.00</c:formatCode>
                <c:ptCount val="31"/>
                <c:pt idx="0">
                  <c:v>2.5029699999999999</c:v>
                </c:pt>
                <c:pt idx="1">
                  <c:v>2.3499100000000004</c:v>
                </c:pt>
                <c:pt idx="2">
                  <c:v>2.1921300000000001</c:v>
                </c:pt>
                <c:pt idx="3">
                  <c:v>2.20112</c:v>
                </c:pt>
                <c:pt idx="4">
                  <c:v>2.26336</c:v>
                </c:pt>
                <c:pt idx="5">
                  <c:v>2.35473</c:v>
                </c:pt>
                <c:pt idx="6">
                  <c:v>2.43621</c:v>
                </c:pt>
                <c:pt idx="7">
                  <c:v>2.43947</c:v>
                </c:pt>
                <c:pt idx="8">
                  <c:v>2.3704700000000001</c:v>
                </c:pt>
                <c:pt idx="9">
                  <c:v>2.4497100000000001</c:v>
                </c:pt>
                <c:pt idx="10">
                  <c:v>2.4946000000000002</c:v>
                </c:pt>
                <c:pt idx="11">
                  <c:v>2.5221300000000002</c:v>
                </c:pt>
                <c:pt idx="12">
                  <c:v>2.6019399999999999</c:v>
                </c:pt>
                <c:pt idx="13">
                  <c:v>2.6059800000000002</c:v>
                </c:pt>
                <c:pt idx="14">
                  <c:v>2.6384699999999999</c:v>
                </c:pt>
                <c:pt idx="15">
                  <c:v>2.62412</c:v>
                </c:pt>
                <c:pt idx="16">
                  <c:v>2.5870500000000001</c:v>
                </c:pt>
                <c:pt idx="17">
                  <c:v>2.58684</c:v>
                </c:pt>
                <c:pt idx="18">
                  <c:v>2.5975100000000002</c:v>
                </c:pt>
                <c:pt idx="19">
                  <c:v>2.5658500000000002</c:v>
                </c:pt>
                <c:pt idx="20">
                  <c:v>2.6255999999999999</c:v>
                </c:pt>
                <c:pt idx="21">
                  <c:v>2.6351499999999999</c:v>
                </c:pt>
                <c:pt idx="22">
                  <c:v>2.5931500000000001</c:v>
                </c:pt>
                <c:pt idx="23">
                  <c:v>2.5827800000000001</c:v>
                </c:pt>
                <c:pt idx="24">
                  <c:v>1.84091</c:v>
                </c:pt>
                <c:pt idx="25">
                  <c:v>2.4996900000000002</c:v>
                </c:pt>
                <c:pt idx="26">
                  <c:v>2.2218200000000001</c:v>
                </c:pt>
                <c:pt idx="27">
                  <c:v>2.0554399999999999</c:v>
                </c:pt>
                <c:pt idx="28">
                  <c:v>2.1237499999999998</c:v>
                </c:pt>
                <c:pt idx="29">
                  <c:v>2.24878</c:v>
                </c:pt>
                <c:pt idx="30">
                  <c:v>2.3387799999999999</c:v>
                </c:pt>
              </c:numCache>
            </c:numRef>
          </c:val>
          <c:smooth val="0"/>
          <c:extLst>
            <c:ext xmlns:c16="http://schemas.microsoft.com/office/drawing/2014/chart" uri="{C3380CC4-5D6E-409C-BE32-E72D297353CC}">
              <c16:uniqueId val="{00000001-3672-449F-8C00-4ACD0B9B3F0F}"/>
            </c:ext>
          </c:extLst>
        </c:ser>
        <c:ser>
          <c:idx val="3"/>
          <c:order val="2"/>
          <c:tx>
            <c:strRef>
              <c:f>'KPI tracker'!$F$211</c:f>
              <c:strCache>
                <c:ptCount val="1"/>
                <c:pt idx="0">
                  <c:v>Upper Band</c:v>
                </c:pt>
              </c:strCache>
            </c:strRef>
          </c:tx>
          <c:val>
            <c:numRef>
              <c:f>'KPI tracker'!$G$211:$AK$211</c:f>
              <c:numCache>
                <c:formatCode>General</c:formatCode>
                <c:ptCount val="31"/>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numCache>
            </c:numRef>
          </c:val>
          <c:smooth val="0"/>
          <c:extLst>
            <c:ext xmlns:c16="http://schemas.microsoft.com/office/drawing/2014/chart" uri="{C3380CC4-5D6E-409C-BE32-E72D297353CC}">
              <c16:uniqueId val="{00000002-3672-449F-8C00-4ACD0B9B3F0F}"/>
            </c:ext>
          </c:extLst>
        </c:ser>
        <c:ser>
          <c:idx val="4"/>
          <c:order val="3"/>
          <c:tx>
            <c:strRef>
              <c:f>'KPI tracker'!$F$212</c:f>
              <c:strCache>
                <c:ptCount val="1"/>
                <c:pt idx="0">
                  <c:v>Lower Band</c:v>
                </c:pt>
              </c:strCache>
            </c:strRef>
          </c:tx>
          <c:val>
            <c:numRef>
              <c:f>'KPI tracker'!$G$212:$AK$212</c:f>
              <c:numCache>
                <c:formatCode>0.0</c:formatCode>
                <c:ptCount val="31"/>
                <c:pt idx="0">
                  <c:v>2.1698506606451606</c:v>
                </c:pt>
                <c:pt idx="1">
                  <c:v>2.1698506606451606</c:v>
                </c:pt>
                <c:pt idx="2">
                  <c:v>2.1698506606451606</c:v>
                </c:pt>
                <c:pt idx="3">
                  <c:v>2.1698506606451606</c:v>
                </c:pt>
                <c:pt idx="4">
                  <c:v>2.1698506606451606</c:v>
                </c:pt>
                <c:pt idx="5">
                  <c:v>2.1698506606451606</c:v>
                </c:pt>
                <c:pt idx="6">
                  <c:v>2.1698506606451606</c:v>
                </c:pt>
                <c:pt idx="7">
                  <c:v>2.1698506606451606</c:v>
                </c:pt>
                <c:pt idx="8">
                  <c:v>2.1698506606451606</c:v>
                </c:pt>
                <c:pt idx="9">
                  <c:v>2.1698506606451606</c:v>
                </c:pt>
                <c:pt idx="10">
                  <c:v>2.1698506606451606</c:v>
                </c:pt>
                <c:pt idx="11">
                  <c:v>2.1698506606451606</c:v>
                </c:pt>
                <c:pt idx="12">
                  <c:v>2.1698506606451606</c:v>
                </c:pt>
                <c:pt idx="13">
                  <c:v>2.1698506606451606</c:v>
                </c:pt>
                <c:pt idx="14">
                  <c:v>2.1698506606451606</c:v>
                </c:pt>
                <c:pt idx="15">
                  <c:v>2.1698506606451606</c:v>
                </c:pt>
                <c:pt idx="16">
                  <c:v>2.1698506606451606</c:v>
                </c:pt>
                <c:pt idx="17">
                  <c:v>2.1698506606451606</c:v>
                </c:pt>
                <c:pt idx="18">
                  <c:v>2.1698506606451606</c:v>
                </c:pt>
                <c:pt idx="19">
                  <c:v>2.1698506606451606</c:v>
                </c:pt>
                <c:pt idx="20">
                  <c:v>2.1698506606451606</c:v>
                </c:pt>
                <c:pt idx="21">
                  <c:v>2.1698506606451606</c:v>
                </c:pt>
                <c:pt idx="22">
                  <c:v>2.1698506606451606</c:v>
                </c:pt>
                <c:pt idx="23">
                  <c:v>2.1698506606451606</c:v>
                </c:pt>
                <c:pt idx="24">
                  <c:v>2.1698506606451606</c:v>
                </c:pt>
                <c:pt idx="25">
                  <c:v>2.1698506606451606</c:v>
                </c:pt>
                <c:pt idx="26">
                  <c:v>2.1698506606451606</c:v>
                </c:pt>
                <c:pt idx="27">
                  <c:v>2.1698506606451606</c:v>
                </c:pt>
                <c:pt idx="28">
                  <c:v>2.1698506606451606</c:v>
                </c:pt>
                <c:pt idx="29">
                  <c:v>2.1698506606451606</c:v>
                </c:pt>
                <c:pt idx="30">
                  <c:v>2.1698506606451606</c:v>
                </c:pt>
              </c:numCache>
            </c:numRef>
          </c:val>
          <c:smooth val="0"/>
          <c:extLst>
            <c:ext xmlns:c16="http://schemas.microsoft.com/office/drawing/2014/chart" uri="{C3380CC4-5D6E-409C-BE32-E72D297353CC}">
              <c16:uniqueId val="{00000003-3672-449F-8C00-4ACD0B9B3F0F}"/>
            </c:ext>
          </c:extLst>
        </c:ser>
        <c:dLbls>
          <c:showLegendKey val="0"/>
          <c:showVal val="0"/>
          <c:showCatName val="0"/>
          <c:showSerName val="0"/>
          <c:showPercent val="0"/>
          <c:showBubbleSize val="0"/>
        </c:dLbls>
        <c:marker val="1"/>
        <c:smooth val="0"/>
        <c:axId val="557813216"/>
        <c:axId val="557812824"/>
      </c:lineChart>
      <c:catAx>
        <c:axId val="55781321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7812824"/>
        <c:crosses val="autoZero"/>
        <c:auto val="1"/>
        <c:lblAlgn val="ctr"/>
        <c:lblOffset val="100"/>
        <c:noMultiLvlLbl val="0"/>
      </c:catAx>
      <c:valAx>
        <c:axId val="557812824"/>
        <c:scaling>
          <c:orientation val="minMax"/>
          <c:max val="3"/>
          <c:min val="0.5"/>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7813216"/>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893482066938"/>
          <c:y val="4.273513827473029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tracker'!$C$203:$E$203</c:f>
              <c:strCache>
                <c:ptCount val="3"/>
                <c:pt idx="0">
                  <c:v>Jan'24</c:v>
                </c:pt>
                <c:pt idx="1">
                  <c:v>#REF!</c:v>
                </c:pt>
                <c:pt idx="2">
                  <c:v>Feb'24</c:v>
                </c:pt>
              </c:strCache>
            </c:strRef>
          </c:cat>
          <c:val>
            <c:numRef>
              <c:f>'KPI tracker'!$C$204:$E$204</c:f>
              <c:numCache>
                <c:formatCode>0.00</c:formatCode>
                <c:ptCount val="3"/>
                <c:pt idx="0">
                  <c:v>72.66</c:v>
                </c:pt>
                <c:pt idx="1">
                  <c:v>72.66</c:v>
                </c:pt>
                <c:pt idx="2">
                  <c:v>65.627359456438356</c:v>
                </c:pt>
              </c:numCache>
            </c:numRef>
          </c:val>
          <c:extLst>
            <c:ext xmlns:c16="http://schemas.microsoft.com/office/drawing/2014/chart" uri="{C3380CC4-5D6E-409C-BE32-E72D297353CC}">
              <c16:uniqueId val="{00000000-6919-4B65-9958-E0E67D55D282}"/>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19-4B65-9958-E0E67D55D282}"/>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19-4B65-9958-E0E67D55D282}"/>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19-4B65-9958-E0E67D55D282}"/>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tracker'!$C$203:$E$203</c:f>
              <c:strCache>
                <c:ptCount val="3"/>
                <c:pt idx="0">
                  <c:v>Jan'24</c:v>
                </c:pt>
                <c:pt idx="1">
                  <c:v>#REF!</c:v>
                </c:pt>
                <c:pt idx="2">
                  <c:v>Feb'24</c:v>
                </c:pt>
              </c:strCache>
            </c:strRef>
          </c:cat>
          <c:val>
            <c:numRef>
              <c:f>'KPI tracker'!$C$205:$E$205</c:f>
              <c:numCache>
                <c:formatCode>0.00</c:formatCode>
                <c:ptCount val="3"/>
                <c:pt idx="0">
                  <c:v>66.819999999999993</c:v>
                </c:pt>
                <c:pt idx="1">
                  <c:v>64.06</c:v>
                </c:pt>
                <c:pt idx="2">
                  <c:v>60.566699999999997</c:v>
                </c:pt>
              </c:numCache>
            </c:numRef>
          </c:val>
          <c:extLst>
            <c:ext xmlns:c16="http://schemas.microsoft.com/office/drawing/2014/chart" uri="{C3380CC4-5D6E-409C-BE32-E72D297353CC}">
              <c16:uniqueId val="{00000004-6919-4B65-9958-E0E67D55D282}"/>
            </c:ext>
          </c:extLst>
        </c:ser>
        <c:dLbls>
          <c:showLegendKey val="0"/>
          <c:showVal val="1"/>
          <c:showCatName val="0"/>
          <c:showSerName val="0"/>
          <c:showPercent val="0"/>
          <c:showBubbleSize val="0"/>
        </c:dLbls>
        <c:gapWidth val="150"/>
        <c:axId val="557812040"/>
        <c:axId val="557813608"/>
      </c:barChart>
      <c:catAx>
        <c:axId val="557812040"/>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13608"/>
        <c:crosses val="autoZero"/>
        <c:auto val="1"/>
        <c:lblAlgn val="ctr"/>
        <c:lblOffset val="100"/>
        <c:noMultiLvlLbl val="0"/>
      </c:catAx>
      <c:valAx>
        <c:axId val="557813608"/>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12040"/>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MU's</c:v>
          </c:tx>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81A3-4D13-BECA-E91611490316}"/>
            </c:ext>
          </c:extLst>
        </c:ser>
        <c:dLbls>
          <c:showLegendKey val="0"/>
          <c:showVal val="0"/>
          <c:showCatName val="0"/>
          <c:showSerName val="0"/>
          <c:showPercent val="0"/>
          <c:showBubbleSize val="0"/>
        </c:dLbls>
        <c:marker val="1"/>
        <c:smooth val="0"/>
        <c:axId val="557806944"/>
        <c:axId val="557807336"/>
      </c:lineChart>
      <c:catAx>
        <c:axId val="557806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7336"/>
        <c:crosses val="autoZero"/>
        <c:auto val="1"/>
        <c:lblAlgn val="ctr"/>
        <c:lblOffset val="100"/>
        <c:tickLblSkip val="1"/>
        <c:tickMarkSkip val="1"/>
        <c:noMultiLvlLbl val="0"/>
      </c:catAx>
      <c:valAx>
        <c:axId val="557807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6944"/>
        <c:crosses val="autoZero"/>
        <c:crossBetween val="between"/>
      </c:valAx>
      <c:spPr>
        <a:solidFill>
          <a:srgbClr val="C0C0C0"/>
        </a:solidFill>
        <a:ln w="12700">
          <a:solidFill>
            <a:srgbClr val="808080"/>
          </a:solidFill>
          <a:prstDash val="solid"/>
        </a:ln>
      </c:spPr>
    </c:plotArea>
    <c:legend>
      <c:legendPos val="r"/>
      <c:overlay val="0"/>
      <c:spPr>
        <a:solidFill>
          <a:srgbClr val="FFFF99"/>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9E57-401E-B402-2778174CF04A}"/>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Lit>
              <c:formatCode>General</c:formatCode>
              <c:ptCount val="1"/>
              <c:pt idx="0">
                <c:v>0</c:v>
              </c:pt>
            </c:numLit>
          </c:val>
          <c:smooth val="0"/>
          <c:extLst>
            <c:ext xmlns:c16="http://schemas.microsoft.com/office/drawing/2014/chart" uri="{C3380CC4-5D6E-409C-BE32-E72D297353CC}">
              <c16:uniqueId val="{00000001-9E57-401E-B402-2778174CF04A}"/>
            </c:ext>
          </c:extLst>
        </c:ser>
        <c:ser>
          <c:idx val="2"/>
          <c:order val="2"/>
          <c:tx>
            <c:v>PLF-Yield to date.</c:v>
          </c:tx>
          <c:spPr>
            <a:ln w="12700">
              <a:solidFill>
                <a:srgbClr val="FFFF00"/>
              </a:solidFill>
              <a:prstDash val="solid"/>
            </a:ln>
          </c:spPr>
          <c:marker>
            <c:symbol val="triangle"/>
            <c:size val="5"/>
            <c:spPr>
              <a:solidFill>
                <a:srgbClr val="FFFF00"/>
              </a:solidFill>
              <a:ln>
                <a:solidFill>
                  <a:srgbClr val="FFFF00"/>
                </a:solidFill>
                <a:prstDash val="solid"/>
              </a:ln>
            </c:spPr>
          </c:marker>
          <c:val>
            <c:numLit>
              <c:formatCode>General</c:formatCode>
              <c:ptCount val="1"/>
              <c:pt idx="0">
                <c:v>0</c:v>
              </c:pt>
            </c:numLit>
          </c:val>
          <c:smooth val="0"/>
          <c:extLst>
            <c:ext xmlns:c16="http://schemas.microsoft.com/office/drawing/2014/chart" uri="{C3380CC4-5D6E-409C-BE32-E72D297353CC}">
              <c16:uniqueId val="{00000002-9E57-401E-B402-2778174CF04A}"/>
            </c:ext>
          </c:extLst>
        </c:ser>
        <c:dLbls>
          <c:showLegendKey val="0"/>
          <c:showVal val="0"/>
          <c:showCatName val="0"/>
          <c:showSerName val="0"/>
          <c:showPercent val="0"/>
          <c:showBubbleSize val="0"/>
        </c:dLbls>
        <c:marker val="1"/>
        <c:smooth val="0"/>
        <c:axId val="557806552"/>
        <c:axId val="557810864"/>
      </c:lineChart>
      <c:catAx>
        <c:axId val="557806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10864"/>
        <c:crosses val="autoZero"/>
        <c:auto val="1"/>
        <c:lblAlgn val="ctr"/>
        <c:lblOffset val="100"/>
        <c:tickLblSkip val="1"/>
        <c:tickMarkSkip val="1"/>
        <c:noMultiLvlLbl val="0"/>
      </c:catAx>
      <c:valAx>
        <c:axId val="557810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655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118459579592785E-2"/>
          <c:y val="0.15652218218461941"/>
          <c:w val="0.94553166843636649"/>
          <c:h val="0.71304549661954753"/>
        </c:manualLayout>
      </c:layout>
      <c:lineChart>
        <c:grouping val="standard"/>
        <c:varyColors val="0"/>
        <c:ser>
          <c:idx val="0"/>
          <c:order val="0"/>
          <c:spPr>
            <a:ln w="12700">
              <a:solidFill>
                <a:srgbClr val="000080"/>
              </a:solidFill>
              <a:prstDash val="solid"/>
            </a:ln>
          </c:spPr>
          <c:marker>
            <c:symbol val="circle"/>
            <c:size val="6"/>
            <c:spPr>
              <a:solidFill>
                <a:srgbClr val="000080"/>
              </a:solidFill>
              <a:ln>
                <a:solidFill>
                  <a:srgbClr val="000080"/>
                </a:solidFill>
                <a:prstDash val="solid"/>
              </a:ln>
            </c:spPr>
          </c:marker>
          <c:val>
            <c:numRef>
              <c:f>STATION!$C$23:$AG$23</c:f>
              <c:numCache>
                <c:formatCode>0.00</c:formatCode>
                <c:ptCount val="31"/>
                <c:pt idx="0">
                  <c:v>6.4667790893760442</c:v>
                </c:pt>
                <c:pt idx="1">
                  <c:v>7.4848458532349245</c:v>
                </c:pt>
                <c:pt idx="2">
                  <c:v>7.0554928354320339</c:v>
                </c:pt>
                <c:pt idx="3">
                  <c:v>6.4567164179104335</c:v>
                </c:pt>
                <c:pt idx="4">
                  <c:v>6.4896385542168744</c:v>
                </c:pt>
                <c:pt idx="5">
                  <c:v>6.7895545314900145</c:v>
                </c:pt>
                <c:pt idx="6">
                  <c:v>6.7681584739545126</c:v>
                </c:pt>
                <c:pt idx="7">
                  <c:v>7.006876155268019</c:v>
                </c:pt>
                <c:pt idx="8">
                  <c:v>6.8698027314112426</c:v>
                </c:pt>
                <c:pt idx="9">
                  <c:v>6.6953846153846257</c:v>
                </c:pt>
                <c:pt idx="10">
                  <c:v>6.5644073939833483</c:v>
                </c:pt>
                <c:pt idx="11">
                  <c:v>6.5334759358288874</c:v>
                </c:pt>
                <c:pt idx="12">
                  <c:v>6.6574298579840647</c:v>
                </c:pt>
                <c:pt idx="13">
                  <c:v>6.5258741258741315</c:v>
                </c:pt>
                <c:pt idx="14">
                  <c:v>6.4448287789692236</c:v>
                </c:pt>
                <c:pt idx="15">
                  <c:v>6.735465924895677</c:v>
                </c:pt>
                <c:pt idx="16">
                  <c:v>6.3974459028024064</c:v>
                </c:pt>
                <c:pt idx="17">
                  <c:v>6.6764353645649779</c:v>
                </c:pt>
                <c:pt idx="18">
                  <c:v>6.5249734325186024</c:v>
                </c:pt>
                <c:pt idx="19">
                  <c:v>6.4278775079197743</c:v>
                </c:pt>
                <c:pt idx="20">
                  <c:v>6.7968110918544058</c:v>
                </c:pt>
                <c:pt idx="21">
                  <c:v>6.2591194968553667</c:v>
                </c:pt>
                <c:pt idx="22">
                  <c:v>6.5906779661016923</c:v>
                </c:pt>
                <c:pt idx="23">
                  <c:v>5.9136156807840541</c:v>
                </c:pt>
                <c:pt idx="24">
                  <c:v>8.3888726207906306</c:v>
                </c:pt>
                <c:pt idx="25">
                  <c:v>6.6607750814922317</c:v>
                </c:pt>
                <c:pt idx="26">
                  <c:v>6.7498338870431818</c:v>
                </c:pt>
                <c:pt idx="27">
                  <c:v>6.8749340369393339</c:v>
                </c:pt>
                <c:pt idx="28">
                  <c:v>7.3489361702127667</c:v>
                </c:pt>
                <c:pt idx="29">
                  <c:v>6.8573289902280177</c:v>
                </c:pt>
                <c:pt idx="30">
                  <c:v>6.8136117556071154</c:v>
                </c:pt>
              </c:numCache>
            </c:numRef>
          </c:val>
          <c:smooth val="0"/>
          <c:extLst>
            <c:ext xmlns:c16="http://schemas.microsoft.com/office/drawing/2014/chart" uri="{C3380CC4-5D6E-409C-BE32-E72D297353CC}">
              <c16:uniqueId val="{00000000-D085-49BC-A693-CA928D4BB350}"/>
            </c:ext>
          </c:extLst>
        </c:ser>
        <c:dLbls>
          <c:showLegendKey val="0"/>
          <c:showVal val="0"/>
          <c:showCatName val="0"/>
          <c:showSerName val="0"/>
          <c:showPercent val="0"/>
          <c:showBubbleSize val="0"/>
        </c:dLbls>
        <c:marker val="1"/>
        <c:smooth val="0"/>
        <c:axId val="477369056"/>
        <c:axId val="477374152"/>
      </c:lineChart>
      <c:catAx>
        <c:axId val="477369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4152"/>
        <c:crosses val="autoZero"/>
        <c:auto val="1"/>
        <c:lblAlgn val="ctr"/>
        <c:lblOffset val="100"/>
        <c:tickLblSkip val="1"/>
        <c:tickMarkSkip val="1"/>
        <c:noMultiLvlLbl val="0"/>
      </c:catAx>
      <c:valAx>
        <c:axId val="477374152"/>
        <c:scaling>
          <c:orientation val="minMax"/>
          <c:max val="15"/>
          <c:min val="0"/>
        </c:scaling>
        <c:delete val="0"/>
        <c:axPos val="l"/>
        <c:majorGridlines>
          <c:spPr>
            <a:ln w="3175">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9056"/>
        <c:crosses val="autoZero"/>
        <c:crossBetween val="between"/>
        <c:majorUnit val="3"/>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ayout>
        <c:manualLayout>
          <c:xMode val="edge"/>
          <c:yMode val="edge"/>
          <c:x val="0.38965041692069907"/>
          <c:y val="3.1070333599608892E-2"/>
          <c:w val="0.29934254663665238"/>
          <c:h val="6.956552170109159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Auxiliary Power Consumption % </c:v>
          </c:tx>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9E1C-485B-AD05-6F5BD84748C0}"/>
            </c:ext>
          </c:extLst>
        </c:ser>
        <c:dLbls>
          <c:showLegendKey val="0"/>
          <c:showVal val="0"/>
          <c:showCatName val="0"/>
          <c:showSerName val="0"/>
          <c:showPercent val="0"/>
          <c:showBubbleSize val="0"/>
        </c:dLbls>
        <c:marker val="1"/>
        <c:smooth val="0"/>
        <c:axId val="557807728"/>
        <c:axId val="557808120"/>
      </c:lineChart>
      <c:catAx>
        <c:axId val="557807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8120"/>
        <c:crosses val="autoZero"/>
        <c:auto val="1"/>
        <c:lblAlgn val="ctr"/>
        <c:lblOffset val="100"/>
        <c:tickLblSkip val="1"/>
        <c:tickMarkSkip val="1"/>
        <c:noMultiLvlLbl val="0"/>
      </c:catAx>
      <c:valAx>
        <c:axId val="557808120"/>
        <c:scaling>
          <c:orientation val="minMax"/>
          <c:max val="15"/>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77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730220492872188"/>
          <c:y val="0"/>
        </c:manualLayout>
      </c:layout>
      <c:overlay val="0"/>
      <c:spPr>
        <a:noFill/>
        <a:ln w="25400">
          <a:noFill/>
        </a:ln>
      </c:spPr>
      <c:txPr>
        <a:bodyPr/>
        <a:lstStyle/>
        <a:p>
          <a:pPr>
            <a:defRPr sz="200" b="0" i="0" u="none" strike="noStrike" baseline="0">
              <a:solidFill>
                <a:srgbClr val="000000"/>
              </a:solidFill>
              <a:latin typeface="Arial"/>
              <a:ea typeface="Arial"/>
              <a:cs typeface="Arial"/>
            </a:defRPr>
          </a:pPr>
          <a:endParaRPr lang="en-US"/>
        </a:p>
      </c:txPr>
    </c:title>
    <c:autoTitleDeleted val="0"/>
    <c:plotArea>
      <c:layout/>
      <c:lineChart>
        <c:grouping val="standard"/>
        <c:varyColors val="0"/>
        <c:ser>
          <c:idx val="0"/>
          <c:order val="0"/>
          <c:tx>
            <c:v>Make-up Water Consumption %</c:v>
          </c:tx>
          <c:val>
            <c:numRef>
              <c:f>[2]BOILERS!$D$29:$AG$29</c:f>
              <c:numCache>
                <c:formatCode>General</c:formatCode>
                <c:ptCount val="30"/>
                <c:pt idx="0">
                  <c:v>29</c:v>
                </c:pt>
                <c:pt idx="1">
                  <c:v>27.832263946533203</c:v>
                </c:pt>
                <c:pt idx="2">
                  <c:v>25</c:v>
                </c:pt>
                <c:pt idx="3">
                  <c:v>28</c:v>
                </c:pt>
                <c:pt idx="4">
                  <c:v>31</c:v>
                </c:pt>
                <c:pt idx="5">
                  <c:v>27.832263946533203</c:v>
                </c:pt>
                <c:pt idx="6">
                  <c:v>29</c:v>
                </c:pt>
                <c:pt idx="7">
                  <c:v>25</c:v>
                </c:pt>
                <c:pt idx="8">
                  <c:v>33</c:v>
                </c:pt>
                <c:pt idx="9">
                  <c:v>28.7</c:v>
                </c:pt>
                <c:pt idx="10">
                  <c:v>30</c:v>
                </c:pt>
                <c:pt idx="11">
                  <c:v>29</c:v>
                </c:pt>
                <c:pt idx="12">
                  <c:v>30</c:v>
                </c:pt>
                <c:pt idx="13">
                  <c:v>27.832263946533203</c:v>
                </c:pt>
                <c:pt idx="14">
                  <c:v>29</c:v>
                </c:pt>
                <c:pt idx="15">
                  <c:v>30</c:v>
                </c:pt>
                <c:pt idx="16">
                  <c:v>33</c:v>
                </c:pt>
                <c:pt idx="17">
                  <c:v>31</c:v>
                </c:pt>
                <c:pt idx="18">
                  <c:v>28</c:v>
                </c:pt>
                <c:pt idx="19">
                  <c:v>30</c:v>
                </c:pt>
                <c:pt idx="20">
                  <c:v>31</c:v>
                </c:pt>
                <c:pt idx="21">
                  <c:v>29</c:v>
                </c:pt>
                <c:pt idx="22">
                  <c:v>28</c:v>
                </c:pt>
                <c:pt idx="23">
                  <c:v>28.241119384765625</c:v>
                </c:pt>
                <c:pt idx="24">
                  <c:v>30</c:v>
                </c:pt>
                <c:pt idx="25">
                  <c:v>31</c:v>
                </c:pt>
                <c:pt idx="26">
                  <c:v>27</c:v>
                </c:pt>
                <c:pt idx="27">
                  <c:v>30</c:v>
                </c:pt>
                <c:pt idx="28">
                  <c:v>28.241119384765625</c:v>
                </c:pt>
                <c:pt idx="29">
                  <c:v>27.832263946533203</c:v>
                </c:pt>
              </c:numCache>
            </c:numRef>
          </c:val>
          <c:smooth val="0"/>
          <c:extLst>
            <c:ext xmlns:c16="http://schemas.microsoft.com/office/drawing/2014/chart" uri="{C3380CC4-5D6E-409C-BE32-E72D297353CC}">
              <c16:uniqueId val="{00000000-A76E-40DE-916C-16B493AFC13E}"/>
            </c:ext>
          </c:extLst>
        </c:ser>
        <c:dLbls>
          <c:showLegendKey val="0"/>
          <c:showVal val="0"/>
          <c:showCatName val="0"/>
          <c:showSerName val="0"/>
          <c:showPercent val="0"/>
          <c:showBubbleSize val="0"/>
        </c:dLbls>
        <c:marker val="1"/>
        <c:smooth val="0"/>
        <c:axId val="557809688"/>
        <c:axId val="557811256"/>
      </c:lineChart>
      <c:catAx>
        <c:axId val="557809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11256"/>
        <c:crosses val="autoZero"/>
        <c:auto val="1"/>
        <c:lblAlgn val="ctr"/>
        <c:lblOffset val="100"/>
        <c:tickMarkSkip val="1"/>
        <c:noMultiLvlLbl val="0"/>
      </c:catAx>
      <c:valAx>
        <c:axId val="557811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96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41789492718396E-2"/>
          <c:y val="0.14832774919688121"/>
          <c:w val="0.91868181162106965"/>
          <c:h val="0.74838755184813188"/>
        </c:manualLayout>
      </c:layout>
      <c:lineChart>
        <c:grouping val="standard"/>
        <c:varyColors val="0"/>
        <c:ser>
          <c:idx val="0"/>
          <c:order val="0"/>
          <c:tx>
            <c:v>Sales to TPTCL in MUs</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STATION!$C$40:$AF$40</c:f>
              <c:numCache>
                <c:formatCode>0.000</c:formatCode>
                <c:ptCount val="30"/>
                <c:pt idx="0">
                  <c:v>2.5029699999999999</c:v>
                </c:pt>
                <c:pt idx="1">
                  <c:v>2.3499100000000004</c:v>
                </c:pt>
                <c:pt idx="2">
                  <c:v>2.1921300000000001</c:v>
                </c:pt>
                <c:pt idx="3">
                  <c:v>2.20112</c:v>
                </c:pt>
                <c:pt idx="4">
                  <c:v>2.26336</c:v>
                </c:pt>
                <c:pt idx="5">
                  <c:v>2.35473</c:v>
                </c:pt>
                <c:pt idx="6">
                  <c:v>2.43621</c:v>
                </c:pt>
                <c:pt idx="7">
                  <c:v>2.43947</c:v>
                </c:pt>
                <c:pt idx="8">
                  <c:v>2.3704700000000001</c:v>
                </c:pt>
                <c:pt idx="9">
                  <c:v>2.4497100000000001</c:v>
                </c:pt>
                <c:pt idx="10">
                  <c:v>2.4946000000000002</c:v>
                </c:pt>
                <c:pt idx="11">
                  <c:v>2.5221300000000002</c:v>
                </c:pt>
                <c:pt idx="12">
                  <c:v>2.6019399999999999</c:v>
                </c:pt>
                <c:pt idx="13">
                  <c:v>2.6059800000000002</c:v>
                </c:pt>
                <c:pt idx="14">
                  <c:v>2.6384699999999999</c:v>
                </c:pt>
                <c:pt idx="15">
                  <c:v>2.62412</c:v>
                </c:pt>
                <c:pt idx="16">
                  <c:v>2.5870500000000001</c:v>
                </c:pt>
                <c:pt idx="17">
                  <c:v>2.58684</c:v>
                </c:pt>
                <c:pt idx="18">
                  <c:v>2.5975100000000002</c:v>
                </c:pt>
                <c:pt idx="19">
                  <c:v>2.5658500000000002</c:v>
                </c:pt>
                <c:pt idx="20">
                  <c:v>2.6255999999999999</c:v>
                </c:pt>
                <c:pt idx="21">
                  <c:v>2.6351499999999999</c:v>
                </c:pt>
                <c:pt idx="22">
                  <c:v>2.5931500000000001</c:v>
                </c:pt>
                <c:pt idx="23">
                  <c:v>2.5827800000000001</c:v>
                </c:pt>
                <c:pt idx="24">
                  <c:v>1.84091</c:v>
                </c:pt>
                <c:pt idx="25">
                  <c:v>2.4996900000000002</c:v>
                </c:pt>
                <c:pt idx="26">
                  <c:v>2.2218200000000001</c:v>
                </c:pt>
                <c:pt idx="27">
                  <c:v>2.0554399999999999</c:v>
                </c:pt>
                <c:pt idx="28">
                  <c:v>2.1237499999999998</c:v>
                </c:pt>
                <c:pt idx="29">
                  <c:v>2.24878</c:v>
                </c:pt>
              </c:numCache>
            </c:numRef>
          </c:val>
          <c:smooth val="0"/>
          <c:extLst>
            <c:ext xmlns:c16="http://schemas.microsoft.com/office/drawing/2014/chart" uri="{C3380CC4-5D6E-409C-BE32-E72D297353CC}">
              <c16:uniqueId val="{00000000-2C7B-4A11-8DB0-AC8A33EC2179}"/>
            </c:ext>
          </c:extLst>
        </c:ser>
        <c:ser>
          <c:idx val="2"/>
          <c:order val="1"/>
          <c:tx>
            <c:strRef>
              <c:f>STATION!$A$43</c:f>
              <c:strCache>
                <c:ptCount val="1"/>
                <c:pt idx="0">
                  <c:v>Total Sales</c:v>
                </c:pt>
              </c:strCache>
            </c:strRef>
          </c:tx>
          <c:spPr>
            <a:ln w="12700">
              <a:solidFill>
                <a:srgbClr val="00B050"/>
              </a:solidFill>
              <a:prstDash val="solid"/>
            </a:ln>
          </c:spPr>
          <c:marker>
            <c:symbol val="triangle"/>
            <c:size val="5"/>
            <c:spPr>
              <a:solidFill>
                <a:srgbClr val="00B050"/>
              </a:solidFill>
              <a:ln>
                <a:solidFill>
                  <a:srgbClr val="00B050"/>
                </a:solidFill>
                <a:prstDash val="solid"/>
              </a:ln>
            </c:spPr>
          </c:marker>
          <c:val>
            <c:numRef>
              <c:f>STATION!$C$43:$AF$43</c:f>
              <c:numCache>
                <c:formatCode>0.000</c:formatCode>
                <c:ptCount val="30"/>
                <c:pt idx="0">
                  <c:v>2.5029699999999999</c:v>
                </c:pt>
                <c:pt idx="1">
                  <c:v>2.3499100000000004</c:v>
                </c:pt>
                <c:pt idx="2">
                  <c:v>2.1921300000000001</c:v>
                </c:pt>
                <c:pt idx="3">
                  <c:v>2.20112</c:v>
                </c:pt>
                <c:pt idx="4">
                  <c:v>2.26336</c:v>
                </c:pt>
                <c:pt idx="5">
                  <c:v>2.35473</c:v>
                </c:pt>
                <c:pt idx="6">
                  <c:v>2.43621</c:v>
                </c:pt>
                <c:pt idx="7">
                  <c:v>2.43947</c:v>
                </c:pt>
                <c:pt idx="8">
                  <c:v>2.3704700000000001</c:v>
                </c:pt>
                <c:pt idx="9">
                  <c:v>2.4497100000000001</c:v>
                </c:pt>
                <c:pt idx="10">
                  <c:v>2.4946000000000002</c:v>
                </c:pt>
                <c:pt idx="11">
                  <c:v>2.5221300000000002</c:v>
                </c:pt>
                <c:pt idx="12">
                  <c:v>2.6019399999999999</c:v>
                </c:pt>
                <c:pt idx="13">
                  <c:v>2.6059800000000002</c:v>
                </c:pt>
                <c:pt idx="14">
                  <c:v>2.6384699999999999</c:v>
                </c:pt>
                <c:pt idx="15">
                  <c:v>2.62412</c:v>
                </c:pt>
                <c:pt idx="16">
                  <c:v>2.5870500000000001</c:v>
                </c:pt>
                <c:pt idx="17">
                  <c:v>2.58684</c:v>
                </c:pt>
                <c:pt idx="18">
                  <c:v>2.5975100000000002</c:v>
                </c:pt>
                <c:pt idx="19">
                  <c:v>2.5658500000000002</c:v>
                </c:pt>
                <c:pt idx="20">
                  <c:v>2.6255999999999999</c:v>
                </c:pt>
                <c:pt idx="21">
                  <c:v>2.6351499999999999</c:v>
                </c:pt>
                <c:pt idx="22">
                  <c:v>2.5931500000000001</c:v>
                </c:pt>
                <c:pt idx="23">
                  <c:v>2.5827800000000001</c:v>
                </c:pt>
                <c:pt idx="24">
                  <c:v>1.84091</c:v>
                </c:pt>
                <c:pt idx="25">
                  <c:v>2.4996900000000002</c:v>
                </c:pt>
                <c:pt idx="26">
                  <c:v>2.2218200000000001</c:v>
                </c:pt>
                <c:pt idx="27">
                  <c:v>2.0554399999999999</c:v>
                </c:pt>
                <c:pt idx="28">
                  <c:v>2.1237499999999998</c:v>
                </c:pt>
                <c:pt idx="29">
                  <c:v>2.24878</c:v>
                </c:pt>
              </c:numCache>
            </c:numRef>
          </c:val>
          <c:smooth val="0"/>
          <c:extLst>
            <c:ext xmlns:c16="http://schemas.microsoft.com/office/drawing/2014/chart" uri="{C3380CC4-5D6E-409C-BE32-E72D297353CC}">
              <c16:uniqueId val="{00000002-2C7B-4A11-8DB0-AC8A33EC2179}"/>
            </c:ext>
          </c:extLst>
        </c:ser>
        <c:dLbls>
          <c:showLegendKey val="0"/>
          <c:showVal val="0"/>
          <c:showCatName val="0"/>
          <c:showSerName val="0"/>
          <c:showPercent val="0"/>
          <c:showBubbleSize val="0"/>
        </c:dLbls>
        <c:marker val="1"/>
        <c:smooth val="0"/>
        <c:axId val="477372584"/>
        <c:axId val="477373760"/>
      </c:lineChart>
      <c:catAx>
        <c:axId val="47737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3760"/>
        <c:crosses val="autoZero"/>
        <c:auto val="1"/>
        <c:lblAlgn val="ctr"/>
        <c:lblOffset val="100"/>
        <c:tickLblSkip val="1"/>
        <c:tickMarkSkip val="1"/>
        <c:noMultiLvlLbl val="0"/>
      </c:catAx>
      <c:valAx>
        <c:axId val="477373760"/>
        <c:scaling>
          <c:orientation val="minMax"/>
          <c:max val="3"/>
          <c:min val="0"/>
        </c:scaling>
        <c:delete val="0"/>
        <c:axPos val="l"/>
        <c:majorGridlines>
          <c:spPr>
            <a:ln w="3175">
              <a:solidFill>
                <a:srgbClr val="000000"/>
              </a:solidFill>
              <a:prstDash val="sysDash"/>
            </a:ln>
          </c:spPr>
        </c:majorGridlines>
        <c:numFmt formatCode="0.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2584"/>
        <c:crosses val="autoZero"/>
        <c:crossBetween val="between"/>
        <c:majorUnit val="0.5"/>
        <c:minorUnit val="0.5"/>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2070569439690338"/>
          <c:y val="3.0712120870278036E-2"/>
          <c:w val="0.52637340885749151"/>
          <c:h val="6.876790830945558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857768052517122E-2"/>
          <c:y val="0.15472801017418344"/>
          <c:w val="0.93982494529540483"/>
          <c:h val="0.71633338043598349"/>
        </c:manualLayout>
      </c:layout>
      <c:lineChart>
        <c:grouping val="standard"/>
        <c:varyColors val="0"/>
        <c:ser>
          <c:idx val="0"/>
          <c:order val="0"/>
          <c:tx>
            <c:v> Make up water cons in %</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STATION!$C$51:$AF$51</c:f>
              <c:numCache>
                <c:formatCode>0.00</c:formatCode>
                <c:ptCount val="30"/>
                <c:pt idx="0">
                  <c:v>2.8440166265587399</c:v>
                </c:pt>
                <c:pt idx="1">
                  <c:v>7.8113228208497603</c:v>
                </c:pt>
                <c:pt idx="2">
                  <c:v>2.180482686253935</c:v>
                </c:pt>
                <c:pt idx="3">
                  <c:v>2.4593881856540083</c:v>
                </c:pt>
                <c:pt idx="4">
                  <c:v>2.1628239134870433</c:v>
                </c:pt>
                <c:pt idx="5">
                  <c:v>1.9342169857633775</c:v>
                </c:pt>
                <c:pt idx="6">
                  <c:v>2.1668264621284754</c:v>
                </c:pt>
                <c:pt idx="7">
                  <c:v>1.8148505303760849</c:v>
                </c:pt>
                <c:pt idx="8">
                  <c:v>2.4416446918644397</c:v>
                </c:pt>
                <c:pt idx="9">
                  <c:v>2.0993098159509205</c:v>
                </c:pt>
                <c:pt idx="10">
                  <c:v>2.0652338572240105</c:v>
                </c:pt>
                <c:pt idx="11">
                  <c:v>2.2582731076454925</c:v>
                </c:pt>
                <c:pt idx="12">
                  <c:v>2.127857275599331</c:v>
                </c:pt>
                <c:pt idx="13">
                  <c:v>2.0603109196478742</c:v>
                </c:pt>
                <c:pt idx="14">
                  <c:v>2.3486136783733826</c:v>
                </c:pt>
                <c:pt idx="15">
                  <c:v>1.9872423037810856</c:v>
                </c:pt>
                <c:pt idx="16">
                  <c:v>2.193801344286781</c:v>
                </c:pt>
                <c:pt idx="17">
                  <c:v>2.5619416044947956</c:v>
                </c:pt>
                <c:pt idx="18">
                  <c:v>2.140724746526474</c:v>
                </c:pt>
                <c:pt idx="19">
                  <c:v>2.5271433919880195</c:v>
                </c:pt>
                <c:pt idx="20">
                  <c:v>2.1911250230160193</c:v>
                </c:pt>
                <c:pt idx="21">
                  <c:v>2.5860465116279068</c:v>
                </c:pt>
                <c:pt idx="22">
                  <c:v>2.9084612504679894</c:v>
                </c:pt>
                <c:pt idx="23">
                  <c:v>2.2827098455239159</c:v>
                </c:pt>
                <c:pt idx="24">
                  <c:v>7.779148673658236</c:v>
                </c:pt>
                <c:pt idx="25">
                  <c:v>2.956989247311828</c:v>
                </c:pt>
                <c:pt idx="26">
                  <c:v>2.2467235281880589</c:v>
                </c:pt>
                <c:pt idx="27">
                  <c:v>2.4832435996044389</c:v>
                </c:pt>
                <c:pt idx="28">
                  <c:v>2.3325167749494091</c:v>
                </c:pt>
                <c:pt idx="29">
                  <c:v>2.1387402223137095</c:v>
                </c:pt>
              </c:numCache>
            </c:numRef>
          </c:val>
          <c:smooth val="0"/>
          <c:extLst>
            <c:ext xmlns:c16="http://schemas.microsoft.com/office/drawing/2014/chart" uri="{C3380CC4-5D6E-409C-BE32-E72D297353CC}">
              <c16:uniqueId val="{00000000-B14E-4D20-A21C-B534EF76AB99}"/>
            </c:ext>
          </c:extLst>
        </c:ser>
        <c:dLbls>
          <c:showLegendKey val="0"/>
          <c:showVal val="0"/>
          <c:showCatName val="0"/>
          <c:showSerName val="0"/>
          <c:showPercent val="0"/>
          <c:showBubbleSize val="0"/>
        </c:dLbls>
        <c:marker val="1"/>
        <c:smooth val="0"/>
        <c:axId val="488344752"/>
        <c:axId val="488343576"/>
      </c:lineChart>
      <c:catAx>
        <c:axId val="488344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3576"/>
        <c:crosses val="autoZero"/>
        <c:auto val="1"/>
        <c:lblAlgn val="ctr"/>
        <c:lblOffset val="100"/>
        <c:tickLblSkip val="1"/>
        <c:tickMarkSkip val="1"/>
        <c:noMultiLvlLbl val="0"/>
      </c:catAx>
      <c:valAx>
        <c:axId val="488343576"/>
        <c:scaling>
          <c:orientation val="minMax"/>
          <c:max val="15"/>
          <c:min val="0"/>
        </c:scaling>
        <c:delete val="0"/>
        <c:axPos val="l"/>
        <c:majorGridlines>
          <c:spPr>
            <a:ln w="3175">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4752"/>
        <c:crosses val="autoZero"/>
        <c:crossBetween val="between"/>
        <c:majorUnit val="2"/>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40481393762792894"/>
          <c:y val="2.0057306590257881E-2"/>
          <c:w val="0.22514601029202191"/>
          <c:h val="6.87679083094556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118459579592785E-2"/>
          <c:y val="0.15652218218461941"/>
          <c:w val="0.94553166843636649"/>
          <c:h val="0.71304549661954753"/>
        </c:manualLayout>
      </c:layout>
      <c:lineChart>
        <c:grouping val="standard"/>
        <c:varyColors val="0"/>
        <c:ser>
          <c:idx val="0"/>
          <c:order val="0"/>
          <c:tx>
            <c:v>Station Auxiliary Power Consumption  Mus.</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STATION!$C$19:$AF$19</c:f>
              <c:numCache>
                <c:formatCode>0.000</c:formatCode>
                <c:ptCount val="30"/>
                <c:pt idx="0">
                  <c:v>0.15339199999999975</c:v>
                </c:pt>
                <c:pt idx="1">
                  <c:v>0.17237600000000031</c:v>
                </c:pt>
                <c:pt idx="2">
                  <c:v>0.16248799999999974</c:v>
                </c:pt>
                <c:pt idx="3">
                  <c:v>0.15573599999999965</c:v>
                </c:pt>
                <c:pt idx="4">
                  <c:v>0.16159200000000018</c:v>
                </c:pt>
                <c:pt idx="5">
                  <c:v>0.17680000000000001</c:v>
                </c:pt>
                <c:pt idx="6">
                  <c:v>0.1845</c:v>
                </c:pt>
                <c:pt idx="7">
                  <c:v>0.18953599999999993</c:v>
                </c:pt>
                <c:pt idx="8">
                  <c:v>0.18108800000000036</c:v>
                </c:pt>
                <c:pt idx="9">
                  <c:v>0.18278400000000028</c:v>
                </c:pt>
                <c:pt idx="10">
                  <c:v>0.18111200000000061</c:v>
                </c:pt>
                <c:pt idx="11">
                  <c:v>0.18326400000000032</c:v>
                </c:pt>
                <c:pt idx="12">
                  <c:v>0.19220000000000001</c:v>
                </c:pt>
                <c:pt idx="13">
                  <c:v>0.18664000000000014</c:v>
                </c:pt>
                <c:pt idx="14">
                  <c:v>0.18632000000000026</c:v>
                </c:pt>
                <c:pt idx="15">
                  <c:v>0.19371199999999966</c:v>
                </c:pt>
                <c:pt idx="16">
                  <c:v>0.18034399999999984</c:v>
                </c:pt>
                <c:pt idx="17">
                  <c:v>0.18954399999999971</c:v>
                </c:pt>
                <c:pt idx="18">
                  <c:v>0.18420000000000014</c:v>
                </c:pt>
                <c:pt idx="19">
                  <c:v>0.18261600000000078</c:v>
                </c:pt>
                <c:pt idx="20">
                  <c:v>0.1960879999999996</c:v>
                </c:pt>
                <c:pt idx="21">
                  <c:v>0.17913600000000063</c:v>
                </c:pt>
                <c:pt idx="22">
                  <c:v>0.18664799999999993</c:v>
                </c:pt>
                <c:pt idx="23">
                  <c:v>0.16895200000000044</c:v>
                </c:pt>
                <c:pt idx="24">
                  <c:v>0.17188800000000004</c:v>
                </c:pt>
                <c:pt idx="25" formatCode="0.0000">
                  <c:v>0.18390400000000051</c:v>
                </c:pt>
                <c:pt idx="26" formatCode="0.0000">
                  <c:v>0.16253599999999979</c:v>
                </c:pt>
                <c:pt idx="27" formatCode="0.0000">
                  <c:v>0.15633600000000047</c:v>
                </c:pt>
                <c:pt idx="28" formatCode="0.0000">
                  <c:v>0.17269999999999999</c:v>
                </c:pt>
                <c:pt idx="29">
                  <c:v>0.16841600000000012</c:v>
                </c:pt>
              </c:numCache>
            </c:numRef>
          </c:val>
          <c:smooth val="0"/>
          <c:extLst>
            <c:ext xmlns:c16="http://schemas.microsoft.com/office/drawing/2014/chart" uri="{C3380CC4-5D6E-409C-BE32-E72D297353CC}">
              <c16:uniqueId val="{00000000-D085-49BC-A693-CA928D4BB350}"/>
            </c:ext>
          </c:extLst>
        </c:ser>
        <c:dLbls>
          <c:showLegendKey val="0"/>
          <c:showVal val="0"/>
          <c:showCatName val="0"/>
          <c:showSerName val="0"/>
          <c:showPercent val="0"/>
          <c:showBubbleSize val="0"/>
        </c:dLbls>
        <c:marker val="1"/>
        <c:smooth val="0"/>
        <c:axId val="488347104"/>
        <c:axId val="488349064"/>
      </c:lineChart>
      <c:catAx>
        <c:axId val="488347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9064"/>
        <c:crosses val="autoZero"/>
        <c:auto val="1"/>
        <c:lblAlgn val="ctr"/>
        <c:lblOffset val="100"/>
        <c:tickLblSkip val="1"/>
        <c:tickMarkSkip val="1"/>
        <c:noMultiLvlLbl val="0"/>
      </c:catAx>
      <c:valAx>
        <c:axId val="488349064"/>
        <c:scaling>
          <c:orientation val="minMax"/>
          <c:max val="0.30000000000000004"/>
          <c:min val="0.1"/>
        </c:scaling>
        <c:delete val="0"/>
        <c:axPos val="l"/>
        <c:majorGridlines>
          <c:spPr>
            <a:ln w="3175">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7104"/>
        <c:crosses val="autoZero"/>
        <c:crossBetween val="between"/>
        <c:majorUnit val="3"/>
        <c:minorUnit val="0.1"/>
        <c:dispUnits>
          <c:builtInUnit val="millions"/>
          <c:dispUnitsLbl/>
        </c:dispUnits>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ayout>
        <c:manualLayout>
          <c:xMode val="edge"/>
          <c:yMode val="edge"/>
          <c:x val="0.38965041692069907"/>
          <c:y val="3.1070333599608892E-2"/>
          <c:w val="0.29934254663665238"/>
          <c:h val="6.956552170109159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644513137558043E-2"/>
          <c:y val="0.15229927795910544"/>
          <c:w val="0.8887171561051006"/>
          <c:h val="0.72126639184398456"/>
        </c:manualLayout>
      </c:layout>
      <c:lineChart>
        <c:grouping val="standard"/>
        <c:varyColors val="0"/>
        <c:ser>
          <c:idx val="0"/>
          <c:order val="0"/>
          <c:tx>
            <c:v>Generation in MU's</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UNITS!$C$7:$AF$7</c:f>
              <c:numCache>
                <c:formatCode>0.000</c:formatCode>
                <c:ptCount val="30"/>
                <c:pt idx="0">
                  <c:v>0.90400000000000003</c:v>
                </c:pt>
                <c:pt idx="1">
                  <c:v>0.9</c:v>
                </c:pt>
                <c:pt idx="2">
                  <c:v>0.9</c:v>
                </c:pt>
                <c:pt idx="3">
                  <c:v>0.95299999999999996</c:v>
                </c:pt>
                <c:pt idx="4">
                  <c:v>0.86799999999999999</c:v>
                </c:pt>
                <c:pt idx="5">
                  <c:v>0.95799999999999996</c:v>
                </c:pt>
                <c:pt idx="6">
                  <c:v>1.0289999999999999</c:v>
                </c:pt>
                <c:pt idx="7">
                  <c:v>1.026</c:v>
                </c:pt>
                <c:pt idx="8">
                  <c:v>0.996</c:v>
                </c:pt>
                <c:pt idx="9">
                  <c:v>1.054</c:v>
                </c:pt>
                <c:pt idx="10">
                  <c:v>1.0469999999999999</c:v>
                </c:pt>
                <c:pt idx="11">
                  <c:v>1.0649999999999999</c:v>
                </c:pt>
                <c:pt idx="12">
                  <c:v>1.08</c:v>
                </c:pt>
                <c:pt idx="13">
                  <c:v>1.0820000000000001</c:v>
                </c:pt>
                <c:pt idx="14">
                  <c:v>1.0860000000000001</c:v>
                </c:pt>
                <c:pt idx="15">
                  <c:v>1.0740000000000001</c:v>
                </c:pt>
                <c:pt idx="16">
                  <c:v>1.0449999999999999</c:v>
                </c:pt>
                <c:pt idx="17">
                  <c:v>1.0580000000000001</c:v>
                </c:pt>
                <c:pt idx="18">
                  <c:v>1.056</c:v>
                </c:pt>
                <c:pt idx="19">
                  <c:v>1.0640000000000001</c:v>
                </c:pt>
                <c:pt idx="20">
                  <c:v>1.087</c:v>
                </c:pt>
                <c:pt idx="21">
                  <c:v>1.0780000000000001</c:v>
                </c:pt>
                <c:pt idx="22">
                  <c:v>1.0720000000000001</c:v>
                </c:pt>
                <c:pt idx="23">
                  <c:v>1.0740000000000001</c:v>
                </c:pt>
                <c:pt idx="24">
                  <c:v>1.0840000000000001</c:v>
                </c:pt>
                <c:pt idx="25">
                  <c:v>1.052</c:v>
                </c:pt>
                <c:pt idx="26">
                  <c:v>0.88900000000000001</c:v>
                </c:pt>
                <c:pt idx="27">
                  <c:v>0.85</c:v>
                </c:pt>
                <c:pt idx="28">
                  <c:v>0.88600000000000001</c:v>
                </c:pt>
                <c:pt idx="29">
                  <c:v>0.93200000000000005</c:v>
                </c:pt>
              </c:numCache>
            </c:numRef>
          </c:val>
          <c:smooth val="0"/>
          <c:extLst>
            <c:ext xmlns:c16="http://schemas.microsoft.com/office/drawing/2014/chart" uri="{C3380CC4-5D6E-409C-BE32-E72D297353CC}">
              <c16:uniqueId val="{00000000-B6B9-416A-A48C-BC70281A35DE}"/>
            </c:ext>
          </c:extLst>
        </c:ser>
        <c:dLbls>
          <c:showLegendKey val="0"/>
          <c:showVal val="0"/>
          <c:showCatName val="0"/>
          <c:showSerName val="0"/>
          <c:showPercent val="0"/>
          <c:showBubbleSize val="0"/>
        </c:dLbls>
        <c:marker val="1"/>
        <c:smooth val="0"/>
        <c:axId val="488347496"/>
        <c:axId val="488346712"/>
      </c:lineChart>
      <c:catAx>
        <c:axId val="488347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6712"/>
        <c:crosses val="autoZero"/>
        <c:auto val="1"/>
        <c:lblAlgn val="ctr"/>
        <c:lblOffset val="100"/>
        <c:tickLblSkip val="1"/>
        <c:tickMarkSkip val="1"/>
        <c:noMultiLvlLbl val="0"/>
      </c:catAx>
      <c:valAx>
        <c:axId val="488346712"/>
        <c:scaling>
          <c:orientation val="minMax"/>
          <c:max val="2"/>
          <c:min val="0"/>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7496"/>
        <c:crosses val="autoZero"/>
        <c:crossBetween val="between"/>
        <c:majorUnit val="0.5"/>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4775888717157138"/>
          <c:y val="2.2988505747126436E-2"/>
          <c:w val="0.28894530378451388"/>
          <c:h val="5.9003831417624934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050334578668208E-2"/>
          <c:y val="0.1551728492413379"/>
          <c:w val="0.88842519888805149"/>
          <c:h val="0.71551924927950261"/>
        </c:manualLayout>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UNITS!$C$14:$AF$14</c:f>
              <c:numCache>
                <c:formatCode>0.00</c:formatCode>
                <c:ptCount val="30"/>
                <c:pt idx="0">
                  <c:v>90.13844002135265</c:v>
                </c:pt>
                <c:pt idx="1">
                  <c:v>89.671682122697121</c:v>
                </c:pt>
                <c:pt idx="2">
                  <c:v>94.168650362880726</c:v>
                </c:pt>
                <c:pt idx="3">
                  <c:v>95.050960578226579</c:v>
                </c:pt>
                <c:pt idx="4">
                  <c:v>86.458114680945997</c:v>
                </c:pt>
                <c:pt idx="5">
                  <c:v>95.306698790627365</c:v>
                </c:pt>
                <c:pt idx="6">
                  <c:v>102.06816688065541</c:v>
                </c:pt>
                <c:pt idx="7">
                  <c:v>102.06284988117243</c:v>
                </c:pt>
                <c:pt idx="8">
                  <c:v>98.929718323216974</c:v>
                </c:pt>
                <c:pt idx="9">
                  <c:v>104.72026069829643</c:v>
                </c:pt>
                <c:pt idx="10">
                  <c:v>104.30974753620185</c:v>
                </c:pt>
                <c:pt idx="11">
                  <c:v>105.83251050420164</c:v>
                </c:pt>
                <c:pt idx="12">
                  <c:v>107.06469889653124</c:v>
                </c:pt>
                <c:pt idx="13">
                  <c:v>107.62643731268733</c:v>
                </c:pt>
                <c:pt idx="14">
                  <c:v>108.22956877666321</c:v>
                </c:pt>
                <c:pt idx="15">
                  <c:v>106.65086946983244</c:v>
                </c:pt>
                <c:pt idx="16">
                  <c:v>103.98664831753915</c:v>
                </c:pt>
                <c:pt idx="17">
                  <c:v>105.2201857489503</c:v>
                </c:pt>
                <c:pt idx="18">
                  <c:v>104.93075586593122</c:v>
                </c:pt>
                <c:pt idx="19">
                  <c:v>105.71193828464156</c:v>
                </c:pt>
                <c:pt idx="20">
                  <c:v>108.17905425572889</c:v>
                </c:pt>
                <c:pt idx="21">
                  <c:v>107.32009521313766</c:v>
                </c:pt>
                <c:pt idx="22">
                  <c:v>106.65251939287954</c:v>
                </c:pt>
                <c:pt idx="23">
                  <c:v>105.81275001250064</c:v>
                </c:pt>
                <c:pt idx="24">
                  <c:v>109.59626743978869</c:v>
                </c:pt>
                <c:pt idx="25">
                  <c:v>104.59565718232768</c:v>
                </c:pt>
                <c:pt idx="26">
                  <c:v>88.357025482189002</c:v>
                </c:pt>
                <c:pt idx="27">
                  <c:v>84.759409333947588</c:v>
                </c:pt>
                <c:pt idx="28">
                  <c:v>88.259147331982462</c:v>
                </c:pt>
                <c:pt idx="29">
                  <c:v>92.736736068697965</c:v>
                </c:pt>
              </c:numCache>
            </c:numRef>
          </c:val>
          <c:smooth val="0"/>
          <c:extLst>
            <c:ext xmlns:c16="http://schemas.microsoft.com/office/drawing/2014/chart" uri="{C3380CC4-5D6E-409C-BE32-E72D297353CC}">
              <c16:uniqueId val="{00000000-8978-4D69-A08B-4D51BE89C868}"/>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Ref>
              <c:f>UNITS!$C$15:$AF$15</c:f>
              <c:numCache>
                <c:formatCode>0.00</c:formatCode>
                <c:ptCount val="30"/>
                <c:pt idx="0">
                  <c:v>90.13844002135265</c:v>
                </c:pt>
                <c:pt idx="1">
                  <c:v>89.712077153533471</c:v>
                </c:pt>
                <c:pt idx="2">
                  <c:v>89.56995619759374</c:v>
                </c:pt>
                <c:pt idx="3">
                  <c:v>90.813379846608001</c:v>
                </c:pt>
                <c:pt idx="4">
                  <c:v>89.872926099508618</c:v>
                </c:pt>
                <c:pt idx="5">
                  <c:v>90.73405217287096</c:v>
                </c:pt>
                <c:pt idx="6">
                  <c:v>92.355378052936999</c:v>
                </c:pt>
                <c:pt idx="7">
                  <c:v>93.534170082034152</c:v>
                </c:pt>
                <c:pt idx="8">
                  <c:v>94.120320496199682</c:v>
                </c:pt>
                <c:pt idx="9">
                  <c:v>95.164637652928931</c:v>
                </c:pt>
                <c:pt idx="10">
                  <c:v>95.95594764984881</c:v>
                </c:pt>
                <c:pt idx="11">
                  <c:v>96.764182171091562</c:v>
                </c:pt>
                <c:pt idx="12">
                  <c:v>97.562541784304301</c:v>
                </c:pt>
                <c:pt idx="13">
                  <c:v>98.261022359801842</c:v>
                </c:pt>
                <c:pt idx="14">
                  <c:v>98.892827218354753</c:v>
                </c:pt>
                <c:pt idx="15">
                  <c:v>99.371251707683768</c:v>
                </c:pt>
                <c:pt idx="16">
                  <c:v>99.624156602563232</c:v>
                </c:pt>
                <c:pt idx="17">
                  <c:v>99.920609983549582</c:v>
                </c:pt>
                <c:pt idx="18">
                  <c:v>100.17541497188407</c:v>
                </c:pt>
                <c:pt idx="19">
                  <c:v>100.44442200106765</c:v>
                </c:pt>
                <c:pt idx="20">
                  <c:v>100.7964638861264</c:v>
                </c:pt>
                <c:pt idx="21">
                  <c:v>101.07591754786813</c:v>
                </c:pt>
                <c:pt idx="22">
                  <c:v>101.30519097401327</c:v>
                </c:pt>
                <c:pt idx="23">
                  <c:v>101.52362547708019</c:v>
                </c:pt>
                <c:pt idx="24">
                  <c:v>101.76426775958427</c:v>
                </c:pt>
                <c:pt idx="25">
                  <c:v>101.86429897518025</c:v>
                </c:pt>
                <c:pt idx="26">
                  <c:v>101.35800806663445</c:v>
                </c:pt>
                <c:pt idx="27">
                  <c:v>100.74970052230455</c:v>
                </c:pt>
                <c:pt idx="28">
                  <c:v>100.30649793177079</c:v>
                </c:pt>
                <c:pt idx="29">
                  <c:v>100.04495858272234</c:v>
                </c:pt>
              </c:numCache>
            </c:numRef>
          </c:val>
          <c:smooth val="0"/>
          <c:extLst>
            <c:ext xmlns:c16="http://schemas.microsoft.com/office/drawing/2014/chart" uri="{C3380CC4-5D6E-409C-BE32-E72D297353CC}">
              <c16:uniqueId val="{00000001-8978-4D69-A08B-4D51BE89C868}"/>
            </c:ext>
          </c:extLst>
        </c:ser>
        <c:dLbls>
          <c:showLegendKey val="0"/>
          <c:showVal val="0"/>
          <c:showCatName val="0"/>
          <c:showSerName val="0"/>
          <c:showPercent val="0"/>
          <c:showBubbleSize val="0"/>
        </c:dLbls>
        <c:marker val="1"/>
        <c:smooth val="0"/>
        <c:axId val="488349848"/>
        <c:axId val="488343184"/>
      </c:lineChart>
      <c:catAx>
        <c:axId val="488349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3184"/>
        <c:crosses val="autoZero"/>
        <c:auto val="1"/>
        <c:lblAlgn val="ctr"/>
        <c:lblOffset val="100"/>
        <c:tickLblSkip val="1"/>
        <c:tickMarkSkip val="1"/>
        <c:noMultiLvlLbl val="0"/>
      </c:catAx>
      <c:valAx>
        <c:axId val="488343184"/>
        <c:scaling>
          <c:orientation val="minMax"/>
          <c:max val="11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9848"/>
        <c:crosses val="autoZero"/>
        <c:crossBetween val="between"/>
        <c:majorUnit val="20"/>
      </c:valAx>
      <c:spPr>
        <a:solidFill>
          <a:srgbClr val="C0C0C0"/>
        </a:soli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3612321376502247"/>
          <c:y val="2.2988474266803605E-2"/>
          <c:w val="0.39888466025094615"/>
          <c:h val="6.8965727110198424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644513137558043E-2"/>
          <c:y val="0.15229885057482859"/>
          <c:w val="0.8887171561051006"/>
          <c:h val="0.72126436781609149"/>
        </c:manualLayout>
      </c:layout>
      <c:lineChart>
        <c:grouping val="standard"/>
        <c:varyColors val="0"/>
        <c:ser>
          <c:idx val="0"/>
          <c:order val="0"/>
          <c:tx>
            <c:v>Generation in MU's</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UNITS!$C$34:$AF$34</c:f>
              <c:numCache>
                <c:formatCode>0.000</c:formatCode>
                <c:ptCount val="30"/>
                <c:pt idx="0">
                  <c:v>0.86499999999999999</c:v>
                </c:pt>
                <c:pt idx="1">
                  <c:v>0.84299999999999997</c:v>
                </c:pt>
                <c:pt idx="2">
                  <c:v>0.84299999999999997</c:v>
                </c:pt>
                <c:pt idx="3">
                  <c:v>0.80100000000000005</c:v>
                </c:pt>
                <c:pt idx="4">
                  <c:v>0.95499999999999996</c:v>
                </c:pt>
                <c:pt idx="5">
                  <c:v>0.97799999999999998</c:v>
                </c:pt>
                <c:pt idx="6">
                  <c:v>1.0249999999999999</c:v>
                </c:pt>
                <c:pt idx="7">
                  <c:v>1</c:v>
                </c:pt>
                <c:pt idx="8">
                  <c:v>0.95899999999999996</c:v>
                </c:pt>
                <c:pt idx="9">
                  <c:v>0.99399999999999999</c:v>
                </c:pt>
                <c:pt idx="10">
                  <c:v>1.0249999999999999</c:v>
                </c:pt>
                <c:pt idx="11">
                  <c:v>1.0580000000000001</c:v>
                </c:pt>
                <c:pt idx="12">
                  <c:v>1.1020000000000001</c:v>
                </c:pt>
                <c:pt idx="13">
                  <c:v>1.075</c:v>
                </c:pt>
                <c:pt idx="14">
                  <c:v>1.103</c:v>
                </c:pt>
                <c:pt idx="15">
                  <c:v>1.099</c:v>
                </c:pt>
                <c:pt idx="16">
                  <c:v>1.0720000000000001</c:v>
                </c:pt>
                <c:pt idx="17">
                  <c:v>1.077</c:v>
                </c:pt>
                <c:pt idx="18">
                  <c:v>1.0640000000000001</c:v>
                </c:pt>
                <c:pt idx="19">
                  <c:v>1.073</c:v>
                </c:pt>
                <c:pt idx="20">
                  <c:v>1.095</c:v>
                </c:pt>
                <c:pt idx="21">
                  <c:v>1.0820000000000001</c:v>
                </c:pt>
                <c:pt idx="22">
                  <c:v>1.0589999999999999</c:v>
                </c:pt>
                <c:pt idx="23">
                  <c:v>1.073</c:v>
                </c:pt>
                <c:pt idx="24">
                  <c:v>0.27100000000000002</c:v>
                </c:pt>
                <c:pt idx="25">
                  <c:v>1.0069999999999999</c:v>
                </c:pt>
                <c:pt idx="26">
                  <c:v>0.85699999999999998</c:v>
                </c:pt>
                <c:pt idx="27">
                  <c:v>0.79400000000000004</c:v>
                </c:pt>
                <c:pt idx="28">
                  <c:v>0.83299999999999996</c:v>
                </c:pt>
                <c:pt idx="29">
                  <c:v>0.89100000000000001</c:v>
                </c:pt>
              </c:numCache>
            </c:numRef>
          </c:val>
          <c:smooth val="0"/>
          <c:extLst>
            <c:ext xmlns:c16="http://schemas.microsoft.com/office/drawing/2014/chart" uri="{C3380CC4-5D6E-409C-BE32-E72D297353CC}">
              <c16:uniqueId val="{00000000-0066-48BA-8BCA-AEAFBFFBA282}"/>
            </c:ext>
          </c:extLst>
        </c:ser>
        <c:dLbls>
          <c:showLegendKey val="0"/>
          <c:showVal val="0"/>
          <c:showCatName val="0"/>
          <c:showSerName val="0"/>
          <c:showPercent val="0"/>
          <c:showBubbleSize val="0"/>
        </c:dLbls>
        <c:marker val="1"/>
        <c:smooth val="0"/>
        <c:axId val="488348280"/>
        <c:axId val="488348672"/>
      </c:lineChart>
      <c:catAx>
        <c:axId val="488348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8672"/>
        <c:crosses val="autoZero"/>
        <c:auto val="1"/>
        <c:lblAlgn val="ctr"/>
        <c:lblOffset val="100"/>
        <c:tickLblSkip val="1"/>
        <c:tickMarkSkip val="1"/>
        <c:noMultiLvlLbl val="0"/>
      </c:catAx>
      <c:valAx>
        <c:axId val="488348672"/>
        <c:scaling>
          <c:orientation val="minMax"/>
          <c:max val="2"/>
          <c:min val="0"/>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8280"/>
        <c:crosses val="autoZero"/>
        <c:crossBetween val="between"/>
        <c:majorUnit val="0.5"/>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42194744976816084"/>
          <c:y val="2.2988587100769751E-2"/>
          <c:w val="0.22411128284389994"/>
          <c:h val="6.896546639535237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2</xdr:col>
      <xdr:colOff>466725</xdr:colOff>
      <xdr:row>73</xdr:row>
      <xdr:rowOff>133350</xdr:rowOff>
    </xdr:from>
    <xdr:to>
      <xdr:col>21</xdr:col>
      <xdr:colOff>571500</xdr:colOff>
      <xdr:row>94</xdr:row>
      <xdr:rowOff>28575</xdr:rowOff>
    </xdr:to>
    <xdr:graphicFrame macro="">
      <xdr:nvGraphicFramePr>
        <xdr:cNvPr id="64344502" name="Chart 1">
          <a:extLst>
            <a:ext uri="{FF2B5EF4-FFF2-40B4-BE49-F238E27FC236}">
              <a16:creationId xmlns:a16="http://schemas.microsoft.com/office/drawing/2014/main" id="{00000000-0008-0000-0000-0000B6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94</xdr:row>
      <xdr:rowOff>142875</xdr:rowOff>
    </xdr:from>
    <xdr:to>
      <xdr:col>21</xdr:col>
      <xdr:colOff>266700</xdr:colOff>
      <xdr:row>115</xdr:row>
      <xdr:rowOff>104775</xdr:rowOff>
    </xdr:to>
    <xdr:graphicFrame macro="">
      <xdr:nvGraphicFramePr>
        <xdr:cNvPr id="64344503" name="Chart 2">
          <a:extLst>
            <a:ext uri="{FF2B5EF4-FFF2-40B4-BE49-F238E27FC236}">
              <a16:creationId xmlns:a16="http://schemas.microsoft.com/office/drawing/2014/main" id="{00000000-0008-0000-0000-0000B7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139</xdr:row>
      <xdr:rowOff>28575</xdr:rowOff>
    </xdr:from>
    <xdr:to>
      <xdr:col>21</xdr:col>
      <xdr:colOff>409575</xdr:colOff>
      <xdr:row>159</xdr:row>
      <xdr:rowOff>76200</xdr:rowOff>
    </xdr:to>
    <xdr:graphicFrame macro="">
      <xdr:nvGraphicFramePr>
        <xdr:cNvPr id="64344504" name="Chart 3">
          <a:extLst>
            <a:ext uri="{FF2B5EF4-FFF2-40B4-BE49-F238E27FC236}">
              <a16:creationId xmlns:a16="http://schemas.microsoft.com/office/drawing/2014/main" id="{00000000-0008-0000-0000-0000B8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457200</xdr:colOff>
      <xdr:row>116</xdr:row>
      <xdr:rowOff>57150</xdr:rowOff>
    </xdr:from>
    <xdr:to>
      <xdr:col>21</xdr:col>
      <xdr:colOff>247650</xdr:colOff>
      <xdr:row>136</xdr:row>
      <xdr:rowOff>142875</xdr:rowOff>
    </xdr:to>
    <xdr:graphicFrame macro="">
      <xdr:nvGraphicFramePr>
        <xdr:cNvPr id="64344505" name="Chart 4">
          <a:extLst>
            <a:ext uri="{FF2B5EF4-FFF2-40B4-BE49-F238E27FC236}">
              <a16:creationId xmlns:a16="http://schemas.microsoft.com/office/drawing/2014/main" id="{00000000-0008-0000-0000-0000B9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581025</xdr:colOff>
      <xdr:row>160</xdr:row>
      <xdr:rowOff>47625</xdr:rowOff>
    </xdr:from>
    <xdr:to>
      <xdr:col>21</xdr:col>
      <xdr:colOff>423333</xdr:colOff>
      <xdr:row>180</xdr:row>
      <xdr:rowOff>133350</xdr:rowOff>
    </xdr:to>
    <xdr:graphicFrame macro="">
      <xdr:nvGraphicFramePr>
        <xdr:cNvPr id="64344506" name="Chart 5">
          <a:extLst>
            <a:ext uri="{FF2B5EF4-FFF2-40B4-BE49-F238E27FC236}">
              <a16:creationId xmlns:a16="http://schemas.microsoft.com/office/drawing/2014/main" id="{00000000-0008-0000-0000-0000BA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183</xdr:row>
      <xdr:rowOff>0</xdr:rowOff>
    </xdr:from>
    <xdr:to>
      <xdr:col>21</xdr:col>
      <xdr:colOff>400050</xdr:colOff>
      <xdr:row>203</xdr:row>
      <xdr:rowOff>47625</xdr:rowOff>
    </xdr:to>
    <xdr:graphicFrame macro="">
      <xdr:nvGraphicFramePr>
        <xdr:cNvPr id="7" name="Chart 3">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38100</xdr:rowOff>
    </xdr:from>
    <xdr:to>
      <xdr:col>10</xdr:col>
      <xdr:colOff>152400</xdr:colOff>
      <xdr:row>23</xdr:row>
      <xdr:rowOff>114300</xdr:rowOff>
    </xdr:to>
    <xdr:graphicFrame macro="">
      <xdr:nvGraphicFramePr>
        <xdr:cNvPr id="64753309" name="Chart 1">
          <a:extLst>
            <a:ext uri="{FF2B5EF4-FFF2-40B4-BE49-F238E27FC236}">
              <a16:creationId xmlns:a16="http://schemas.microsoft.com/office/drawing/2014/main" id="{00000000-0008-0000-0800-00009D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3</xdr:row>
      <xdr:rowOff>38100</xdr:rowOff>
    </xdr:from>
    <xdr:to>
      <xdr:col>21</xdr:col>
      <xdr:colOff>409575</xdr:colOff>
      <xdr:row>23</xdr:row>
      <xdr:rowOff>85725</xdr:rowOff>
    </xdr:to>
    <xdr:graphicFrame macro="">
      <xdr:nvGraphicFramePr>
        <xdr:cNvPr id="64753310" name="Chart 2">
          <a:extLst>
            <a:ext uri="{FF2B5EF4-FFF2-40B4-BE49-F238E27FC236}">
              <a16:creationId xmlns:a16="http://schemas.microsoft.com/office/drawing/2014/main" id="{00000000-0008-0000-0800-00009E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57</xdr:row>
      <xdr:rowOff>142875</xdr:rowOff>
    </xdr:from>
    <xdr:to>
      <xdr:col>10</xdr:col>
      <xdr:colOff>266700</xdr:colOff>
      <xdr:row>78</xdr:row>
      <xdr:rowOff>133350</xdr:rowOff>
    </xdr:to>
    <xdr:graphicFrame macro="">
      <xdr:nvGraphicFramePr>
        <xdr:cNvPr id="64753311" name="Chart 5">
          <a:extLst>
            <a:ext uri="{FF2B5EF4-FFF2-40B4-BE49-F238E27FC236}">
              <a16:creationId xmlns:a16="http://schemas.microsoft.com/office/drawing/2014/main" id="{00000000-0008-0000-0800-00009F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57</xdr:row>
      <xdr:rowOff>133350</xdr:rowOff>
    </xdr:from>
    <xdr:to>
      <xdr:col>21</xdr:col>
      <xdr:colOff>409575</xdr:colOff>
      <xdr:row>78</xdr:row>
      <xdr:rowOff>123825</xdr:rowOff>
    </xdr:to>
    <xdr:graphicFrame macro="">
      <xdr:nvGraphicFramePr>
        <xdr:cNvPr id="64753312" name="Chart 6">
          <a:extLst>
            <a:ext uri="{FF2B5EF4-FFF2-40B4-BE49-F238E27FC236}">
              <a16:creationId xmlns:a16="http://schemas.microsoft.com/office/drawing/2014/main" id="{00000000-0008-0000-0800-0000A0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419100</xdr:colOff>
      <xdr:row>82</xdr:row>
      <xdr:rowOff>133350</xdr:rowOff>
    </xdr:from>
    <xdr:to>
      <xdr:col>10</xdr:col>
      <xdr:colOff>390525</xdr:colOff>
      <xdr:row>101</xdr:row>
      <xdr:rowOff>152400</xdr:rowOff>
    </xdr:to>
    <xdr:graphicFrame macro="">
      <xdr:nvGraphicFramePr>
        <xdr:cNvPr id="64753313" name="Chart 7">
          <a:extLst>
            <a:ext uri="{FF2B5EF4-FFF2-40B4-BE49-F238E27FC236}">
              <a16:creationId xmlns:a16="http://schemas.microsoft.com/office/drawing/2014/main" id="{00000000-0008-0000-0800-0000A1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25</xdr:row>
      <xdr:rowOff>38100</xdr:rowOff>
    </xdr:from>
    <xdr:to>
      <xdr:col>10</xdr:col>
      <xdr:colOff>171450</xdr:colOff>
      <xdr:row>44</xdr:row>
      <xdr:rowOff>47625</xdr:rowOff>
    </xdr:to>
    <xdr:graphicFrame macro="">
      <xdr:nvGraphicFramePr>
        <xdr:cNvPr id="64753314" name="Chart 11">
          <a:extLst>
            <a:ext uri="{FF2B5EF4-FFF2-40B4-BE49-F238E27FC236}">
              <a16:creationId xmlns:a16="http://schemas.microsoft.com/office/drawing/2014/main" id="{00000000-0008-0000-0800-0000A2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106</xdr:row>
      <xdr:rowOff>123825</xdr:rowOff>
    </xdr:from>
    <xdr:to>
      <xdr:col>10</xdr:col>
      <xdr:colOff>219075</xdr:colOff>
      <xdr:row>127</xdr:row>
      <xdr:rowOff>57150</xdr:rowOff>
    </xdr:to>
    <xdr:graphicFrame macro="">
      <xdr:nvGraphicFramePr>
        <xdr:cNvPr id="64753315" name="Chart 285">
          <a:extLst>
            <a:ext uri="{FF2B5EF4-FFF2-40B4-BE49-F238E27FC236}">
              <a16:creationId xmlns:a16="http://schemas.microsoft.com/office/drawing/2014/main" id="{00000000-0008-0000-0800-0000A3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107</xdr:row>
      <xdr:rowOff>47625</xdr:rowOff>
    </xdr:from>
    <xdr:to>
      <xdr:col>20</xdr:col>
      <xdr:colOff>609600</xdr:colOff>
      <xdr:row>127</xdr:row>
      <xdr:rowOff>123825</xdr:rowOff>
    </xdr:to>
    <xdr:graphicFrame macro="">
      <xdr:nvGraphicFramePr>
        <xdr:cNvPr id="64753316" name="Chart 287">
          <a:extLst>
            <a:ext uri="{FF2B5EF4-FFF2-40B4-BE49-F238E27FC236}">
              <a16:creationId xmlns:a16="http://schemas.microsoft.com/office/drawing/2014/main" id="{00000000-0008-0000-0800-0000A4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190500</xdr:colOff>
      <xdr:row>130</xdr:row>
      <xdr:rowOff>85725</xdr:rowOff>
    </xdr:from>
    <xdr:to>
      <xdr:col>10</xdr:col>
      <xdr:colOff>171450</xdr:colOff>
      <xdr:row>150</xdr:row>
      <xdr:rowOff>133350</xdr:rowOff>
    </xdr:to>
    <xdr:graphicFrame macro="">
      <xdr:nvGraphicFramePr>
        <xdr:cNvPr id="64753317" name="Chart 288">
          <a:extLst>
            <a:ext uri="{FF2B5EF4-FFF2-40B4-BE49-F238E27FC236}">
              <a16:creationId xmlns:a16="http://schemas.microsoft.com/office/drawing/2014/main" id="{00000000-0008-0000-0800-0000A5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619124</xdr:colOff>
      <xdr:row>11</xdr:row>
      <xdr:rowOff>178593</xdr:rowOff>
    </xdr:from>
    <xdr:to>
      <xdr:col>29</xdr:col>
      <xdr:colOff>500742</xdr:colOff>
      <xdr:row>12</xdr:row>
      <xdr:rowOff>119742</xdr:rowOff>
    </xdr:to>
    <xdr:sp macro="" textlink="">
      <xdr:nvSpPr>
        <xdr:cNvPr id="2" name="Text Box 6">
          <a:extLst>
            <a:ext uri="{FF2B5EF4-FFF2-40B4-BE49-F238E27FC236}">
              <a16:creationId xmlns:a16="http://schemas.microsoft.com/office/drawing/2014/main" id="{00000000-0008-0000-0A00-000002000000}"/>
            </a:ext>
          </a:extLst>
        </xdr:cNvPr>
        <xdr:cNvSpPr txBox="1">
          <a:spLocks noChangeArrowheads="1"/>
        </xdr:cNvSpPr>
      </xdr:nvSpPr>
      <xdr:spPr bwMode="auto">
        <a:xfrm>
          <a:off x="4333874" y="4550568"/>
          <a:ext cx="15855043" cy="550749"/>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PLF%</a:t>
          </a:r>
        </a:p>
      </xdr:txBody>
    </xdr:sp>
    <xdr:clientData/>
  </xdr:twoCellAnchor>
  <xdr:twoCellAnchor>
    <xdr:from>
      <xdr:col>0</xdr:col>
      <xdr:colOff>152400</xdr:colOff>
      <xdr:row>10</xdr:row>
      <xdr:rowOff>314325</xdr:rowOff>
    </xdr:from>
    <xdr:to>
      <xdr:col>4</xdr:col>
      <xdr:colOff>85725</xdr:colOff>
      <xdr:row>17</xdr:row>
      <xdr:rowOff>123825</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885825</xdr:colOff>
      <xdr:row>10</xdr:row>
      <xdr:rowOff>314325</xdr:rowOff>
    </xdr:from>
    <xdr:to>
      <xdr:col>38</xdr:col>
      <xdr:colOff>304800</xdr:colOff>
      <xdr:row>24</xdr:row>
      <xdr:rowOff>114300</xdr:rowOff>
    </xdr:to>
    <xdr:graphicFrame macro="">
      <xdr:nvGraphicFramePr>
        <xdr:cNvPr id="4" name="Chart 5">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46</xdr:row>
      <xdr:rowOff>11906</xdr:rowOff>
    </xdr:from>
    <xdr:to>
      <xdr:col>29</xdr:col>
      <xdr:colOff>448355</xdr:colOff>
      <xdr:row>46</xdr:row>
      <xdr:rowOff>560273</xdr:rowOff>
    </xdr:to>
    <xdr:sp macro="" textlink="">
      <xdr:nvSpPr>
        <xdr:cNvPr id="5" name="Text Box 6">
          <a:extLst>
            <a:ext uri="{FF2B5EF4-FFF2-40B4-BE49-F238E27FC236}">
              <a16:creationId xmlns:a16="http://schemas.microsoft.com/office/drawing/2014/main" id="{00000000-0008-0000-0A00-000005000000}"/>
            </a:ext>
          </a:extLst>
        </xdr:cNvPr>
        <xdr:cNvSpPr txBox="1">
          <a:spLocks noChangeArrowheads="1"/>
        </xdr:cNvSpPr>
      </xdr:nvSpPr>
      <xdr:spPr bwMode="auto">
        <a:xfrm>
          <a:off x="4281487" y="12994481"/>
          <a:ext cx="15855043" cy="548367"/>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Availability%</a:t>
          </a:r>
        </a:p>
      </xdr:txBody>
    </xdr:sp>
    <xdr:clientData/>
  </xdr:twoCellAnchor>
  <xdr:twoCellAnchor>
    <xdr:from>
      <xdr:col>5</xdr:col>
      <xdr:colOff>438150</xdr:colOff>
      <xdr:row>46</xdr:row>
      <xdr:rowOff>276225</xdr:rowOff>
    </xdr:from>
    <xdr:to>
      <xdr:col>37</xdr:col>
      <xdr:colOff>457200</xdr:colOff>
      <xdr:row>67</xdr:row>
      <xdr:rowOff>104775</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48</xdr:row>
      <xdr:rowOff>19050</xdr:rowOff>
    </xdr:from>
    <xdr:to>
      <xdr:col>4</xdr:col>
      <xdr:colOff>533400</xdr:colOff>
      <xdr:row>64</xdr:row>
      <xdr:rowOff>247650</xdr:rowOff>
    </xdr:to>
    <xdr:graphicFrame macro="">
      <xdr:nvGraphicFramePr>
        <xdr:cNvPr id="7" name="Chart 2">
          <a:extLst>
            <a:ext uri="{FF2B5EF4-FFF2-40B4-BE49-F238E27FC236}">
              <a16:creationId xmlns:a16="http://schemas.microsoft.com/office/drawing/2014/main" id="{00000000-0008-0000-0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66675</xdr:colOff>
      <xdr:row>82</xdr:row>
      <xdr:rowOff>123825</xdr:rowOff>
    </xdr:from>
    <xdr:to>
      <xdr:col>37</xdr:col>
      <xdr:colOff>104775</xdr:colOff>
      <xdr:row>103</xdr:row>
      <xdr:rowOff>190500</xdr:rowOff>
    </xdr:to>
    <xdr:graphicFrame macro="">
      <xdr:nvGraphicFramePr>
        <xdr:cNvPr id="8" name="Chart 5">
          <a:extLst>
            <a:ext uri="{FF2B5EF4-FFF2-40B4-BE49-F238E27FC236}">
              <a16:creationId xmlns:a16="http://schemas.microsoft.com/office/drawing/2014/main" id="{00000000-0008-0000-0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83</xdr:row>
      <xdr:rowOff>152400</xdr:rowOff>
    </xdr:from>
    <xdr:to>
      <xdr:col>4</xdr:col>
      <xdr:colOff>504825</xdr:colOff>
      <xdr:row>99</xdr:row>
      <xdr:rowOff>114300</xdr:rowOff>
    </xdr:to>
    <xdr:graphicFrame macro="">
      <xdr:nvGraphicFramePr>
        <xdr:cNvPr id="9" name="Chart 2">
          <a:extLst>
            <a:ext uri="{FF2B5EF4-FFF2-40B4-BE49-F238E27FC236}">
              <a16:creationId xmlns:a16="http://schemas.microsoft.com/office/drawing/2014/main" id="{00000000-0008-0000-0A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21431</xdr:colOff>
      <xdr:row>80</xdr:row>
      <xdr:rowOff>404811</xdr:rowOff>
    </xdr:from>
    <xdr:to>
      <xdr:col>30</xdr:col>
      <xdr:colOff>1701</xdr:colOff>
      <xdr:row>81</xdr:row>
      <xdr:rowOff>522854</xdr:rowOff>
    </xdr:to>
    <xdr:sp macro="" textlink="">
      <xdr:nvSpPr>
        <xdr:cNvPr id="10" name="Text Box 6">
          <a:extLst>
            <a:ext uri="{FF2B5EF4-FFF2-40B4-BE49-F238E27FC236}">
              <a16:creationId xmlns:a16="http://schemas.microsoft.com/office/drawing/2014/main" id="{00000000-0008-0000-0A00-00000A000000}"/>
            </a:ext>
          </a:extLst>
        </xdr:cNvPr>
        <xdr:cNvSpPr txBox="1">
          <a:spLocks noChangeArrowheads="1"/>
        </xdr:cNvSpPr>
      </xdr:nvSpPr>
      <xdr:spPr bwMode="auto">
        <a:xfrm>
          <a:off x="4460081" y="21521736"/>
          <a:ext cx="15791770" cy="584768"/>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APC%</a:t>
          </a:r>
        </a:p>
      </xdr:txBody>
    </xdr:sp>
    <xdr:clientData/>
  </xdr:twoCellAnchor>
  <xdr:twoCellAnchor>
    <xdr:from>
      <xdr:col>4</xdr:col>
      <xdr:colOff>642936</xdr:colOff>
      <xdr:row>114</xdr:row>
      <xdr:rowOff>95250</xdr:rowOff>
    </xdr:from>
    <xdr:to>
      <xdr:col>29</xdr:col>
      <xdr:colOff>466723</xdr:colOff>
      <xdr:row>116</xdr:row>
      <xdr:rowOff>195602</xdr:rowOff>
    </xdr:to>
    <xdr:sp macro="" textlink="">
      <xdr:nvSpPr>
        <xdr:cNvPr id="11" name="Text Box 6">
          <a:extLst>
            <a:ext uri="{FF2B5EF4-FFF2-40B4-BE49-F238E27FC236}">
              <a16:creationId xmlns:a16="http://schemas.microsoft.com/office/drawing/2014/main" id="{00000000-0008-0000-0A00-00000B000000}"/>
            </a:ext>
          </a:extLst>
        </xdr:cNvPr>
        <xdr:cNvSpPr txBox="1">
          <a:spLocks noChangeArrowheads="1"/>
        </xdr:cNvSpPr>
      </xdr:nvSpPr>
      <xdr:spPr bwMode="auto">
        <a:xfrm>
          <a:off x="4357686" y="29651325"/>
          <a:ext cx="15797212" cy="424202"/>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DM Water Cons%</a:t>
          </a:r>
        </a:p>
      </xdr:txBody>
    </xdr:sp>
    <xdr:clientData/>
  </xdr:twoCellAnchor>
  <xdr:twoCellAnchor>
    <xdr:from>
      <xdr:col>5</xdr:col>
      <xdr:colOff>133350</xdr:colOff>
      <xdr:row>118</xdr:row>
      <xdr:rowOff>47625</xdr:rowOff>
    </xdr:from>
    <xdr:to>
      <xdr:col>36</xdr:col>
      <xdr:colOff>123825</xdr:colOff>
      <xdr:row>137</xdr:row>
      <xdr:rowOff>133350</xdr:rowOff>
    </xdr:to>
    <xdr:graphicFrame macro="">
      <xdr:nvGraphicFramePr>
        <xdr:cNvPr id="12" name="Chart 5">
          <a:extLst>
            <a:ext uri="{FF2B5EF4-FFF2-40B4-BE49-F238E27FC236}">
              <a16:creationId xmlns:a16="http://schemas.microsoft.com/office/drawing/2014/main" id="{00000000-0008-0000-0A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190500</xdr:colOff>
      <xdr:row>118</xdr:row>
      <xdr:rowOff>66675</xdr:rowOff>
    </xdr:from>
    <xdr:to>
      <xdr:col>4</xdr:col>
      <xdr:colOff>571500</xdr:colOff>
      <xdr:row>133</xdr:row>
      <xdr:rowOff>238125</xdr:rowOff>
    </xdr:to>
    <xdr:graphicFrame macro="">
      <xdr:nvGraphicFramePr>
        <xdr:cNvPr id="13" name="Chart 2">
          <a:extLst>
            <a:ext uri="{FF2B5EF4-FFF2-40B4-BE49-F238E27FC236}">
              <a16:creationId xmlns:a16="http://schemas.microsoft.com/office/drawing/2014/main" id="{00000000-0008-0000-0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695324</xdr:colOff>
      <xdr:row>149</xdr:row>
      <xdr:rowOff>83343</xdr:rowOff>
    </xdr:from>
    <xdr:to>
      <xdr:col>29</xdr:col>
      <xdr:colOff>495299</xdr:colOff>
      <xdr:row>150</xdr:row>
      <xdr:rowOff>86745</xdr:rowOff>
    </xdr:to>
    <xdr:sp macro="" textlink="">
      <xdr:nvSpPr>
        <xdr:cNvPr id="14" name="Text Box 6">
          <a:extLst>
            <a:ext uri="{FF2B5EF4-FFF2-40B4-BE49-F238E27FC236}">
              <a16:creationId xmlns:a16="http://schemas.microsoft.com/office/drawing/2014/main" id="{00000000-0008-0000-0A00-00000E000000}"/>
            </a:ext>
          </a:extLst>
        </xdr:cNvPr>
        <xdr:cNvSpPr txBox="1">
          <a:spLocks noChangeArrowheads="1"/>
        </xdr:cNvSpPr>
      </xdr:nvSpPr>
      <xdr:spPr bwMode="auto">
        <a:xfrm>
          <a:off x="4410074" y="40802718"/>
          <a:ext cx="15773400" cy="317727"/>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POwer Sales (MUs)</a:t>
          </a:r>
        </a:p>
        <a:p>
          <a:pPr algn="ctr" rtl="0">
            <a:defRPr sz="1000"/>
          </a:pPr>
          <a:endParaRPr lang="en-US" sz="1600" b="1" i="0" u="sng" strike="noStrike" baseline="0">
            <a:solidFill>
              <a:srgbClr val="0066CC"/>
            </a:solidFill>
            <a:latin typeface="Arial"/>
            <a:cs typeface="Arial"/>
          </a:endParaRPr>
        </a:p>
      </xdr:txBody>
    </xdr:sp>
    <xdr:clientData/>
  </xdr:twoCellAnchor>
  <xdr:twoCellAnchor>
    <xdr:from>
      <xdr:col>5</xdr:col>
      <xdr:colOff>704850</xdr:colOff>
      <xdr:row>152</xdr:row>
      <xdr:rowOff>85725</xdr:rowOff>
    </xdr:from>
    <xdr:to>
      <xdr:col>37</xdr:col>
      <xdr:colOff>95250</xdr:colOff>
      <xdr:row>171</xdr:row>
      <xdr:rowOff>47625</xdr:rowOff>
    </xdr:to>
    <xdr:graphicFrame macro="">
      <xdr:nvGraphicFramePr>
        <xdr:cNvPr id="15" name="Chart 5">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238125</xdr:colOff>
      <xdr:row>152</xdr:row>
      <xdr:rowOff>85725</xdr:rowOff>
    </xdr:from>
    <xdr:to>
      <xdr:col>4</xdr:col>
      <xdr:colOff>485775</xdr:colOff>
      <xdr:row>167</xdr:row>
      <xdr:rowOff>266700</xdr:rowOff>
    </xdr:to>
    <xdr:graphicFrame macro="">
      <xdr:nvGraphicFramePr>
        <xdr:cNvPr id="16" name="Chart 2">
          <a:extLst>
            <a:ext uri="{FF2B5EF4-FFF2-40B4-BE49-F238E27FC236}">
              <a16:creationId xmlns:a16="http://schemas.microsoft.com/office/drawing/2014/main" id="{00000000-0008-0000-0A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90491</xdr:colOff>
      <xdr:row>182</xdr:row>
      <xdr:rowOff>190500</xdr:rowOff>
    </xdr:from>
    <xdr:to>
      <xdr:col>29</xdr:col>
      <xdr:colOff>384061</xdr:colOff>
      <xdr:row>183</xdr:row>
      <xdr:rowOff>187361</xdr:rowOff>
    </xdr:to>
    <xdr:sp macro="" textlink="">
      <xdr:nvSpPr>
        <xdr:cNvPr id="17" name="Text Box 6">
          <a:extLst>
            <a:ext uri="{FF2B5EF4-FFF2-40B4-BE49-F238E27FC236}">
              <a16:creationId xmlns:a16="http://schemas.microsoft.com/office/drawing/2014/main" id="{00000000-0008-0000-0A00-000011000000}"/>
            </a:ext>
          </a:extLst>
        </xdr:cNvPr>
        <xdr:cNvSpPr txBox="1">
          <a:spLocks noChangeArrowheads="1"/>
        </xdr:cNvSpPr>
      </xdr:nvSpPr>
      <xdr:spPr bwMode="auto">
        <a:xfrm>
          <a:off x="4529141" y="51282600"/>
          <a:ext cx="15543095" cy="311186"/>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TPTCL Sales (MUs)</a:t>
          </a:r>
        </a:p>
        <a:p>
          <a:pPr algn="ctr" rtl="0">
            <a:defRPr sz="1000"/>
          </a:pPr>
          <a:endParaRPr lang="en-US" sz="1600" b="1" i="0" u="sng" strike="noStrike" baseline="0">
            <a:solidFill>
              <a:srgbClr val="0066CC"/>
            </a:solidFill>
            <a:latin typeface="Arial"/>
            <a:cs typeface="Arial"/>
          </a:endParaRPr>
        </a:p>
      </xdr:txBody>
    </xdr:sp>
    <xdr:clientData/>
  </xdr:twoCellAnchor>
  <xdr:twoCellAnchor>
    <xdr:from>
      <xdr:col>5</xdr:col>
      <xdr:colOff>219075</xdr:colOff>
      <xdr:row>184</xdr:row>
      <xdr:rowOff>47625</xdr:rowOff>
    </xdr:from>
    <xdr:to>
      <xdr:col>36</xdr:col>
      <xdr:colOff>133350</xdr:colOff>
      <xdr:row>203</xdr:row>
      <xdr:rowOff>190500</xdr:rowOff>
    </xdr:to>
    <xdr:graphicFrame macro="">
      <xdr:nvGraphicFramePr>
        <xdr:cNvPr id="18" name="Chart 5">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133350</xdr:colOff>
      <xdr:row>185</xdr:row>
      <xdr:rowOff>190500</xdr:rowOff>
    </xdr:from>
    <xdr:to>
      <xdr:col>4</xdr:col>
      <xdr:colOff>333375</xdr:colOff>
      <xdr:row>200</xdr:row>
      <xdr:rowOff>38100</xdr:rowOff>
    </xdr:to>
    <xdr:graphicFrame macro="">
      <xdr:nvGraphicFramePr>
        <xdr:cNvPr id="19" name="Chart 2">
          <a:extLst>
            <a:ext uri="{FF2B5EF4-FFF2-40B4-BE49-F238E27FC236}">
              <a16:creationId xmlns:a16="http://schemas.microsoft.com/office/drawing/2014/main" id="{00000000-0008-0000-0A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0</xdr:row>
      <xdr:rowOff>0</xdr:rowOff>
    </xdr:from>
    <xdr:to>
      <xdr:col>10</xdr:col>
      <xdr:colOff>152400</xdr:colOff>
      <xdr:row>0</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0</xdr:row>
      <xdr:rowOff>0</xdr:rowOff>
    </xdr:from>
    <xdr:to>
      <xdr:col>21</xdr:col>
      <xdr:colOff>381000</xdr:colOff>
      <xdr:row>0</xdr:row>
      <xdr:rowOff>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0</xdr:row>
      <xdr:rowOff>0</xdr:rowOff>
    </xdr:from>
    <xdr:to>
      <xdr:col>10</xdr:col>
      <xdr:colOff>133350</xdr:colOff>
      <xdr:row>0</xdr:row>
      <xdr:rowOff>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0</xdr:row>
      <xdr:rowOff>0</xdr:rowOff>
    </xdr:from>
    <xdr:to>
      <xdr:col>21</xdr:col>
      <xdr:colOff>371475</xdr:colOff>
      <xdr:row>0</xdr:row>
      <xdr:rowOff>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amitsadhukhan_tatapower_com/Documents/Reports/FY%2022-23/May-22/Daily%20station%20report-May-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ld%20System%20Drive%20E/Operation/DAILY%20REPORTS/FY%2017-18/March-18/Daily%20Station%20Report%20Haldia%20(March-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ION"/>
      <sheetName val="UNITS"/>
      <sheetName val="Totalizer"/>
      <sheetName val="BOILERS"/>
      <sheetName val="Variance"/>
      <sheetName val="EQUIPMENT outage"/>
      <sheetName val="ASSET outage"/>
      <sheetName val="Equipment Status"/>
      <sheetName val="GRAPHS"/>
      <sheetName val="KPI tracker"/>
      <sheetName val="KPI analysis"/>
      <sheetName val="REMARKS "/>
    </sheetNames>
    <sheetDataSet>
      <sheetData sheetId="0" refreshError="1">
        <row r="6">
          <cell r="B6" t="str">
            <v>Mus</v>
          </cell>
          <cell r="C6">
            <v>2.7959999999999994</v>
          </cell>
          <cell r="D6">
            <v>2.7090000000000001</v>
          </cell>
          <cell r="E6">
            <v>2.746</v>
          </cell>
          <cell r="F6">
            <v>2.694</v>
          </cell>
          <cell r="G6">
            <v>2.6479999999999997</v>
          </cell>
          <cell r="H6">
            <v>2.754</v>
          </cell>
          <cell r="I6">
            <v>2.726</v>
          </cell>
          <cell r="J6">
            <v>2.73</v>
          </cell>
          <cell r="K6">
            <v>2.7409999999999997</v>
          </cell>
          <cell r="L6">
            <v>2.738</v>
          </cell>
          <cell r="M6">
            <v>2.7249999999999996</v>
          </cell>
          <cell r="N6">
            <v>2.7320000000000002</v>
          </cell>
          <cell r="O6">
            <v>2.5140000000000002</v>
          </cell>
          <cell r="P6">
            <v>2.4539999999999997</v>
          </cell>
          <cell r="Q6">
            <v>2.5339999999999998</v>
          </cell>
          <cell r="R6">
            <v>2.524</v>
          </cell>
          <cell r="S6">
            <v>2.58</v>
          </cell>
          <cell r="T6">
            <v>2.6179999999999999</v>
          </cell>
          <cell r="U6">
            <v>2.6139999999999999</v>
          </cell>
          <cell r="V6">
            <v>2.512</v>
          </cell>
          <cell r="W6">
            <v>2.3719999999999999</v>
          </cell>
          <cell r="X6">
            <v>2.31</v>
          </cell>
          <cell r="Y6">
            <v>2.431</v>
          </cell>
          <cell r="Z6">
            <v>2.6</v>
          </cell>
          <cell r="AA6">
            <v>2.6449999999999996</v>
          </cell>
          <cell r="AB6">
            <v>2.7030000000000003</v>
          </cell>
          <cell r="AC6">
            <v>2.6519999999999997</v>
          </cell>
          <cell r="AD6">
            <v>2.6209999999999996</v>
          </cell>
          <cell r="AE6">
            <v>2.6269999999999998</v>
          </cell>
          <cell r="AF6">
            <v>2.65</v>
          </cell>
          <cell r="AG6">
            <v>2.641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ION"/>
      <sheetName val="UNITS"/>
      <sheetName val="Totalizer"/>
      <sheetName val="BOILERS"/>
      <sheetName val="EQUIPMENT outage"/>
      <sheetName val="Variance"/>
      <sheetName val="ASSET outage"/>
      <sheetName val="Equipment Status"/>
      <sheetName val="GRAPHS"/>
      <sheetName val="REMARKS"/>
      <sheetName val="KPI tracker"/>
      <sheetName val="KPI analysis"/>
    </sheetNames>
    <sheetDataSet>
      <sheetData sheetId="0"/>
      <sheetData sheetId="1"/>
      <sheetData sheetId="2"/>
      <sheetData sheetId="3">
        <row r="29">
          <cell r="D29">
            <v>29</v>
          </cell>
          <cell r="E29">
            <v>27.832263946533203</v>
          </cell>
          <cell r="F29">
            <v>25</v>
          </cell>
          <cell r="G29">
            <v>28</v>
          </cell>
          <cell r="H29">
            <v>31</v>
          </cell>
          <cell r="I29">
            <v>27.832263946533203</v>
          </cell>
          <cell r="J29">
            <v>29</v>
          </cell>
          <cell r="K29">
            <v>25</v>
          </cell>
          <cell r="L29">
            <v>33</v>
          </cell>
          <cell r="M29">
            <v>28.7</v>
          </cell>
          <cell r="N29">
            <v>30</v>
          </cell>
          <cell r="O29">
            <v>29</v>
          </cell>
          <cell r="P29">
            <v>30</v>
          </cell>
          <cell r="Q29">
            <v>27.832263946533203</v>
          </cell>
          <cell r="R29">
            <v>29</v>
          </cell>
          <cell r="S29">
            <v>30</v>
          </cell>
          <cell r="T29">
            <v>33</v>
          </cell>
          <cell r="U29">
            <v>31</v>
          </cell>
          <cell r="V29">
            <v>28</v>
          </cell>
          <cell r="W29">
            <v>30</v>
          </cell>
          <cell r="X29">
            <v>31</v>
          </cell>
          <cell r="Y29">
            <v>29</v>
          </cell>
          <cell r="Z29">
            <v>28</v>
          </cell>
          <cell r="AA29">
            <v>28.241119384765625</v>
          </cell>
          <cell r="AB29">
            <v>30</v>
          </cell>
          <cell r="AC29">
            <v>31</v>
          </cell>
          <cell r="AD29">
            <v>27</v>
          </cell>
          <cell r="AE29">
            <v>30</v>
          </cell>
          <cell r="AF29">
            <v>28.241119384765625</v>
          </cell>
          <cell r="AG29">
            <v>27.832263946533203</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J77"/>
  <sheetViews>
    <sheetView zoomScale="80" zoomScaleNormal="80" workbookViewId="0">
      <pane xSplit="4" ySplit="1" topLeftCell="E38" activePane="bottomRight" state="frozen"/>
      <selection pane="topRight" activeCell="E1" sqref="E1"/>
      <selection pane="bottomLeft" activeCell="A2" sqref="A2"/>
      <selection pane="bottomRight" activeCell="AC9" sqref="AC9"/>
    </sheetView>
  </sheetViews>
  <sheetFormatPr defaultColWidth="9.140625" defaultRowHeight="12.75" x14ac:dyDescent="0.2"/>
  <cols>
    <col min="1" max="1" width="40.85546875" style="35" customWidth="1"/>
    <col min="2" max="2" width="11.7109375" style="35" customWidth="1"/>
    <col min="3" max="3" width="13.5703125" style="35" customWidth="1"/>
    <col min="4" max="4" width="12.140625" style="35" customWidth="1"/>
    <col min="5" max="14" width="10.85546875" style="35" customWidth="1"/>
    <col min="15" max="15" width="10.85546875" style="200" customWidth="1"/>
    <col min="16" max="20" width="10.85546875" style="35" customWidth="1"/>
    <col min="21" max="22" width="10.85546875" style="31" customWidth="1"/>
    <col min="23" max="26" width="10.85546875" style="35" customWidth="1"/>
    <col min="27" max="27" width="11.42578125" style="35" customWidth="1"/>
    <col min="28" max="30" width="10.85546875" style="35" customWidth="1"/>
    <col min="31" max="31" width="11.28515625" style="35" customWidth="1"/>
    <col min="32" max="32" width="10.28515625" style="35" customWidth="1"/>
    <col min="33" max="33" width="10.140625" style="35" customWidth="1"/>
    <col min="34" max="34" width="20.28515625" style="35" customWidth="1"/>
    <col min="35" max="35" width="9.140625" style="35"/>
    <col min="36" max="36" width="10.42578125" style="35" bestFit="1" customWidth="1"/>
    <col min="37" max="16384" width="9.140625" style="35"/>
  </cols>
  <sheetData>
    <row r="1" spans="1:62" ht="41.25" customHeight="1" x14ac:dyDescent="0.2">
      <c r="A1" s="197" t="s">
        <v>489</v>
      </c>
      <c r="B1" s="434" t="s">
        <v>515</v>
      </c>
      <c r="C1" s="435"/>
      <c r="D1" s="435"/>
      <c r="E1" s="435"/>
      <c r="F1" s="435"/>
      <c r="G1" s="435"/>
      <c r="H1" s="435"/>
      <c r="I1" s="435"/>
      <c r="J1" s="435"/>
      <c r="K1" s="435"/>
      <c r="L1" s="435"/>
      <c r="M1" s="435"/>
      <c r="N1" s="435"/>
      <c r="O1" s="435"/>
      <c r="P1" s="435"/>
      <c r="Q1" s="435"/>
      <c r="R1" s="435"/>
      <c r="S1" s="435"/>
      <c r="T1" s="435"/>
      <c r="U1" s="435"/>
      <c r="V1" s="435"/>
      <c r="W1" s="435"/>
      <c r="X1" s="435"/>
      <c r="Y1" s="435"/>
      <c r="Z1" s="435"/>
      <c r="AA1" s="435"/>
      <c r="AB1" s="435"/>
      <c r="AC1" s="435"/>
      <c r="AD1" s="435"/>
      <c r="AE1" s="435"/>
      <c r="AF1" s="435"/>
      <c r="AG1" s="264"/>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row>
    <row r="2" spans="1:62" s="63" customFormat="1" ht="14.45" customHeight="1" x14ac:dyDescent="0.2">
      <c r="A2" s="67" t="s">
        <v>0</v>
      </c>
      <c r="B2" s="65" t="s">
        <v>1</v>
      </c>
      <c r="C2" s="65">
        <v>1</v>
      </c>
      <c r="D2" s="65">
        <v>2</v>
      </c>
      <c r="E2" s="65">
        <v>3</v>
      </c>
      <c r="F2" s="65">
        <v>4</v>
      </c>
      <c r="G2" s="65">
        <v>5</v>
      </c>
      <c r="H2" s="65">
        <v>6</v>
      </c>
      <c r="I2" s="65">
        <v>7</v>
      </c>
      <c r="J2" s="65">
        <v>8</v>
      </c>
      <c r="K2" s="65">
        <v>9</v>
      </c>
      <c r="L2" s="65">
        <v>10</v>
      </c>
      <c r="M2" s="65">
        <v>11</v>
      </c>
      <c r="N2" s="65">
        <v>12</v>
      </c>
      <c r="O2" s="271">
        <v>13</v>
      </c>
      <c r="P2" s="65">
        <v>14</v>
      </c>
      <c r="Q2" s="65">
        <v>15</v>
      </c>
      <c r="R2" s="65">
        <v>16</v>
      </c>
      <c r="S2" s="65">
        <v>17</v>
      </c>
      <c r="T2" s="65">
        <v>18</v>
      </c>
      <c r="U2" s="65">
        <v>19</v>
      </c>
      <c r="V2" s="65">
        <v>20</v>
      </c>
      <c r="W2" s="65">
        <v>21</v>
      </c>
      <c r="X2" s="65">
        <v>22</v>
      </c>
      <c r="Y2" s="65">
        <v>23</v>
      </c>
      <c r="Z2" s="65">
        <v>24</v>
      </c>
      <c r="AA2" s="65">
        <v>25</v>
      </c>
      <c r="AB2" s="65">
        <v>26</v>
      </c>
      <c r="AC2" s="65">
        <v>27</v>
      </c>
      <c r="AD2" s="65">
        <v>28</v>
      </c>
      <c r="AE2" s="65">
        <v>29</v>
      </c>
      <c r="AF2" s="65">
        <v>30</v>
      </c>
      <c r="AG2" s="65">
        <v>31</v>
      </c>
    </row>
    <row r="3" spans="1:62" ht="24" customHeight="1" x14ac:dyDescent="0.2">
      <c r="A3" s="198"/>
      <c r="B3" s="199"/>
      <c r="C3" s="440" t="s">
        <v>2</v>
      </c>
      <c r="D3" s="441"/>
      <c r="E3" s="441"/>
      <c r="F3" s="441"/>
      <c r="G3" s="441"/>
      <c r="H3" s="441"/>
      <c r="I3" s="441"/>
      <c r="J3" s="441"/>
      <c r="K3" s="441"/>
      <c r="L3" s="441"/>
      <c r="M3" s="441"/>
      <c r="N3" s="441"/>
      <c r="O3" s="441"/>
      <c r="P3" s="441"/>
      <c r="Q3" s="441"/>
      <c r="R3" s="441"/>
      <c r="S3" s="441"/>
      <c r="T3" s="441"/>
      <c r="U3" s="441"/>
      <c r="V3" s="441"/>
      <c r="W3" s="441"/>
      <c r="X3" s="441"/>
      <c r="Y3" s="441"/>
      <c r="Z3" s="441"/>
      <c r="AA3" s="441"/>
      <c r="AB3" s="441"/>
      <c r="AC3" s="441"/>
      <c r="AD3" s="441"/>
      <c r="AE3" s="441"/>
      <c r="AF3" s="441"/>
      <c r="AG3" s="441"/>
    </row>
    <row r="4" spans="1:62" ht="30" customHeight="1" x14ac:dyDescent="0.2">
      <c r="A4" s="432" t="s">
        <v>3</v>
      </c>
      <c r="B4" s="433"/>
      <c r="C4" s="436" t="s">
        <v>540</v>
      </c>
      <c r="D4" s="437"/>
      <c r="E4" s="437"/>
      <c r="F4" s="437"/>
      <c r="G4" s="437"/>
      <c r="H4" s="437"/>
      <c r="I4" s="437"/>
      <c r="J4" s="437"/>
      <c r="K4" s="437"/>
      <c r="L4" s="437"/>
      <c r="M4" s="437"/>
      <c r="N4" s="437"/>
      <c r="O4" s="437"/>
      <c r="P4" s="437"/>
      <c r="Q4" s="437"/>
      <c r="R4" s="437"/>
      <c r="S4" s="437"/>
      <c r="T4" s="437"/>
      <c r="U4" s="437"/>
      <c r="V4" s="437"/>
      <c r="W4" s="437"/>
      <c r="X4" s="437"/>
      <c r="Y4" s="437"/>
      <c r="Z4" s="437"/>
      <c r="AA4" s="437"/>
      <c r="AB4" s="437"/>
      <c r="AC4" s="437"/>
      <c r="AD4" s="437"/>
      <c r="AE4" s="437"/>
      <c r="AF4" s="437"/>
      <c r="AG4" s="437"/>
    </row>
    <row r="5" spans="1:62" ht="30" customHeight="1" x14ac:dyDescent="0.2">
      <c r="A5" s="17" t="s">
        <v>4</v>
      </c>
      <c r="B5" s="18" t="s">
        <v>5</v>
      </c>
      <c r="C5" s="8">
        <f>UNITS!C6+UNITS!C33+UNITS!C60</f>
        <v>2.3840580394744872</v>
      </c>
      <c r="D5" s="8">
        <f>UNITS!D6+UNITS!D33+UNITS!D60</f>
        <v>2.3129555000000002</v>
      </c>
      <c r="E5" s="8">
        <f>UNITS!E6+UNITS!E33+UNITS!E60</f>
        <v>2.4289485000000002</v>
      </c>
      <c r="F5" s="8">
        <f>UNITS!F6+UNITS!F33+UNITS!F60</f>
        <v>2.4249424999999998</v>
      </c>
      <c r="G5" s="8">
        <f>UNITS!G6+UNITS!G33+UNITS!G60</f>
        <v>2.5000339999999994</v>
      </c>
      <c r="H5" s="8">
        <f>UNITS!H6+UNITS!H33+UNITS!H60</f>
        <v>2.611316</v>
      </c>
      <c r="I5" s="8">
        <f>UNITS!I6+UNITS!I33+UNITS!I60</f>
        <v>2.7255950000000002</v>
      </c>
      <c r="J5" s="8">
        <f>UNITS!J6+UNITS!J33+UNITS!J60</f>
        <v>2.7123650000000001</v>
      </c>
      <c r="K5" s="8">
        <f>UNITS!K6+UNITS!K33+UNITS!K60</f>
        <v>2.6392064999999998</v>
      </c>
      <c r="L5" s="8">
        <f>UNITS!L6+UNITS!L33+UNITS!L60</f>
        <v>2.7340930000000006</v>
      </c>
      <c r="M5" s="8">
        <f>UNITS!M6+UNITS!M33+UNITS!M60</f>
        <v>2.7707059999999997</v>
      </c>
      <c r="N5" s="8">
        <f>UNITS!N6+UNITS!N33+UNITS!N60</f>
        <v>2.8097189999999994</v>
      </c>
      <c r="O5" s="8">
        <f>UNITS!O6+UNITS!O33+UNITS!O60</f>
        <v>2.8848939999999996</v>
      </c>
      <c r="P5" s="8">
        <f>UNITS!P6+UNITS!P33+UNITS!P60</f>
        <v>2.8675980000000001</v>
      </c>
      <c r="Q5" s="8">
        <f>UNITS!Q6+UNITS!Q33+UNITS!Q60</f>
        <v>2.904188</v>
      </c>
      <c r="R5" s="8">
        <f>UNITS!R6+UNITS!R33+UNITS!R60</f>
        <v>2.878787</v>
      </c>
      <c r="S5" s="8">
        <f>UNITS!S6+UNITS!S33+UNITS!S60</f>
        <v>2.8275929999999998</v>
      </c>
      <c r="T5" s="8">
        <f>UNITS!T6+UNITS!T33+UNITS!T60</f>
        <v>2.8460290000000001</v>
      </c>
      <c r="U5" s="8">
        <f>UNITS!U6+UNITS!U33+UNITS!U60</f>
        <v>2.8275500000000005</v>
      </c>
      <c r="V5" s="8">
        <f>UNITS!V6+UNITS!V33+UNITS!V60</f>
        <v>2.8452089999999997</v>
      </c>
      <c r="W5" s="8">
        <f>UNITS!W6+UNITS!W33+UNITS!W60</f>
        <v>2.8941430000000006</v>
      </c>
      <c r="X5" s="8">
        <f>UNITS!X6+UNITS!X33+UNITS!X60</f>
        <v>2.8720529999999997</v>
      </c>
      <c r="Y5" s="8">
        <f>UNITS!Y6+UNITS!Y33+UNITS!Y60</f>
        <v>2.8400769999999995</v>
      </c>
      <c r="Z5" s="8">
        <f>UNITS!Z6+UNITS!Z33+UNITS!Z60</f>
        <v>2.8372950000000001</v>
      </c>
      <c r="AA5" s="8">
        <f>UNITS!AA6+UNITS!AA33+UNITS!AA60</f>
        <v>2.0881850000000002</v>
      </c>
      <c r="AB5" s="8">
        <f>UNITS!AB6+UNITS!AB33+UNITS!AB60</f>
        <v>2.7670999843749993</v>
      </c>
      <c r="AC5" s="8">
        <f>UNITS!AC6+UNITS!AC33+UNITS!AC60</f>
        <v>2.412439</v>
      </c>
      <c r="AD5" s="8">
        <f>UNITS!AD6+UNITS!AD33+UNITS!AD60</f>
        <v>2.285704</v>
      </c>
      <c r="AE5" s="8">
        <f>UNITS!AE6+UNITS!AE33+UNITS!AE60</f>
        <v>2.3596870000000005</v>
      </c>
      <c r="AF5" s="8">
        <f>UNITS!AF6+UNITS!AF33+UNITS!AF60</f>
        <v>2.4633424375000001</v>
      </c>
      <c r="AG5" s="8">
        <f>UNITS!AG6+UNITS!AG33+UNITS!AG60</f>
        <v>2.5973700000000002</v>
      </c>
    </row>
    <row r="6" spans="1:62" ht="30" customHeight="1" x14ac:dyDescent="0.2">
      <c r="A6" s="17" t="s">
        <v>6</v>
      </c>
      <c r="B6" s="18" t="s">
        <v>5</v>
      </c>
      <c r="C6" s="8">
        <f>UNITS!C7+UNITS!C34+UNITS!C61</f>
        <v>2.3719999999999999</v>
      </c>
      <c r="D6" s="8">
        <f>UNITS!D7+UNITS!D34+UNITS!D61</f>
        <v>2.3029999999999999</v>
      </c>
      <c r="E6" s="8">
        <f>UNITS!E7+UNITS!E34+UNITS!E61</f>
        <v>2.3029999999999999</v>
      </c>
      <c r="F6" s="8">
        <f>UNITS!F7+UNITS!F34+UNITS!F61</f>
        <v>2.4119999999999999</v>
      </c>
      <c r="G6" s="8">
        <f>UNITS!G7+UNITS!G34+UNITS!G61</f>
        <v>2.4900000000000002</v>
      </c>
      <c r="H6" s="8">
        <f>UNITS!H7+UNITS!H34+UNITS!H61</f>
        <v>2.6040000000000001</v>
      </c>
      <c r="I6" s="8">
        <f>UNITS!I7+UNITS!I34+UNITS!I61</f>
        <v>2.726</v>
      </c>
      <c r="J6" s="8">
        <f>UNITS!J7+UNITS!J34+UNITS!J61</f>
        <v>2.7050000000000001</v>
      </c>
      <c r="K6" s="8">
        <f>UNITS!K7+UNITS!K34+UNITS!K61</f>
        <v>2.6360000000000001</v>
      </c>
      <c r="L6" s="8">
        <f>UNITS!L7+UNITS!L34+UNITS!L61</f>
        <v>2.73</v>
      </c>
      <c r="M6" s="8">
        <f>UNITS!M7+UNITS!M34+UNITS!M61</f>
        <v>2.7590000000000003</v>
      </c>
      <c r="N6" s="8">
        <f>UNITS!N7+UNITS!N34+UNITS!N61</f>
        <v>2.8050000000000002</v>
      </c>
      <c r="O6" s="8">
        <f>UNITS!O7+UNITS!O34+UNITS!O61</f>
        <v>2.8870000000000005</v>
      </c>
      <c r="P6" s="8">
        <f>UNITS!P7+UNITS!P34+UNITS!P61</f>
        <v>2.86</v>
      </c>
      <c r="Q6" s="8">
        <f>UNITS!Q7+UNITS!Q34+UNITS!Q61</f>
        <v>2.891</v>
      </c>
      <c r="R6" s="8">
        <f>UNITS!R7+UNITS!R34+UNITS!R61</f>
        <v>2.8759999999999999</v>
      </c>
      <c r="S6" s="8">
        <f>UNITS!S7+UNITS!S34+UNITS!S61</f>
        <v>2.819</v>
      </c>
      <c r="T6" s="8">
        <f>UNITS!T7+UNITS!T34+UNITS!T61</f>
        <v>2.8389999999999995</v>
      </c>
      <c r="U6" s="8">
        <f>UNITS!U7+UNITS!U34+UNITS!U61</f>
        <v>2.823</v>
      </c>
      <c r="V6" s="8">
        <f>UNITS!V7+UNITS!V34+UNITS!V61</f>
        <v>2.8410000000000002</v>
      </c>
      <c r="W6" s="8">
        <f>UNITS!W7+UNITS!W34+UNITS!W61</f>
        <v>2.8849999999999998</v>
      </c>
      <c r="X6" s="8">
        <f>UNITS!X7+UNITS!X34+UNITS!X61</f>
        <v>2.8620000000000001</v>
      </c>
      <c r="Y6" s="8">
        <f>UNITS!Y7+UNITS!Y34+UNITS!Y61</f>
        <v>2.8320000000000003</v>
      </c>
      <c r="Z6" s="8">
        <f>UNITS!Z7+UNITS!Z34+UNITS!Z61</f>
        <v>2.8570000000000002</v>
      </c>
      <c r="AA6" s="8">
        <f>UNITS!AA7+UNITS!AA34+UNITS!AA61</f>
        <v>2.0489999999999999</v>
      </c>
      <c r="AB6" s="8">
        <f>UNITS!AB7+UNITS!AB34+UNITS!AB61</f>
        <v>2.7610000000000001</v>
      </c>
      <c r="AC6" s="8">
        <f>UNITS!AC7+UNITS!AC34+UNITS!AC61</f>
        <v>2.4079999999999999</v>
      </c>
      <c r="AD6" s="8">
        <f>UNITS!AD7+UNITS!AD34+UNITS!AD61</f>
        <v>2.274</v>
      </c>
      <c r="AE6" s="8">
        <f>UNITS!AE7+UNITS!AE34+UNITS!AE61</f>
        <v>2.3499999999999996</v>
      </c>
      <c r="AF6" s="8">
        <f>UNITS!AF7+UNITS!AF34+UNITS!AF61</f>
        <v>2.456</v>
      </c>
      <c r="AG6" s="8">
        <f>UNITS!AG7+UNITS!AG34+UNITS!AG61</f>
        <v>2.5859999999999999</v>
      </c>
      <c r="AH6" s="424">
        <f>AG7-AG22</f>
        <v>76.618896039474478</v>
      </c>
    </row>
    <row r="7" spans="1:62" ht="30" customHeight="1" x14ac:dyDescent="0.2">
      <c r="A7" s="17" t="s">
        <v>7</v>
      </c>
      <c r="B7" s="18" t="s">
        <v>5</v>
      </c>
      <c r="C7" s="3">
        <f>C5</f>
        <v>2.3840580394744872</v>
      </c>
      <c r="D7" s="3">
        <f t="shared" ref="D7" si="0">C7+D5</f>
        <v>4.6970135394744874</v>
      </c>
      <c r="E7" s="3">
        <f t="shared" ref="E7:N7" si="1">D7+E5</f>
        <v>7.1259620394744871</v>
      </c>
      <c r="F7" s="3">
        <f t="shared" si="1"/>
        <v>9.5509045394744874</v>
      </c>
      <c r="G7" s="3">
        <f t="shared" si="1"/>
        <v>12.050938539474487</v>
      </c>
      <c r="H7" s="3">
        <f t="shared" si="1"/>
        <v>14.662254539474487</v>
      </c>
      <c r="I7" s="3">
        <f t="shared" si="1"/>
        <v>17.387849539474487</v>
      </c>
      <c r="J7" s="3">
        <f t="shared" si="1"/>
        <v>20.100214539474486</v>
      </c>
      <c r="K7" s="3">
        <f t="shared" si="1"/>
        <v>22.739421039474486</v>
      </c>
      <c r="L7" s="3">
        <f t="shared" si="1"/>
        <v>25.473514039474487</v>
      </c>
      <c r="M7" s="3">
        <f t="shared" si="1"/>
        <v>28.244220039474488</v>
      </c>
      <c r="N7" s="3">
        <f t="shared" si="1"/>
        <v>31.053939039474486</v>
      </c>
      <c r="O7" s="3">
        <f t="shared" ref="O7:AG7" si="2">N7+O5</f>
        <v>33.938833039474488</v>
      </c>
      <c r="P7" s="3">
        <f t="shared" si="2"/>
        <v>36.806431039474489</v>
      </c>
      <c r="Q7" s="3">
        <f t="shared" si="2"/>
        <v>39.710619039474487</v>
      </c>
      <c r="R7" s="3">
        <f t="shared" si="2"/>
        <v>42.58940603947449</v>
      </c>
      <c r="S7" s="3">
        <f t="shared" si="2"/>
        <v>45.41699903947449</v>
      </c>
      <c r="T7" s="3">
        <f t="shared" si="2"/>
        <v>48.263028039474491</v>
      </c>
      <c r="U7" s="3">
        <f t="shared" si="2"/>
        <v>51.090578039474494</v>
      </c>
      <c r="V7" s="3">
        <f t="shared" si="2"/>
        <v>53.935787039474491</v>
      </c>
      <c r="W7" s="3">
        <f t="shared" si="2"/>
        <v>56.82993003947449</v>
      </c>
      <c r="X7" s="3">
        <f t="shared" si="2"/>
        <v>59.701983039474491</v>
      </c>
      <c r="Y7" s="3">
        <f t="shared" si="2"/>
        <v>62.542060039474492</v>
      </c>
      <c r="Z7" s="3">
        <f t="shared" si="2"/>
        <v>65.37935503947449</v>
      </c>
      <c r="AA7" s="3">
        <f t="shared" si="2"/>
        <v>67.467540039474486</v>
      </c>
      <c r="AB7" s="3">
        <f t="shared" si="2"/>
        <v>70.234640023849479</v>
      </c>
      <c r="AC7" s="3">
        <f t="shared" si="2"/>
        <v>72.647079023849486</v>
      </c>
      <c r="AD7" s="3">
        <f t="shared" si="2"/>
        <v>74.932783023849481</v>
      </c>
      <c r="AE7" s="3">
        <f t="shared" si="2"/>
        <v>77.292470023849475</v>
      </c>
      <c r="AF7" s="3">
        <f t="shared" si="2"/>
        <v>79.755812461349478</v>
      </c>
      <c r="AG7" s="3">
        <f t="shared" si="2"/>
        <v>82.353182461349476</v>
      </c>
      <c r="AH7" s="68">
        <f>AG7-AG22</f>
        <v>76.618896039474478</v>
      </c>
      <c r="AJ7" s="298"/>
    </row>
    <row r="8" spans="1:62" ht="30" customHeight="1" x14ac:dyDescent="0.2">
      <c r="A8" s="17" t="s">
        <v>8</v>
      </c>
      <c r="B8" s="18" t="s">
        <v>5</v>
      </c>
      <c r="C8" s="278">
        <f>83.6154+C7</f>
        <v>85.999458039474476</v>
      </c>
      <c r="D8" s="278">
        <f>83.6154+D7</f>
        <v>88.312413539474477</v>
      </c>
      <c r="E8" s="278">
        <f t="shared" ref="E8:F8" si="3">83.6154+E7</f>
        <v>90.741362039474481</v>
      </c>
      <c r="F8" s="278">
        <f t="shared" si="3"/>
        <v>93.166304539474481</v>
      </c>
      <c r="G8" s="278">
        <f t="shared" ref="G8:H8" si="4">83.6154+G7</f>
        <v>95.666338539474481</v>
      </c>
      <c r="H8" s="278">
        <f t="shared" si="4"/>
        <v>98.277654539474483</v>
      </c>
      <c r="I8" s="278">
        <f t="shared" ref="I8:J8" si="5">83.6154+I7</f>
        <v>101.00324953947448</v>
      </c>
      <c r="J8" s="278">
        <f t="shared" si="5"/>
        <v>103.71561453947447</v>
      </c>
      <c r="K8" s="278">
        <f t="shared" ref="K8:L8" si="6">83.6154+K7</f>
        <v>106.35482103947447</v>
      </c>
      <c r="L8" s="278">
        <f t="shared" si="6"/>
        <v>109.08891403947447</v>
      </c>
      <c r="M8" s="278">
        <f t="shared" ref="M8:N8" si="7">83.6154+M7</f>
        <v>111.85962003947448</v>
      </c>
      <c r="N8" s="278">
        <f t="shared" si="7"/>
        <v>114.66933903947448</v>
      </c>
      <c r="O8" s="278">
        <f t="shared" ref="O8:T8" si="8">83.6154+O7</f>
        <v>117.55423303947448</v>
      </c>
      <c r="P8" s="278">
        <f t="shared" si="8"/>
        <v>120.42183103947448</v>
      </c>
      <c r="Q8" s="278">
        <f t="shared" si="8"/>
        <v>123.32601903947449</v>
      </c>
      <c r="R8" s="278">
        <f t="shared" si="8"/>
        <v>126.20480603947448</v>
      </c>
      <c r="S8" s="278">
        <f t="shared" si="8"/>
        <v>129.03239903947448</v>
      </c>
      <c r="T8" s="278">
        <f t="shared" si="8"/>
        <v>131.8784280394745</v>
      </c>
      <c r="U8" s="278">
        <f t="shared" ref="U8:V8" si="9">83.6154+U7</f>
        <v>134.70597803947447</v>
      </c>
      <c r="V8" s="278">
        <f t="shared" si="9"/>
        <v>137.55118703947448</v>
      </c>
      <c r="W8" s="278">
        <f t="shared" ref="W8:X8" si="10">83.6154+W7</f>
        <v>140.44533003947447</v>
      </c>
      <c r="X8" s="278">
        <f t="shared" si="10"/>
        <v>143.31738303947449</v>
      </c>
      <c r="Y8" s="278">
        <f t="shared" ref="Y8:Z8" si="11">83.6154+Y7</f>
        <v>146.15746003947447</v>
      </c>
      <c r="Z8" s="278">
        <f t="shared" si="11"/>
        <v>148.99475503947448</v>
      </c>
      <c r="AA8" s="278">
        <f t="shared" ref="AA8:AB8" si="12">83.6154+AA7</f>
        <v>151.08294003947447</v>
      </c>
      <c r="AB8" s="278">
        <f t="shared" si="12"/>
        <v>153.85004002384949</v>
      </c>
      <c r="AC8" s="278">
        <f t="shared" ref="AC8:AD8" si="13">83.6154+AC7</f>
        <v>156.26247902384949</v>
      </c>
      <c r="AD8" s="278">
        <f t="shared" si="13"/>
        <v>158.54818302384948</v>
      </c>
      <c r="AE8" s="278">
        <f t="shared" ref="AE8:AF8" si="14">83.6154+AE7</f>
        <v>160.90787002384945</v>
      </c>
      <c r="AF8" s="278">
        <f t="shared" si="14"/>
        <v>163.37121246134947</v>
      </c>
      <c r="AG8" s="278">
        <f t="shared" ref="AG8" si="15">83.6154+AG7</f>
        <v>165.96858246134946</v>
      </c>
    </row>
    <row r="9" spans="1:62" ht="30" customHeight="1" x14ac:dyDescent="0.2">
      <c r="A9" s="43" t="s">
        <v>9</v>
      </c>
      <c r="B9" s="44" t="s">
        <v>10</v>
      </c>
      <c r="C9" s="331">
        <f>(C5*1000)/24</f>
        <v>99.335751644770298</v>
      </c>
      <c r="D9" s="331">
        <f t="shared" ref="D9:E9" si="16">(D5*1000)/24</f>
        <v>96.373145833333339</v>
      </c>
      <c r="E9" s="331">
        <f t="shared" si="16"/>
        <v>101.2061875</v>
      </c>
      <c r="F9" s="331">
        <f t="shared" ref="F9:G9" si="17">(F5*1000)/24</f>
        <v>101.03927083333332</v>
      </c>
      <c r="G9" s="331">
        <f t="shared" si="17"/>
        <v>104.16808333333331</v>
      </c>
      <c r="H9" s="331">
        <f t="shared" ref="H9:I9" si="18">(H5*1000)/24</f>
        <v>108.80483333333332</v>
      </c>
      <c r="I9" s="331">
        <f t="shared" si="18"/>
        <v>113.56645833333334</v>
      </c>
      <c r="J9" s="331">
        <f t="shared" ref="J9:K9" si="19">(J5*1000)/24</f>
        <v>113.01520833333335</v>
      </c>
      <c r="K9" s="331">
        <f t="shared" si="19"/>
        <v>109.96693749999999</v>
      </c>
      <c r="L9" s="331">
        <f t="shared" ref="L9:M9" si="20">(L5*1000)/24</f>
        <v>113.92054166666669</v>
      </c>
      <c r="M9" s="331">
        <f t="shared" si="20"/>
        <v>115.44608333333332</v>
      </c>
      <c r="N9" s="331">
        <f t="shared" ref="N9" si="21">(N5*1000)/24</f>
        <v>117.07162499999998</v>
      </c>
      <c r="O9" s="331">
        <f t="shared" ref="O9:T9" si="22">(O5*1000)/24</f>
        <v>120.20391666666666</v>
      </c>
      <c r="P9" s="331">
        <f t="shared" si="22"/>
        <v>119.48325</v>
      </c>
      <c r="Q9" s="331">
        <f t="shared" si="22"/>
        <v>121.00783333333334</v>
      </c>
      <c r="R9" s="331">
        <f t="shared" si="22"/>
        <v>119.94945833333333</v>
      </c>
      <c r="S9" s="331">
        <f t="shared" si="22"/>
        <v>117.81637499999999</v>
      </c>
      <c r="T9" s="331">
        <f t="shared" si="22"/>
        <v>118.58454166666667</v>
      </c>
      <c r="U9" s="331">
        <f t="shared" ref="U9:V9" si="23">(U5*1000)/24</f>
        <v>117.81458333333336</v>
      </c>
      <c r="V9" s="331">
        <f t="shared" si="23"/>
        <v>118.55037499999999</v>
      </c>
      <c r="W9" s="331">
        <f t="shared" ref="W9:X9" si="24">(W5*1000)/24</f>
        <v>120.58929166666668</v>
      </c>
      <c r="X9" s="331">
        <f t="shared" si="24"/>
        <v>119.668875</v>
      </c>
      <c r="Y9" s="331">
        <f t="shared" ref="Y9:Z9" si="25">(Y5*1000)/24</f>
        <v>118.33654166666663</v>
      </c>
      <c r="Z9" s="331">
        <f t="shared" si="25"/>
        <v>118.220625</v>
      </c>
      <c r="AA9" s="331">
        <f t="shared" ref="AA9:AB9" si="26">(AA5*1000)/24</f>
        <v>87.007708333333355</v>
      </c>
      <c r="AB9" s="331">
        <f t="shared" si="26"/>
        <v>115.29583268229163</v>
      </c>
      <c r="AC9" s="331">
        <f t="shared" ref="AC9:AD9" si="27">(AC5*1000)/24</f>
        <v>100.51829166666666</v>
      </c>
      <c r="AD9" s="331">
        <f t="shared" si="27"/>
        <v>95.237666666666669</v>
      </c>
      <c r="AE9" s="331">
        <f t="shared" ref="AE9:AF9" si="28">(AE5*1000)/24</f>
        <v>98.320291666666677</v>
      </c>
      <c r="AF9" s="331">
        <f t="shared" si="28"/>
        <v>102.63926822916666</v>
      </c>
      <c r="AG9" s="331">
        <f t="shared" ref="AG9" si="29">(AG5*1000)/24</f>
        <v>108.22375000000001</v>
      </c>
      <c r="AH9" s="68">
        <f>AH7-AG46</f>
        <v>74.871370039474485</v>
      </c>
      <c r="AI9" s="297"/>
    </row>
    <row r="10" spans="1:62" ht="30" customHeight="1" x14ac:dyDescent="0.2">
      <c r="A10" s="43" t="s">
        <v>484</v>
      </c>
      <c r="B10" s="44" t="s">
        <v>10</v>
      </c>
      <c r="C10" s="331">
        <v>117</v>
      </c>
      <c r="D10" s="331">
        <v>118</v>
      </c>
      <c r="E10" s="331">
        <v>107.06028747558594</v>
      </c>
      <c r="F10" s="331">
        <v>103.46729278564453</v>
      </c>
      <c r="G10" s="331">
        <v>107.21483612060547</v>
      </c>
      <c r="H10" s="331">
        <v>114.31290435791016</v>
      </c>
      <c r="I10" s="331">
        <v>117.38066864013672</v>
      </c>
      <c r="J10" s="331">
        <v>117.98412322998047</v>
      </c>
      <c r="K10" s="331">
        <v>112.41854095458984</v>
      </c>
      <c r="L10" s="331">
        <v>119.29425811767578</v>
      </c>
      <c r="M10" s="331">
        <v>119.29425811767578</v>
      </c>
      <c r="N10" s="331">
        <v>120.16030883789063</v>
      </c>
      <c r="O10" s="331">
        <v>122.58605194091797</v>
      </c>
      <c r="P10" s="331">
        <v>122.3221435546875</v>
      </c>
      <c r="Q10" s="331">
        <v>123.49467468261719</v>
      </c>
      <c r="R10" s="331">
        <v>123.32063293457031</v>
      </c>
      <c r="S10" s="331">
        <v>120.00534820556641</v>
      </c>
      <c r="T10" s="331">
        <v>122.47000122070313</v>
      </c>
      <c r="U10" s="331">
        <v>120.16082763671875</v>
      </c>
      <c r="V10" s="331">
        <v>122.56981658935547</v>
      </c>
      <c r="W10" s="331">
        <v>123.51012420654297</v>
      </c>
      <c r="X10" s="331">
        <v>122.35952758789063</v>
      </c>
      <c r="Y10" s="331">
        <v>122.06842803955078</v>
      </c>
      <c r="Z10" s="331">
        <v>121.39466857910156</v>
      </c>
      <c r="AA10" s="331">
        <v>121.30086517333984</v>
      </c>
      <c r="AB10" s="331">
        <v>122.78868103027344</v>
      </c>
      <c r="AC10" s="331">
        <v>115.96620178222656</v>
      </c>
      <c r="AD10" s="331">
        <v>97.265373229980469</v>
      </c>
      <c r="AE10" s="331">
        <v>100.78304290771484</v>
      </c>
      <c r="AF10" s="331">
        <v>106.36967468261719</v>
      </c>
      <c r="AG10" s="331">
        <v>112.48606109619141</v>
      </c>
      <c r="AI10" s="297"/>
    </row>
    <row r="11" spans="1:62" ht="30" customHeight="1" x14ac:dyDescent="0.2">
      <c r="A11" s="43" t="s">
        <v>485</v>
      </c>
      <c r="B11" s="44" t="s">
        <v>10</v>
      </c>
      <c r="C11" s="331">
        <v>0</v>
      </c>
      <c r="D11" s="331">
        <v>0</v>
      </c>
      <c r="E11" s="331">
        <v>99.058441162109375</v>
      </c>
      <c r="F11" s="331">
        <v>99.831443786621094</v>
      </c>
      <c r="G11" s="331">
        <v>102.122314453125</v>
      </c>
      <c r="H11" s="331">
        <v>106.93824005126953</v>
      </c>
      <c r="I11" s="331">
        <v>112.33278656005859</v>
      </c>
      <c r="J11" s="331">
        <v>109.67540740966797</v>
      </c>
      <c r="K11" s="331">
        <v>109.54961395263672</v>
      </c>
      <c r="L11" s="331">
        <v>111.29969024658203</v>
      </c>
      <c r="M11" s="331">
        <v>113.68569946289063</v>
      </c>
      <c r="N11" s="331">
        <v>116.30159759521484</v>
      </c>
      <c r="O11" s="331">
        <v>119.53584289550781</v>
      </c>
      <c r="P11" s="331">
        <v>118.35950469970703</v>
      </c>
      <c r="Q11" s="331">
        <v>120.02589416503906</v>
      </c>
      <c r="R11" s="331">
        <v>117.50869750976563</v>
      </c>
      <c r="S11" s="331">
        <v>117.232421875</v>
      </c>
      <c r="T11" s="331">
        <v>114.73268127441406</v>
      </c>
      <c r="U11" s="331">
        <v>116.39152526855469</v>
      </c>
      <c r="V11" s="331">
        <v>116.73294067382813</v>
      </c>
      <c r="W11" s="331">
        <v>119.42515563964844</v>
      </c>
      <c r="X11" s="331">
        <v>118.51567077636719</v>
      </c>
      <c r="Y11" s="331">
        <v>117.60578918457031</v>
      </c>
      <c r="Z11" s="331">
        <v>117.05319976806641</v>
      </c>
      <c r="AA11" s="331">
        <v>74.927864074707031</v>
      </c>
      <c r="AB11" s="331">
        <v>101.41889953613281</v>
      </c>
      <c r="AC11" s="331">
        <v>93.967674255371094</v>
      </c>
      <c r="AD11" s="331">
        <v>94.482406616210938</v>
      </c>
      <c r="AE11" s="331">
        <v>96.528968811035156</v>
      </c>
      <c r="AF11" s="331">
        <v>99.069366455078125</v>
      </c>
      <c r="AG11" s="331">
        <v>105.57306671142578</v>
      </c>
      <c r="AI11" s="297"/>
    </row>
    <row r="12" spans="1:62" ht="30" customHeight="1" x14ac:dyDescent="0.2">
      <c r="A12" s="17" t="s">
        <v>11</v>
      </c>
      <c r="B12" s="18" t="s">
        <v>10</v>
      </c>
      <c r="C12" s="332">
        <f>(81.1-C7)/(31-C2)*1000/24</f>
        <v>109.32769716739654</v>
      </c>
      <c r="D12" s="332">
        <f>(81.1-D7)/(31-D2)*1000/24</f>
        <v>109.77440583408837</v>
      </c>
      <c r="E12" s="332">
        <f t="shared" ref="E12:F12" si="30">(81.1-E7)/(31-E2)*1000/24</f>
        <v>110.0804136317344</v>
      </c>
      <c r="F12" s="332">
        <f t="shared" si="30"/>
        <v>110.41527077241591</v>
      </c>
      <c r="G12" s="332">
        <f t="shared" ref="G12:K12" si="31">(81.1-G7)/(31-G2)*1000/24</f>
        <v>110.65554721238061</v>
      </c>
      <c r="H12" s="332">
        <f t="shared" si="31"/>
        <v>110.72957576754253</v>
      </c>
      <c r="I12" s="332">
        <f t="shared" si="31"/>
        <v>110.61137232730123</v>
      </c>
      <c r="J12" s="332">
        <f t="shared" si="31"/>
        <v>110.50685771834331</v>
      </c>
      <c r="K12" s="332">
        <f t="shared" si="31"/>
        <v>110.53139954644983</v>
      </c>
      <c r="L12" s="332">
        <f t="shared" ref="L12:M12" si="32">(81.1-L7)/(31-L2)*1000/24</f>
        <v>110.37001182643951</v>
      </c>
      <c r="M12" s="332">
        <f t="shared" si="32"/>
        <v>110.1162082510948</v>
      </c>
      <c r="N12" s="332">
        <f t="shared" ref="N12" si="33">(81.1-N7)/(31-N2)*1000/24</f>
        <v>109.75013368536297</v>
      </c>
      <c r="O12" s="332">
        <f t="shared" ref="O12:T12" si="34">(81.1-O7)/(31-O2)*1000/24</f>
        <v>109.16936796417941</v>
      </c>
      <c r="P12" s="332">
        <f t="shared" si="34"/>
        <v>108.56266902089584</v>
      </c>
      <c r="Q12" s="332">
        <f t="shared" si="34"/>
        <v>107.78484625136851</v>
      </c>
      <c r="R12" s="332">
        <f t="shared" si="34"/>
        <v>106.97387211257085</v>
      </c>
      <c r="S12" s="332">
        <f t="shared" si="34"/>
        <v>106.19940762061162</v>
      </c>
      <c r="T12" s="332">
        <f t="shared" si="34"/>
        <v>105.24670500168429</v>
      </c>
      <c r="U12" s="332">
        <f t="shared" ref="U12:V12" si="35">(81.1-U7)/(31-U2)*1000/24</f>
        <v>104.19938180738022</v>
      </c>
      <c r="V12" s="332">
        <f t="shared" si="35"/>
        <v>102.89474606259661</v>
      </c>
      <c r="W12" s="332">
        <f t="shared" ref="W12:X12" si="36">(81.1-W7)/(31-W2)*1000/24</f>
        <v>101.1252915021896</v>
      </c>
      <c r="X12" s="332">
        <f t="shared" si="36"/>
        <v>99.064893335766214</v>
      </c>
      <c r="Y12" s="332">
        <f t="shared" ref="Y12:Z12" si="37">(81.1-Y7)/(31-Y2)*1000/24</f>
        <v>96.655937294403657</v>
      </c>
      <c r="Z12" s="332">
        <f t="shared" si="37"/>
        <v>93.575267622175616</v>
      </c>
      <c r="AA12" s="332">
        <f t="shared" ref="AA12:AB12" si="38">(81.1-AA7)/(31-AA2)*1000/24</f>
        <v>94.669860836982707</v>
      </c>
      <c r="AB12" s="332">
        <f t="shared" si="38"/>
        <v>90.544666467920948</v>
      </c>
      <c r="AC12" s="332">
        <f t="shared" ref="AC12:AE12" si="39">(81.1-AC7)/(31-AC2)*1000/24</f>
        <v>88.051260168234464</v>
      </c>
      <c r="AD12" s="332">
        <f t="shared" si="39"/>
        <v>85.655791335423785</v>
      </c>
      <c r="AE12" s="332">
        <f t="shared" si="39"/>
        <v>79.323541169802482</v>
      </c>
      <c r="AF12" s="332">
        <f t="shared" ref="AF12:AG12" si="40">(81.1-AF7)/(31-AF2)*1000/24</f>
        <v>56.007814110438169</v>
      </c>
      <c r="AG12" s="332" t="e">
        <f t="shared" si="40"/>
        <v>#DIV/0!</v>
      </c>
    </row>
    <row r="13" spans="1:62" ht="12" customHeight="1" x14ac:dyDescent="0.2">
      <c r="A13" s="438"/>
      <c r="B13" s="439"/>
      <c r="C13" s="439"/>
      <c r="D13" s="439"/>
      <c r="E13" s="439"/>
      <c r="F13" s="439"/>
      <c r="G13" s="439"/>
      <c r="H13" s="439"/>
      <c r="I13" s="439"/>
      <c r="J13" s="439"/>
      <c r="K13" s="439"/>
      <c r="L13" s="439"/>
      <c r="M13" s="439"/>
      <c r="N13" s="439"/>
      <c r="O13" s="439"/>
      <c r="P13" s="439"/>
      <c r="Q13" s="439"/>
      <c r="R13" s="439"/>
      <c r="S13" s="439"/>
      <c r="T13" s="439"/>
      <c r="U13" s="439"/>
      <c r="V13" s="439"/>
      <c r="W13" s="439"/>
      <c r="X13" s="439"/>
      <c r="Y13" s="439"/>
      <c r="Z13" s="439"/>
      <c r="AA13" s="439"/>
      <c r="AB13" s="439"/>
      <c r="AC13" s="439"/>
      <c r="AD13" s="439"/>
      <c r="AE13" s="439"/>
      <c r="AF13" s="439"/>
      <c r="AG13" s="439"/>
    </row>
    <row r="14" spans="1:62" ht="30" customHeight="1" x14ac:dyDescent="0.2">
      <c r="A14" s="430" t="s">
        <v>12</v>
      </c>
      <c r="B14" s="431"/>
      <c r="C14" s="436" t="s">
        <v>541</v>
      </c>
      <c r="D14" s="437"/>
      <c r="E14" s="437"/>
      <c r="F14" s="437"/>
      <c r="G14" s="437"/>
      <c r="H14" s="437"/>
      <c r="I14" s="437"/>
      <c r="J14" s="437"/>
      <c r="K14" s="437"/>
      <c r="L14" s="437"/>
      <c r="M14" s="437"/>
      <c r="N14" s="437"/>
      <c r="O14" s="437"/>
      <c r="P14" s="437"/>
      <c r="Q14" s="437"/>
      <c r="R14" s="437"/>
      <c r="S14" s="437"/>
      <c r="T14" s="437"/>
      <c r="U14" s="437"/>
      <c r="V14" s="437"/>
      <c r="W14" s="437"/>
      <c r="X14" s="437"/>
      <c r="Y14" s="437"/>
      <c r="Z14" s="437"/>
      <c r="AA14" s="437"/>
      <c r="AB14" s="437"/>
      <c r="AC14" s="437"/>
      <c r="AD14" s="437"/>
      <c r="AE14" s="437"/>
      <c r="AF14" s="437"/>
      <c r="AG14" s="437"/>
    </row>
    <row r="15" spans="1:62" ht="30" customHeight="1" x14ac:dyDescent="0.2">
      <c r="A15" s="17" t="s">
        <v>6</v>
      </c>
      <c r="B15" s="18" t="s">
        <v>13</v>
      </c>
      <c r="C15" s="3">
        <f>(C5*1000)/(112*24)%</f>
        <v>88.692635397116334</v>
      </c>
      <c r="D15" s="3">
        <f t="shared" ref="D15:E15" si="41">(D5*1000)/(112*24)%</f>
        <v>86.047451636904768</v>
      </c>
      <c r="E15" s="3">
        <f t="shared" si="41"/>
        <v>90.362667410714295</v>
      </c>
      <c r="F15" s="3">
        <f t="shared" ref="F15:G15" si="42">(F5*1000)/(112*24)%</f>
        <v>90.213634672619037</v>
      </c>
      <c r="G15" s="3">
        <f t="shared" si="42"/>
        <v>93.007217261904756</v>
      </c>
      <c r="H15" s="3">
        <f t="shared" ref="H15:I15" si="43">(H5*1000)/(112*24)%</f>
        <v>97.147172619047609</v>
      </c>
      <c r="I15" s="3">
        <f t="shared" si="43"/>
        <v>101.39862351190477</v>
      </c>
      <c r="J15" s="3">
        <f t="shared" ref="J15:K15" si="44">(J5*1000)/(112*24)%</f>
        <v>100.90643601190477</v>
      </c>
      <c r="K15" s="3">
        <f t="shared" si="44"/>
        <v>98.184765624999997</v>
      </c>
      <c r="L15" s="3">
        <f t="shared" ref="L15:M15" si="45">(L5*1000)/(112*24)%</f>
        <v>101.71476934523812</v>
      </c>
      <c r="M15" s="3">
        <f t="shared" si="45"/>
        <v>103.07686011904761</v>
      </c>
      <c r="N15" s="3">
        <f t="shared" ref="N15" si="46">(N5*1000)/(112*24)%</f>
        <v>104.52823660714284</v>
      </c>
      <c r="O15" s="3">
        <f t="shared" ref="O15:T15" si="47">(O5*1000)/(112*24)%</f>
        <v>107.32492559523808</v>
      </c>
      <c r="P15" s="3">
        <f t="shared" si="47"/>
        <v>106.68147321428572</v>
      </c>
      <c r="Q15" s="3">
        <f t="shared" si="47"/>
        <v>108.04270833333334</v>
      </c>
      <c r="R15" s="3">
        <f t="shared" si="47"/>
        <v>107.0977306547619</v>
      </c>
      <c r="S15" s="3">
        <f t="shared" si="47"/>
        <v>105.19319196428572</v>
      </c>
      <c r="T15" s="3">
        <f t="shared" si="47"/>
        <v>105.87905505952381</v>
      </c>
      <c r="U15" s="3">
        <f t="shared" ref="U15:V15" si="48">(U5*1000)/(112*24)%</f>
        <v>105.19159226190479</v>
      </c>
      <c r="V15" s="3">
        <f t="shared" si="48"/>
        <v>105.84854910714286</v>
      </c>
      <c r="W15" s="3">
        <f t="shared" ref="W15:X15" si="49">(W5*1000)/(112*24)%</f>
        <v>107.66901041666669</v>
      </c>
      <c r="X15" s="3">
        <f t="shared" si="49"/>
        <v>106.84720982142858</v>
      </c>
      <c r="Y15" s="3">
        <f t="shared" ref="Y15:Z15" si="50">(Y5*1000)/(112*24)%</f>
        <v>105.65762648809522</v>
      </c>
      <c r="Z15" s="3">
        <f t="shared" si="50"/>
        <v>105.55412946428572</v>
      </c>
      <c r="AA15" s="3">
        <f t="shared" ref="AA15:AB15" si="51">(AA5*1000)/(112*24)%</f>
        <v>77.685453869047635</v>
      </c>
      <c r="AB15" s="3">
        <f t="shared" si="51"/>
        <v>102.9427077520461</v>
      </c>
      <c r="AC15" s="3">
        <f t="shared" ref="AC15:AD15" si="52">(AC5*1000)/(112*24)%</f>
        <v>89.748474702380946</v>
      </c>
      <c r="AD15" s="3">
        <f t="shared" si="52"/>
        <v>85.03363095238096</v>
      </c>
      <c r="AE15" s="3">
        <f t="shared" ref="AE15:AF15" si="53">(AE5*1000)/(112*24)%</f>
        <v>87.785974702380969</v>
      </c>
      <c r="AF15" s="3">
        <f t="shared" si="53"/>
        <v>91.642203776041669</v>
      </c>
      <c r="AG15" s="3">
        <f t="shared" ref="AG15" si="54">(AG5*1000)/(112*24)%</f>
        <v>96.628348214285737</v>
      </c>
    </row>
    <row r="16" spans="1:62" ht="30" customHeight="1" x14ac:dyDescent="0.2">
      <c r="A16" s="17" t="s">
        <v>7</v>
      </c>
      <c r="B16" s="18" t="s">
        <v>13</v>
      </c>
      <c r="C16" s="3">
        <f t="shared" ref="C16:D16" si="55">(C7*1000)/(112*24*C2)%</f>
        <v>88.692635397116334</v>
      </c>
      <c r="D16" s="3">
        <f t="shared" si="55"/>
        <v>87.370043517010558</v>
      </c>
      <c r="E16" s="3">
        <f t="shared" ref="E16:F16" si="56">(E7*1000)/(112*24*E2)%</f>
        <v>88.367584814911794</v>
      </c>
      <c r="F16" s="3">
        <f t="shared" si="56"/>
        <v>88.829097279338626</v>
      </c>
      <c r="G16" s="3">
        <f t="shared" ref="G16:H16" si="57">(G7*1000)/(112*24*G2)%</f>
        <v>89.664721275851832</v>
      </c>
      <c r="H16" s="3">
        <f t="shared" si="57"/>
        <v>90.911796499717795</v>
      </c>
      <c r="I16" s="3">
        <f t="shared" ref="I16:J16" si="58">(I7*1000)/(112*24*I2)%</f>
        <v>92.409914644315933</v>
      </c>
      <c r="J16" s="3">
        <f t="shared" si="58"/>
        <v>93.471979815264547</v>
      </c>
      <c r="K16" s="3">
        <f t="shared" ref="K16:L16" si="59">(K7*1000)/(112*24*K2)%</f>
        <v>93.99562268301294</v>
      </c>
      <c r="L16" s="3">
        <f t="shared" si="59"/>
        <v>94.76753734923544</v>
      </c>
      <c r="M16" s="3">
        <f t="shared" ref="M16:N16" si="60">(M7*1000)/(112*24*M2)%</f>
        <v>95.522930328309272</v>
      </c>
      <c r="N16" s="3">
        <f t="shared" si="60"/>
        <v>96.273372518212071</v>
      </c>
      <c r="O16" s="3">
        <f t="shared" ref="O16:T16" si="61">(O7*1000)/(112*24*O2)%</f>
        <v>97.123491985675628</v>
      </c>
      <c r="P16" s="3">
        <f t="shared" si="61"/>
        <v>97.806204930576342</v>
      </c>
      <c r="Q16" s="3">
        <f t="shared" si="61"/>
        <v>98.488638490760138</v>
      </c>
      <c r="R16" s="3">
        <f t="shared" si="61"/>
        <v>99.026706751010252</v>
      </c>
      <c r="S16" s="3">
        <f t="shared" si="61"/>
        <v>99.389441175320584</v>
      </c>
      <c r="T16" s="3">
        <f t="shared" si="61"/>
        <v>99.749975279998537</v>
      </c>
      <c r="U16" s="3">
        <f t="shared" ref="U16:V16" si="62">(U7*1000)/(112*24*U2)%</f>
        <v>100.03637617378307</v>
      </c>
      <c r="V16" s="3">
        <f t="shared" si="62"/>
        <v>100.32698482045106</v>
      </c>
      <c r="W16" s="3">
        <f t="shared" ref="W16:X16" si="63">(W7*1000)/(112*24*W2)%</f>
        <v>100.67660508693751</v>
      </c>
      <c r="X16" s="3">
        <f t="shared" si="63"/>
        <v>100.95708712032348</v>
      </c>
      <c r="Y16" s="3">
        <f t="shared" ref="Y16:Z16" si="64">(Y7*1000)/(112*24*Y2)%</f>
        <v>101.16145839718311</v>
      </c>
      <c r="Z16" s="3">
        <f t="shared" si="64"/>
        <v>101.34448635831239</v>
      </c>
      <c r="AA16" s="3">
        <f t="shared" ref="AA16:AB16" si="65">(AA7*1000)/(112*24*AA2)%</f>
        <v>100.39812505874178</v>
      </c>
      <c r="AB16" s="3">
        <f t="shared" si="65"/>
        <v>100.49599362386888</v>
      </c>
      <c r="AC16" s="3">
        <f t="shared" ref="AC16:AD16" si="66">(AC7*1000)/(112*24*AC2)%</f>
        <v>100.09793736751747</v>
      </c>
      <c r="AD16" s="3">
        <f t="shared" si="66"/>
        <v>99.559926424119737</v>
      </c>
      <c r="AE16" s="3">
        <f t="shared" ref="AE16:AF16" si="67">(AE7*1000)/(112*24*AE2)%</f>
        <v>99.153928088887355</v>
      </c>
      <c r="AF16" s="3">
        <f t="shared" si="67"/>
        <v>98.903537278459169</v>
      </c>
      <c r="AG16" s="3">
        <f t="shared" ref="AG16" si="68">(AG7*1000)/(112*24*AG2)%</f>
        <v>98.83014408284069</v>
      </c>
    </row>
    <row r="17" spans="1:34" ht="30" customHeight="1" x14ac:dyDescent="0.2">
      <c r="A17" s="17" t="s">
        <v>8</v>
      </c>
      <c r="B17" s="18" t="s">
        <v>13</v>
      </c>
      <c r="C17" s="3">
        <f t="shared" ref="C17:H17" si="69">(C8*1000)/(112*24*(C2+30))%</f>
        <v>103.20595482847838</v>
      </c>
      <c r="D17" s="3">
        <f t="shared" si="69"/>
        <v>102.66975160374173</v>
      </c>
      <c r="E17" s="3">
        <f t="shared" si="69"/>
        <v>102.29680965849847</v>
      </c>
      <c r="F17" s="3">
        <f t="shared" si="69"/>
        <v>101.94142215891378</v>
      </c>
      <c r="G17" s="3">
        <f t="shared" si="69"/>
        <v>101.68615916185638</v>
      </c>
      <c r="H17" s="3">
        <f t="shared" si="69"/>
        <v>101.56007620233393</v>
      </c>
      <c r="I17" s="3">
        <f t="shared" ref="I17:J17" si="70">(I8*1000)/(112*24*(I2+30))%</f>
        <v>101.55571261610609</v>
      </c>
      <c r="J17" s="3">
        <f t="shared" si="70"/>
        <v>101.53862638967973</v>
      </c>
      <c r="K17" s="3">
        <f t="shared" ref="K17:L17" si="71">(K8*1000)/(112*24*(K2+30))%</f>
        <v>101.45262995981615</v>
      </c>
      <c r="L17" s="3">
        <f t="shared" si="71"/>
        <v>101.4591834444517</v>
      </c>
      <c r="M17" s="3">
        <f t="shared" ref="M17:N17" si="72">(M8*1000)/(112*24*(M2+30))%</f>
        <v>101.4986389731004</v>
      </c>
      <c r="N17" s="3">
        <f t="shared" si="72"/>
        <v>101.5707722501014</v>
      </c>
      <c r="O17" s="3">
        <f t="shared" ref="O17:T17" si="73">(O8*1000)/(112*24*(O2+30))%</f>
        <v>101.70458976975576</v>
      </c>
      <c r="P17" s="3">
        <f t="shared" si="73"/>
        <v>101.81770075713142</v>
      </c>
      <c r="Q17" s="3">
        <f t="shared" si="73"/>
        <v>101.95603425882481</v>
      </c>
      <c r="R17" s="3">
        <f t="shared" si="73"/>
        <v>102.06781026743214</v>
      </c>
      <c r="S17" s="3">
        <f t="shared" si="73"/>
        <v>102.13430775034392</v>
      </c>
      <c r="T17" s="3">
        <f t="shared" si="73"/>
        <v>102.21232331928518</v>
      </c>
      <c r="U17" s="3">
        <f t="shared" ref="U17:V17" si="74">(U8*1000)/(112*24*(U2+30))%</f>
        <v>102.27312472627739</v>
      </c>
      <c r="V17" s="3">
        <f t="shared" si="74"/>
        <v>102.34463321389471</v>
      </c>
      <c r="W17" s="3">
        <f t="shared" ref="W17:X17" si="75">(W8*1000)/(112*24*(W2+30))%</f>
        <v>102.44903276689021</v>
      </c>
      <c r="X17" s="3">
        <f t="shared" si="75"/>
        <v>102.53361309486213</v>
      </c>
      <c r="Y17" s="3">
        <f t="shared" ref="Y17:Z17" si="76">(Y8*1000)/(112*24*(Y2+30))%</f>
        <v>102.59255674379104</v>
      </c>
      <c r="Z17" s="3">
        <f t="shared" si="76"/>
        <v>102.64740068305947</v>
      </c>
      <c r="AA17" s="3">
        <f t="shared" ref="AA17:AB17" si="77">(AA8*1000)/(112*24*(AA2+30))%</f>
        <v>102.19354710462287</v>
      </c>
      <c r="AB17" s="3">
        <f t="shared" si="77"/>
        <v>102.20692497332689</v>
      </c>
      <c r="AC17" s="3">
        <f t="shared" ref="AC17:AD17" si="78">(AC8*1000)/(112*24*(AC2+30))%</f>
        <v>101.98835567032783</v>
      </c>
      <c r="AD17" s="3">
        <f t="shared" si="78"/>
        <v>101.69603283036322</v>
      </c>
      <c r="AE17" s="3">
        <f t="shared" ref="AE17:AF17" si="79">(AE8*1000)/(112*24*(AE2+30))%</f>
        <v>101.46026913327876</v>
      </c>
      <c r="AF17" s="3">
        <f t="shared" si="79"/>
        <v>101.29663471065815</v>
      </c>
      <c r="AG17" s="3">
        <f t="shared" ref="AG17" si="80">(AG8*1000)/(112*24*(AG2+30))%</f>
        <v>101.22010542383236</v>
      </c>
    </row>
    <row r="18" spans="1:34" ht="30" customHeight="1" x14ac:dyDescent="0.2">
      <c r="A18" s="426" t="s">
        <v>14</v>
      </c>
      <c r="B18" s="427"/>
      <c r="C18" s="428" t="s">
        <v>542</v>
      </c>
      <c r="D18" s="429"/>
      <c r="E18" s="429"/>
      <c r="F18" s="429"/>
      <c r="G18" s="429"/>
      <c r="H18" s="429"/>
      <c r="I18" s="429"/>
      <c r="J18" s="429"/>
      <c r="K18" s="429"/>
      <c r="L18" s="429"/>
      <c r="M18" s="429"/>
      <c r="N18" s="429"/>
      <c r="O18" s="429"/>
      <c r="P18" s="429"/>
      <c r="Q18" s="429"/>
      <c r="R18" s="429"/>
      <c r="S18" s="429"/>
      <c r="T18" s="429"/>
      <c r="U18" s="429"/>
      <c r="V18" s="429"/>
      <c r="W18" s="429"/>
      <c r="X18" s="429"/>
      <c r="Y18" s="429"/>
      <c r="Z18" s="429"/>
      <c r="AA18" s="429"/>
      <c r="AB18" s="429"/>
      <c r="AC18" s="429"/>
      <c r="AD18" s="429"/>
      <c r="AE18" s="429"/>
      <c r="AF18" s="429"/>
      <c r="AG18" s="429"/>
    </row>
    <row r="19" spans="1:34" ht="34.5" customHeight="1" x14ac:dyDescent="0.2">
      <c r="A19" s="17" t="s">
        <v>15</v>
      </c>
      <c r="B19" s="18" t="s">
        <v>5</v>
      </c>
      <c r="C19" s="268">
        <v>0.15339199999999975</v>
      </c>
      <c r="D19" s="268">
        <v>0.17237600000000031</v>
      </c>
      <c r="E19" s="268">
        <v>0.16248799999999974</v>
      </c>
      <c r="F19" s="268">
        <v>0.15573599999999965</v>
      </c>
      <c r="G19" s="268">
        <v>0.16159200000000018</v>
      </c>
      <c r="H19" s="268">
        <v>0.17680000000000001</v>
      </c>
      <c r="I19" s="268">
        <v>0.1845</v>
      </c>
      <c r="J19" s="268">
        <v>0.18953599999999993</v>
      </c>
      <c r="K19" s="268">
        <v>0.18108800000000036</v>
      </c>
      <c r="L19" s="268">
        <v>0.18278400000000028</v>
      </c>
      <c r="M19" s="268">
        <v>0.18111200000000061</v>
      </c>
      <c r="N19" s="268">
        <v>0.18326400000000032</v>
      </c>
      <c r="O19" s="268">
        <v>0.19220000000000001</v>
      </c>
      <c r="P19" s="268">
        <v>0.18664000000000014</v>
      </c>
      <c r="Q19" s="268">
        <v>0.18632000000000026</v>
      </c>
      <c r="R19" s="268">
        <v>0.19371199999999966</v>
      </c>
      <c r="S19" s="268">
        <v>0.18034399999999984</v>
      </c>
      <c r="T19" s="268">
        <v>0.18954399999999971</v>
      </c>
      <c r="U19" s="268">
        <v>0.18420000000000014</v>
      </c>
      <c r="V19" s="268">
        <v>0.18261600000000078</v>
      </c>
      <c r="W19" s="268">
        <v>0.1960879999999996</v>
      </c>
      <c r="X19" s="268">
        <v>0.17913600000000063</v>
      </c>
      <c r="Y19" s="268">
        <v>0.18664799999999993</v>
      </c>
      <c r="Z19" s="268">
        <v>0.16895200000000044</v>
      </c>
      <c r="AA19" s="268">
        <v>0.17188800000000004</v>
      </c>
      <c r="AB19" s="333">
        <v>0.18390400000000051</v>
      </c>
      <c r="AC19" s="333">
        <v>0.16253599999999979</v>
      </c>
      <c r="AD19" s="333">
        <v>0.15633600000000047</v>
      </c>
      <c r="AE19" s="333">
        <v>0.17269999999999999</v>
      </c>
      <c r="AF19" s="268">
        <v>0.16841600000000012</v>
      </c>
      <c r="AG19" s="268">
        <v>0.1762</v>
      </c>
      <c r="AH19" s="352"/>
    </row>
    <row r="20" spans="1:34" ht="30" customHeight="1" x14ac:dyDescent="0.2">
      <c r="A20" s="17" t="s">
        <v>16</v>
      </c>
      <c r="B20" s="18" t="s">
        <v>5</v>
      </c>
      <c r="C20" s="268">
        <v>0.163554</v>
      </c>
      <c r="D20" s="268">
        <v>0.17443550000000005</v>
      </c>
      <c r="E20" s="268">
        <v>0.17250850000000001</v>
      </c>
      <c r="F20" s="268">
        <v>0.1682225</v>
      </c>
      <c r="G20" s="268">
        <v>0.17077800000000001</v>
      </c>
      <c r="H20" s="268">
        <v>0.18437999999999999</v>
      </c>
      <c r="I20" s="268">
        <v>0.19275500000000001</v>
      </c>
      <c r="J20" s="268">
        <v>0.18629299999999999</v>
      </c>
      <c r="K20" s="268">
        <v>0.18663850000000001</v>
      </c>
      <c r="L20" s="268">
        <v>0.18870899999999999</v>
      </c>
      <c r="M20" s="268">
        <v>0.19117799999999999</v>
      </c>
      <c r="N20" s="268">
        <v>0.191799</v>
      </c>
      <c r="O20" s="268">
        <v>0.196774</v>
      </c>
      <c r="P20" s="268">
        <v>0.192134</v>
      </c>
      <c r="Q20" s="268">
        <v>0.19222</v>
      </c>
      <c r="R20" s="268">
        <v>0.194963</v>
      </c>
      <c r="S20" s="268">
        <v>0.192497</v>
      </c>
      <c r="T20" s="268">
        <v>0.19401299999999999</v>
      </c>
      <c r="U20" s="268">
        <v>0.19250200000000001</v>
      </c>
      <c r="V20" s="268">
        <v>0.194745</v>
      </c>
      <c r="W20" s="268">
        <v>0.19365499999999999</v>
      </c>
      <c r="X20" s="268">
        <v>0.193269</v>
      </c>
      <c r="Y20" s="268">
        <v>0.192805</v>
      </c>
      <c r="Z20" s="268">
        <v>0.19254299999999999</v>
      </c>
      <c r="AA20" s="268">
        <v>0.170153</v>
      </c>
      <c r="AB20" s="268">
        <v>0.191979984375</v>
      </c>
      <c r="AC20" s="268">
        <v>0.175231</v>
      </c>
      <c r="AD20" s="268">
        <v>0.16849600000000001</v>
      </c>
      <c r="AE20" s="268">
        <v>0.172071</v>
      </c>
      <c r="AF20" s="268">
        <v>0.17781443750000001</v>
      </c>
      <c r="AG20" s="268">
        <v>0.18517</v>
      </c>
      <c r="AH20" s="352"/>
    </row>
    <row r="21" spans="1:34" ht="30" customHeight="1" x14ac:dyDescent="0.2">
      <c r="A21" s="17" t="s">
        <v>17</v>
      </c>
      <c r="B21" s="18" t="s">
        <v>13</v>
      </c>
      <c r="C21" s="300">
        <f>C20/C5*100</f>
        <v>6.8603195598397368</v>
      </c>
      <c r="D21" s="300">
        <f t="shared" ref="D21:E21" si="81">D20/D5*100</f>
        <v>7.5416712513491957</v>
      </c>
      <c r="E21" s="300">
        <f t="shared" si="81"/>
        <v>7.1021884572686487</v>
      </c>
      <c r="F21" s="300">
        <f t="shared" ref="F21:G21" si="82">F20/F5*100</f>
        <v>6.93717479899008</v>
      </c>
      <c r="G21" s="300">
        <f t="shared" si="82"/>
        <v>6.831027098031468</v>
      </c>
      <c r="H21" s="300">
        <f t="shared" ref="H21:I21" si="83">H20/H5*100</f>
        <v>7.0608076540717395</v>
      </c>
      <c r="I21" s="300">
        <f t="shared" si="83"/>
        <v>7.0720338128005071</v>
      </c>
      <c r="J21" s="300">
        <f t="shared" ref="J21:K21" si="84">J20/J5*100</f>
        <v>6.8682865322329398</v>
      </c>
      <c r="K21" s="300">
        <f t="shared" si="84"/>
        <v>7.0717656992736275</v>
      </c>
      <c r="L21" s="300">
        <f t="shared" ref="L21:M21" si="85">L20/L5*100</f>
        <v>6.9020695345769125</v>
      </c>
      <c r="M21" s="300">
        <f t="shared" si="85"/>
        <v>6.899974230394708</v>
      </c>
      <c r="N21" s="300">
        <f t="shared" ref="N21" si="86">N20/N5*100</f>
        <v>6.826269815593661</v>
      </c>
      <c r="O21" s="300">
        <f t="shared" ref="O21:T21" si="87">O20/O5*100</f>
        <v>6.8208398644802912</v>
      </c>
      <c r="P21" s="300">
        <f t="shared" si="87"/>
        <v>6.7001720603794528</v>
      </c>
      <c r="Q21" s="300">
        <f t="shared" si="87"/>
        <v>6.6187175210420266</v>
      </c>
      <c r="R21" s="300">
        <f t="shared" si="87"/>
        <v>6.7724010147329414</v>
      </c>
      <c r="S21" s="300">
        <f t="shared" si="87"/>
        <v>6.8078043763724132</v>
      </c>
      <c r="T21" s="300">
        <f t="shared" si="87"/>
        <v>6.8169719985284765</v>
      </c>
      <c r="U21" s="300">
        <f t="shared" ref="U21:V21" si="88">U20/U5*100</f>
        <v>6.8080847376704208</v>
      </c>
      <c r="V21" s="300">
        <f t="shared" si="88"/>
        <v>6.8446641353939217</v>
      </c>
      <c r="W21" s="300">
        <f t="shared" ref="W21:X21" si="89">W20/W5*100</f>
        <v>6.6912726841762815</v>
      </c>
      <c r="X21" s="300">
        <f t="shared" si="89"/>
        <v>6.7292978228465845</v>
      </c>
      <c r="Y21" s="300">
        <f t="shared" ref="Y21:Z21" si="90">Y20/Y5*100</f>
        <v>6.7887243902189986</v>
      </c>
      <c r="Z21" s="300">
        <f t="shared" si="90"/>
        <v>6.7861466643405075</v>
      </c>
      <c r="AA21" s="300">
        <f t="shared" ref="AA21:AB21" si="91">AA20/AA5*100</f>
        <v>8.1483680804143308</v>
      </c>
      <c r="AB21" s="300">
        <f t="shared" si="91"/>
        <v>6.9379489522986004</v>
      </c>
      <c r="AC21" s="300">
        <f t="shared" ref="AC21:AD21" si="92">AC20/AC5*100</f>
        <v>7.2636448009669881</v>
      </c>
      <c r="AD21" s="300">
        <f t="shared" si="92"/>
        <v>7.3717331727992779</v>
      </c>
      <c r="AE21" s="300">
        <f t="shared" ref="AE21:AF21" si="93">AE20/AE5*100</f>
        <v>7.2921111994938297</v>
      </c>
      <c r="AF21" s="300">
        <f t="shared" si="93"/>
        <v>7.2184213933512442</v>
      </c>
      <c r="AG21" s="300">
        <f t="shared" ref="AG21" si="94">AG20/AG5*100</f>
        <v>7.1291344706376059</v>
      </c>
      <c r="AH21" s="352"/>
    </row>
    <row r="22" spans="1:34" ht="32.25" customHeight="1" x14ac:dyDescent="0.2">
      <c r="A22" s="17" t="s">
        <v>18</v>
      </c>
      <c r="B22" s="18" t="s">
        <v>5</v>
      </c>
      <c r="C22" s="8">
        <f>C20</f>
        <v>0.163554</v>
      </c>
      <c r="D22" s="8">
        <f t="shared" ref="D22:N22" si="95">C22+D20</f>
        <v>0.33798950000000005</v>
      </c>
      <c r="E22" s="8">
        <f t="shared" si="95"/>
        <v>0.51049800000000012</v>
      </c>
      <c r="F22" s="8">
        <f t="shared" si="95"/>
        <v>0.67872050000000006</v>
      </c>
      <c r="G22" s="8">
        <f t="shared" si="95"/>
        <v>0.84949850000000005</v>
      </c>
      <c r="H22" s="8">
        <f t="shared" si="95"/>
        <v>1.0338785000000001</v>
      </c>
      <c r="I22" s="8">
        <f t="shared" si="95"/>
        <v>1.2266335000000002</v>
      </c>
      <c r="J22" s="8">
        <f t="shared" si="95"/>
        <v>1.4129265000000002</v>
      </c>
      <c r="K22" s="8">
        <f t="shared" si="95"/>
        <v>1.5995650000000001</v>
      </c>
      <c r="L22" s="8">
        <f t="shared" si="95"/>
        <v>1.7882740000000001</v>
      </c>
      <c r="M22" s="8">
        <f t="shared" si="95"/>
        <v>1.9794520000000002</v>
      </c>
      <c r="N22" s="8">
        <f t="shared" si="95"/>
        <v>2.1712510000000003</v>
      </c>
      <c r="O22" s="8">
        <f t="shared" ref="O22:AG22" si="96">N22+O20</f>
        <v>2.3680250000000003</v>
      </c>
      <c r="P22" s="8">
        <f t="shared" si="96"/>
        <v>2.5601590000000001</v>
      </c>
      <c r="Q22" s="8">
        <f t="shared" si="96"/>
        <v>2.7523789999999999</v>
      </c>
      <c r="R22" s="8">
        <f t="shared" si="96"/>
        <v>2.9473419999999999</v>
      </c>
      <c r="S22" s="8">
        <f t="shared" si="96"/>
        <v>3.1398389999999998</v>
      </c>
      <c r="T22" s="8">
        <f t="shared" si="96"/>
        <v>3.3338519999999998</v>
      </c>
      <c r="U22" s="8">
        <f t="shared" si="96"/>
        <v>3.526354</v>
      </c>
      <c r="V22" s="8">
        <f t="shared" si="96"/>
        <v>3.7210990000000002</v>
      </c>
      <c r="W22" s="8">
        <f t="shared" si="96"/>
        <v>3.9147540000000003</v>
      </c>
      <c r="X22" s="8">
        <f t="shared" si="96"/>
        <v>4.1080230000000002</v>
      </c>
      <c r="Y22" s="8">
        <f t="shared" si="96"/>
        <v>4.3008280000000001</v>
      </c>
      <c r="Z22" s="8">
        <f t="shared" si="96"/>
        <v>4.4933709999999998</v>
      </c>
      <c r="AA22" s="8">
        <f t="shared" si="96"/>
        <v>4.6635239999999998</v>
      </c>
      <c r="AB22" s="8">
        <f t="shared" si="96"/>
        <v>4.8555039843749999</v>
      </c>
      <c r="AC22" s="8">
        <f t="shared" si="96"/>
        <v>5.030734984375</v>
      </c>
      <c r="AD22" s="8">
        <f t="shared" si="96"/>
        <v>5.1992309843750002</v>
      </c>
      <c r="AE22" s="8">
        <f t="shared" si="96"/>
        <v>5.3713019843750001</v>
      </c>
      <c r="AF22" s="8">
        <f t="shared" si="96"/>
        <v>5.5491164218750004</v>
      </c>
      <c r="AG22" s="8">
        <f t="shared" si="96"/>
        <v>5.7342864218750007</v>
      </c>
      <c r="AH22" s="352"/>
    </row>
    <row r="23" spans="1:34" ht="34.5" customHeight="1" x14ac:dyDescent="0.2">
      <c r="A23" s="17" t="s">
        <v>15</v>
      </c>
      <c r="B23" s="18" t="s">
        <v>13</v>
      </c>
      <c r="C23" s="3">
        <f>(C19/C6)*100</f>
        <v>6.4667790893760442</v>
      </c>
      <c r="D23" s="3">
        <f t="shared" ref="D23:E23" si="97">(D19/D6)*100</f>
        <v>7.4848458532349245</v>
      </c>
      <c r="E23" s="3">
        <f t="shared" si="97"/>
        <v>7.0554928354320339</v>
      </c>
      <c r="F23" s="3">
        <f t="shared" ref="F23:G23" si="98">(F19/F6)*100</f>
        <v>6.4567164179104335</v>
      </c>
      <c r="G23" s="3">
        <f t="shared" si="98"/>
        <v>6.4896385542168744</v>
      </c>
      <c r="H23" s="3">
        <f t="shared" ref="H23:I23" si="99">(H19/H6)*100</f>
        <v>6.7895545314900145</v>
      </c>
      <c r="I23" s="3">
        <f t="shared" si="99"/>
        <v>6.7681584739545126</v>
      </c>
      <c r="J23" s="3">
        <f t="shared" ref="J23:K23" si="100">(J19/J6)*100</f>
        <v>7.006876155268019</v>
      </c>
      <c r="K23" s="3">
        <f t="shared" si="100"/>
        <v>6.8698027314112426</v>
      </c>
      <c r="L23" s="3">
        <f t="shared" ref="L23:M23" si="101">(L19/L6)*100</f>
        <v>6.6953846153846257</v>
      </c>
      <c r="M23" s="3">
        <f t="shared" si="101"/>
        <v>6.5644073939833483</v>
      </c>
      <c r="N23" s="3">
        <f t="shared" ref="N23" si="102">(N19/N6)*100</f>
        <v>6.5334759358288874</v>
      </c>
      <c r="O23" s="3">
        <f t="shared" ref="O23:T23" si="103">(O19/O6)*100</f>
        <v>6.6574298579840647</v>
      </c>
      <c r="P23" s="3">
        <f t="shared" si="103"/>
        <v>6.5258741258741315</v>
      </c>
      <c r="Q23" s="3">
        <f t="shared" si="103"/>
        <v>6.4448287789692236</v>
      </c>
      <c r="R23" s="3">
        <f t="shared" si="103"/>
        <v>6.735465924895677</v>
      </c>
      <c r="S23" s="3">
        <f t="shared" si="103"/>
        <v>6.3974459028024064</v>
      </c>
      <c r="T23" s="3">
        <f t="shared" si="103"/>
        <v>6.6764353645649779</v>
      </c>
      <c r="U23" s="3">
        <f t="shared" ref="U23:V23" si="104">(U19/U6)*100</f>
        <v>6.5249734325186024</v>
      </c>
      <c r="V23" s="3">
        <f t="shared" si="104"/>
        <v>6.4278775079197743</v>
      </c>
      <c r="W23" s="3">
        <f t="shared" ref="W23:X23" si="105">(W19/W6)*100</f>
        <v>6.7968110918544058</v>
      </c>
      <c r="X23" s="3">
        <f t="shared" si="105"/>
        <v>6.2591194968553667</v>
      </c>
      <c r="Y23" s="3">
        <f t="shared" ref="Y23:Z23" si="106">(Y19/Y6)*100</f>
        <v>6.5906779661016923</v>
      </c>
      <c r="Z23" s="3">
        <f t="shared" si="106"/>
        <v>5.9136156807840541</v>
      </c>
      <c r="AA23" s="3">
        <f t="shared" ref="AA23:AB23" si="107">(AA19/AA6)*100</f>
        <v>8.3888726207906306</v>
      </c>
      <c r="AB23" s="3">
        <f t="shared" si="107"/>
        <v>6.6607750814922317</v>
      </c>
      <c r="AC23" s="3">
        <f t="shared" ref="AC23:AD23" si="108">(AC19/AC6)*100</f>
        <v>6.7498338870431818</v>
      </c>
      <c r="AD23" s="3">
        <f t="shared" si="108"/>
        <v>6.8749340369393339</v>
      </c>
      <c r="AE23" s="3">
        <f t="shared" ref="AE23:AF23" si="109">(AE19/AE6)*100</f>
        <v>7.3489361702127667</v>
      </c>
      <c r="AF23" s="3">
        <f t="shared" si="109"/>
        <v>6.8573289902280177</v>
      </c>
      <c r="AG23" s="3">
        <f t="shared" ref="AG23" si="110">(AG19/AG6)*100</f>
        <v>6.8136117556071154</v>
      </c>
      <c r="AH23" s="352"/>
    </row>
    <row r="24" spans="1:34" ht="30" customHeight="1" x14ac:dyDescent="0.2">
      <c r="A24" s="17" t="s">
        <v>19</v>
      </c>
      <c r="B24" s="18" t="s">
        <v>13</v>
      </c>
      <c r="C24" s="3">
        <f>C22/C7*100</f>
        <v>6.8603195598397368</v>
      </c>
      <c r="D24" s="3">
        <f t="shared" ref="D24:E24" si="111">D22/D7*100</f>
        <v>7.1958383163999802</v>
      </c>
      <c r="E24" s="3">
        <f t="shared" si="111"/>
        <v>7.1639169163697574</v>
      </c>
      <c r="F24" s="3">
        <f t="shared" ref="F24:G24" si="112">F22/F7*100</f>
        <v>7.1063478563187985</v>
      </c>
      <c r="G24" s="3">
        <f t="shared" si="112"/>
        <v>7.0492310388718042</v>
      </c>
      <c r="H24" s="3">
        <f t="shared" ref="H24:I24" si="113">H22/H7*100</f>
        <v>7.051292809141585</v>
      </c>
      <c r="I24" s="3">
        <f t="shared" si="113"/>
        <v>7.0545440206119512</v>
      </c>
      <c r="J24" s="3">
        <f t="shared" ref="J24:K24" si="114">J22/J7*100</f>
        <v>7.0294100454757675</v>
      </c>
      <c r="K24" s="3">
        <f t="shared" si="114"/>
        <v>7.0343259717265276</v>
      </c>
      <c r="L24" s="3">
        <f t="shared" ref="L24:M24" si="115">L22/L7*100</f>
        <v>7.0201307806564879</v>
      </c>
      <c r="M24" s="3">
        <f t="shared" si="115"/>
        <v>7.0083436442340856</v>
      </c>
      <c r="N24" s="3">
        <f t="shared" ref="N24" si="116">N22/N7*100</f>
        <v>6.9918698469781742</v>
      </c>
      <c r="O24" s="3">
        <f t="shared" ref="O24:T24" si="117">O22/O7*100</f>
        <v>6.9773318288396489</v>
      </c>
      <c r="P24" s="3">
        <f t="shared" si="117"/>
        <v>6.955738243825536</v>
      </c>
      <c r="Q24" s="3">
        <f t="shared" si="117"/>
        <v>6.9310906416845004</v>
      </c>
      <c r="R24" s="3">
        <f t="shared" si="117"/>
        <v>6.9203641799282707</v>
      </c>
      <c r="S24" s="3">
        <f t="shared" si="117"/>
        <v>6.9133563784586194</v>
      </c>
      <c r="T24" s="3">
        <f t="shared" si="117"/>
        <v>6.9076726749785182</v>
      </c>
      <c r="U24" s="3">
        <f t="shared" ref="U24:V24" si="118">U22/U7*100</f>
        <v>6.9021610937253577</v>
      </c>
      <c r="V24" s="3">
        <f t="shared" si="118"/>
        <v>6.8991280265857702</v>
      </c>
      <c r="W24" s="3">
        <f t="shared" ref="W24:X24" si="119">W22/W7*100</f>
        <v>6.888542705016147</v>
      </c>
      <c r="X24" s="3">
        <f t="shared" si="119"/>
        <v>6.8808819922845892</v>
      </c>
      <c r="Y24" s="3">
        <f t="shared" ref="Y24:Z24" si="120">Y22/Y7*100</f>
        <v>6.8766970536075389</v>
      </c>
      <c r="Z24" s="3">
        <f t="shared" si="120"/>
        <v>6.8727674007903721</v>
      </c>
      <c r="AA24" s="3">
        <f t="shared" ref="AA24:AB24" si="121">AA22/AA7*100</f>
        <v>6.9122484638856339</v>
      </c>
      <c r="AB24" s="3">
        <f t="shared" si="121"/>
        <v>6.9132610101315013</v>
      </c>
      <c r="AC24" s="3">
        <f t="shared" ref="AC24:AD24" si="122">AC22/AC7*100</f>
        <v>6.9248964335144807</v>
      </c>
      <c r="AD24" s="3">
        <f t="shared" si="122"/>
        <v>6.9385264694095214</v>
      </c>
      <c r="AE24" s="3">
        <f t="shared" ref="AE24:AF24" si="123">AE22/AE7*100</f>
        <v>6.9493211728356252</v>
      </c>
      <c r="AF24" s="3">
        <f t="shared" si="123"/>
        <v>6.9576326171389216</v>
      </c>
      <c r="AG24" s="3">
        <f t="shared" ref="AG24" si="124">AG22/AG7*100</f>
        <v>6.9630416827743762</v>
      </c>
      <c r="AH24" s="352"/>
    </row>
    <row r="25" spans="1:34" ht="30" customHeight="1" x14ac:dyDescent="0.2">
      <c r="A25" s="17" t="s">
        <v>20</v>
      </c>
      <c r="B25" s="18" t="s">
        <v>13</v>
      </c>
      <c r="C25" s="3">
        <f>(C20+5.73045)/C8*100</f>
        <v>6.8535362133266036</v>
      </c>
      <c r="D25" s="3">
        <f t="shared" ref="D25:I25" si="125">(D22+5.73045)/D8*100</f>
        <v>6.8715588859854781</v>
      </c>
      <c r="E25" s="3">
        <f t="shared" si="125"/>
        <v>6.8777323369744572</v>
      </c>
      <c r="F25" s="3">
        <f t="shared" si="125"/>
        <v>6.8792795117084848</v>
      </c>
      <c r="G25" s="3">
        <f t="shared" si="125"/>
        <v>6.8780185386576056</v>
      </c>
      <c r="H25" s="3">
        <f t="shared" si="125"/>
        <v>6.8828753918654231</v>
      </c>
      <c r="I25" s="3">
        <f t="shared" si="125"/>
        <v>6.887979873638626</v>
      </c>
      <c r="J25" s="3">
        <f t="shared" ref="J25:K25" si="126">(J22+5.73045)/J8*100</f>
        <v>6.8874648544662573</v>
      </c>
      <c r="K25" s="3">
        <f t="shared" si="126"/>
        <v>6.8920383000592</v>
      </c>
      <c r="L25" s="3">
        <f t="shared" ref="L25:M25" si="127">(L22+5.73045)/L8*100</f>
        <v>6.8922897126643914</v>
      </c>
      <c r="M25" s="3">
        <f t="shared" si="127"/>
        <v>6.8924800542673301</v>
      </c>
      <c r="N25" s="3">
        <f t="shared" ref="N25" si="128">(N22+5.73045)/N8*100</f>
        <v>6.8908577185396265</v>
      </c>
      <c r="O25" s="3">
        <f t="shared" ref="O25:T25" si="129">(O22+5.73045)/O8*100</f>
        <v>6.8891394130235613</v>
      </c>
      <c r="P25" s="3">
        <f t="shared" si="129"/>
        <v>6.8846395445376709</v>
      </c>
      <c r="Q25" s="3">
        <f t="shared" si="129"/>
        <v>6.8783773822171268</v>
      </c>
      <c r="R25" s="3">
        <f t="shared" si="129"/>
        <v>6.8759600147761013</v>
      </c>
      <c r="S25" s="3">
        <f t="shared" si="129"/>
        <v>6.8744664642609168</v>
      </c>
      <c r="T25" s="3">
        <f t="shared" si="129"/>
        <v>6.8732256933536</v>
      </c>
      <c r="U25" s="3">
        <f t="shared" ref="U25:V25" si="130">(U22+5.73045)/U8*100</f>
        <v>6.8718583501077957</v>
      </c>
      <c r="V25" s="3">
        <f t="shared" si="130"/>
        <v>6.8712958451515149</v>
      </c>
      <c r="W25" s="3">
        <f t="shared" ref="W25:X25" si="131">(W22+5.73045)/W8*100</f>
        <v>6.8675861257110196</v>
      </c>
      <c r="X25" s="3">
        <f t="shared" si="131"/>
        <v>6.8648148545177872</v>
      </c>
      <c r="Y25" s="3">
        <f t="shared" ref="Y25:Z25" si="132">(Y22+5.73045)/Y8*100</f>
        <v>6.8633362931257391</v>
      </c>
      <c r="Z25" s="3">
        <f t="shared" si="132"/>
        <v>6.8618663773038948</v>
      </c>
      <c r="AA25" s="3">
        <f t="shared" ref="AA25:AB25" si="133">(AA22+5.73045)/AA8*100</f>
        <v>6.8796476937000932</v>
      </c>
      <c r="AB25" s="3">
        <f t="shared" si="133"/>
        <v>6.8806962823889997</v>
      </c>
      <c r="AC25" s="3">
        <f t="shared" ref="AC25:AD25" si="134">(AC22+5.73045)/AC8*100</f>
        <v>6.8866083858381497</v>
      </c>
      <c r="AD25" s="3">
        <f t="shared" si="134"/>
        <v>6.893602169336063</v>
      </c>
      <c r="AE25" s="3">
        <f t="shared" ref="AE25:AF25" si="135">(AE22+5.73045)/AE8*100</f>
        <v>6.8994462376075942</v>
      </c>
      <c r="AF25" s="3">
        <f t="shared" si="135"/>
        <v>6.904255806109985</v>
      </c>
      <c r="AG25" s="3">
        <f t="shared" ref="AG25" si="136">(AG22+5.73045)/AG8*100</f>
        <v>6.9077751052943368</v>
      </c>
      <c r="AH25" s="352"/>
    </row>
    <row r="26" spans="1:34" ht="31.5" customHeight="1" x14ac:dyDescent="0.2">
      <c r="A26" s="426" t="s">
        <v>493</v>
      </c>
      <c r="B26" s="427"/>
      <c r="C26" s="428" t="s">
        <v>543</v>
      </c>
      <c r="D26" s="429"/>
      <c r="E26" s="429"/>
      <c r="F26" s="429"/>
      <c r="G26" s="429"/>
      <c r="H26" s="429"/>
      <c r="I26" s="429"/>
      <c r="J26" s="429"/>
      <c r="K26" s="429"/>
      <c r="L26" s="429"/>
      <c r="M26" s="429"/>
      <c r="N26" s="429"/>
      <c r="O26" s="429"/>
      <c r="P26" s="429"/>
      <c r="Q26" s="429"/>
      <c r="R26" s="429"/>
      <c r="S26" s="429"/>
      <c r="T26" s="429"/>
      <c r="U26" s="429"/>
      <c r="V26" s="429"/>
      <c r="W26" s="429"/>
      <c r="X26" s="429"/>
      <c r="Y26" s="429"/>
      <c r="Z26" s="429"/>
      <c r="AA26" s="429"/>
      <c r="AB26" s="429"/>
      <c r="AC26" s="429"/>
      <c r="AD26" s="429"/>
      <c r="AE26" s="429"/>
      <c r="AF26" s="429"/>
      <c r="AG26" s="429"/>
    </row>
    <row r="27" spans="1:34" ht="31.5" customHeight="1" x14ac:dyDescent="0.2">
      <c r="A27" s="17" t="s">
        <v>6</v>
      </c>
      <c r="B27" s="18" t="s">
        <v>13</v>
      </c>
      <c r="C27" s="3">
        <f t="shared" ref="C27:H27" si="137">MIN(C31,C35)</f>
        <v>85.916666666666671</v>
      </c>
      <c r="D27" s="3">
        <f t="shared" si="137"/>
        <v>91.731770833333343</v>
      </c>
      <c r="E27" s="3">
        <f t="shared" si="137"/>
        <v>100</v>
      </c>
      <c r="F27" s="3">
        <f t="shared" si="137"/>
        <v>100</v>
      </c>
      <c r="G27" s="3">
        <f t="shared" si="137"/>
        <v>100</v>
      </c>
      <c r="H27" s="3">
        <f t="shared" si="137"/>
        <v>100</v>
      </c>
      <c r="I27" s="3">
        <f t="shared" ref="I27:J27" si="138">MIN(I31,I35)</f>
        <v>100</v>
      </c>
      <c r="J27" s="3">
        <f t="shared" si="138"/>
        <v>100</v>
      </c>
      <c r="K27" s="3">
        <f t="shared" ref="K27:L27" si="139">MIN(K31,K35)</f>
        <v>100</v>
      </c>
      <c r="L27" s="3">
        <f t="shared" si="139"/>
        <v>100</v>
      </c>
      <c r="M27" s="3">
        <f t="shared" ref="M27:N27" si="140">MIN(M31,M35)</f>
        <v>100</v>
      </c>
      <c r="N27" s="3">
        <f t="shared" si="140"/>
        <v>100</v>
      </c>
      <c r="O27" s="3">
        <f t="shared" ref="O27:T27" si="141">MIN(O31,O35)</f>
        <v>100</v>
      </c>
      <c r="P27" s="3">
        <f t="shared" si="141"/>
        <v>100</v>
      </c>
      <c r="Q27" s="3">
        <f t="shared" si="141"/>
        <v>100</v>
      </c>
      <c r="R27" s="3">
        <f t="shared" si="141"/>
        <v>100</v>
      </c>
      <c r="S27" s="3">
        <f t="shared" si="141"/>
        <v>100</v>
      </c>
      <c r="T27" s="3">
        <f t="shared" si="141"/>
        <v>100</v>
      </c>
      <c r="U27" s="3">
        <f t="shared" ref="U27:V27" si="142">MIN(U31,U35)</f>
        <v>100</v>
      </c>
      <c r="V27" s="3">
        <f t="shared" si="142"/>
        <v>100</v>
      </c>
      <c r="W27" s="3">
        <f t="shared" ref="W27:X27" si="143">MIN(W31,W35)</f>
        <v>100</v>
      </c>
      <c r="X27" s="3">
        <f t="shared" si="143"/>
        <v>100</v>
      </c>
      <c r="Y27" s="3">
        <f t="shared" ref="Y27:Z27" si="144">MIN(Y31,Y35)</f>
        <v>100</v>
      </c>
      <c r="Z27" s="3">
        <f t="shared" si="144"/>
        <v>100</v>
      </c>
      <c r="AA27" s="3">
        <f t="shared" ref="AA27:AB27" si="145">MIN(AA31,AA35)</f>
        <v>74.6875</v>
      </c>
      <c r="AB27" s="3">
        <f t="shared" si="145"/>
        <v>100</v>
      </c>
      <c r="AC27" s="3">
        <f t="shared" ref="AC27:AD27" si="146">MIN(AC31,AC35)</f>
        <v>100</v>
      </c>
      <c r="AD27" s="3">
        <f t="shared" si="146"/>
        <v>100</v>
      </c>
      <c r="AE27" s="3">
        <f t="shared" ref="AE27:AF27" si="147">MIN(AE31,AE35)</f>
        <v>100</v>
      </c>
      <c r="AF27" s="3">
        <f t="shared" si="147"/>
        <v>100</v>
      </c>
      <c r="AG27" s="3">
        <f t="shared" ref="AG27" si="148">MIN(AG31,AG35)</f>
        <v>100</v>
      </c>
    </row>
    <row r="28" spans="1:34" ht="31.5" customHeight="1" x14ac:dyDescent="0.2">
      <c r="A28" s="17" t="s">
        <v>7</v>
      </c>
      <c r="B28" s="18" t="s">
        <v>13</v>
      </c>
      <c r="C28" s="3">
        <f>C27</f>
        <v>85.916666666666671</v>
      </c>
      <c r="D28" s="3">
        <f>AVERAGE($C27:D27)</f>
        <v>88.82421875</v>
      </c>
      <c r="E28" s="3">
        <f>AVERAGE($C27:E27)</f>
        <v>92.549479166666671</v>
      </c>
      <c r="F28" s="3">
        <f>AVERAGE($C27:F27)</f>
        <v>94.412109375</v>
      </c>
      <c r="G28" s="3">
        <f>AVERAGE($C27:G27)</f>
        <v>95.529687499999994</v>
      </c>
      <c r="H28" s="3">
        <f>AVERAGE($C27:H27)</f>
        <v>96.274739583333329</v>
      </c>
      <c r="I28" s="3">
        <f>AVERAGE($C27:I27)</f>
        <v>96.806919642857139</v>
      </c>
      <c r="J28" s="3">
        <f>AVERAGE($C27:J27)</f>
        <v>97.2060546875</v>
      </c>
      <c r="K28" s="3">
        <f>AVERAGE($C27:K27)</f>
        <v>97.516493055555557</v>
      </c>
      <c r="L28" s="3">
        <f>AVERAGE($C27:L27)</f>
        <v>97.764843749999997</v>
      </c>
      <c r="M28" s="3">
        <f>AVERAGE($C27:M27)</f>
        <v>97.968039772727266</v>
      </c>
      <c r="N28" s="3">
        <f>AVERAGE($C27:N27)</f>
        <v>98.137369791666671</v>
      </c>
      <c r="O28" s="3">
        <f>AVERAGE($C27:O27)</f>
        <v>98.280649038461533</v>
      </c>
      <c r="P28" s="3">
        <f>AVERAGE($C27:P27)</f>
        <v>98.403459821428569</v>
      </c>
      <c r="Q28" s="3">
        <f>AVERAGE($C27:Q27)</f>
        <v>98.509895833333331</v>
      </c>
      <c r="R28" s="3">
        <f>AVERAGE($C27:R27)</f>
        <v>98.60302734375</v>
      </c>
      <c r="S28" s="3">
        <f>AVERAGE($C27:S27)</f>
        <v>98.685202205882348</v>
      </c>
      <c r="T28" s="3">
        <f>AVERAGE($C27:T27)</f>
        <v>98.758246527777771</v>
      </c>
      <c r="U28" s="3">
        <f>AVERAGE($C27:U27)</f>
        <v>98.823601973684205</v>
      </c>
      <c r="V28" s="3">
        <f>AVERAGE($C27:V27)</f>
        <v>98.882421875000006</v>
      </c>
      <c r="W28" s="3">
        <f>AVERAGE($C27:W27)</f>
        <v>98.93563988095238</v>
      </c>
      <c r="X28" s="3">
        <f>AVERAGE($C27:X27)</f>
        <v>98.98401988636364</v>
      </c>
      <c r="Y28" s="3">
        <f>AVERAGE($C27:Y27)</f>
        <v>99.028192934782609</v>
      </c>
      <c r="Z28" s="3">
        <f>AVERAGE($C27:Z27)</f>
        <v>99.068684895833329</v>
      </c>
      <c r="AA28" s="3">
        <f>AVERAGE($C27:AA27)</f>
        <v>98.093437499999993</v>
      </c>
      <c r="AB28" s="3">
        <f>AVERAGE($C27:AB27)</f>
        <v>98.16676682692308</v>
      </c>
      <c r="AC28" s="3">
        <f>AVERAGE($C27:AC27)</f>
        <v>98.234664351851848</v>
      </c>
      <c r="AD28" s="3">
        <f>AVERAGE($C27:AD27)</f>
        <v>98.297712053571431</v>
      </c>
      <c r="AE28" s="3">
        <f>AVERAGE($C27:AE27)</f>
        <v>98.356411637931032</v>
      </c>
      <c r="AF28" s="3">
        <f>AVERAGE($C27:AF27)</f>
        <v>98.411197916666666</v>
      </c>
      <c r="AG28" s="3">
        <f>AVERAGE($C27:AG27)</f>
        <v>98.462449596774192</v>
      </c>
    </row>
    <row r="29" spans="1:34" ht="31.5" customHeight="1" x14ac:dyDescent="0.2">
      <c r="A29" s="17" t="s">
        <v>8</v>
      </c>
      <c r="B29" s="18" t="s">
        <v>13</v>
      </c>
      <c r="C29" s="3">
        <f t="shared" ref="C29:H29" si="149">((99.9946*30+C2*C28))/(C2+30)</f>
        <v>99.540473118279564</v>
      </c>
      <c r="D29" s="3">
        <f t="shared" si="149"/>
        <v>99.296451171875006</v>
      </c>
      <c r="E29" s="3">
        <f t="shared" si="149"/>
        <v>99.317770833333341</v>
      </c>
      <c r="F29" s="3">
        <f t="shared" si="149"/>
        <v>99.337836397058823</v>
      </c>
      <c r="G29" s="3">
        <f t="shared" si="149"/>
        <v>99.356755357142859</v>
      </c>
      <c r="H29" s="3">
        <f t="shared" si="149"/>
        <v>99.374623263888893</v>
      </c>
      <c r="I29" s="3">
        <f t="shared" ref="I29:J29" si="150">((99.9946*30+I2*I28))/(I2+30)</f>
        <v>99.391525337837848</v>
      </c>
      <c r="J29" s="3">
        <f t="shared" si="150"/>
        <v>99.407537828947369</v>
      </c>
      <c r="K29" s="3">
        <f t="shared" ref="K29:L29" si="151">((99.9946*30+K2*K28))/(K2+30)</f>
        <v>99.42272916666667</v>
      </c>
      <c r="L29" s="3">
        <f t="shared" si="151"/>
        <v>99.437160937500011</v>
      </c>
      <c r="M29" s="3">
        <f t="shared" ref="M29:N29" si="152">((99.9946*30+M2*M28))/(M2+30)</f>
        <v>99.450888719512193</v>
      </c>
      <c r="N29" s="3">
        <f t="shared" si="152"/>
        <v>99.463962797619047</v>
      </c>
      <c r="O29" s="3">
        <f t="shared" ref="O29:T29" si="153">((99.9946*30+O2*O28))/(O2+30)</f>
        <v>99.476428779069764</v>
      </c>
      <c r="P29" s="3">
        <f t="shared" si="153"/>
        <v>99.488328124999995</v>
      </c>
      <c r="Q29" s="3">
        <f t="shared" si="153"/>
        <v>99.4996986111111</v>
      </c>
      <c r="R29" s="3">
        <f t="shared" si="153"/>
        <v>99.510574728260863</v>
      </c>
      <c r="S29" s="3">
        <f t="shared" si="153"/>
        <v>99.520988031914882</v>
      </c>
      <c r="T29" s="3">
        <f t="shared" si="153"/>
        <v>99.530967447916666</v>
      </c>
      <c r="U29" s="3">
        <f t="shared" ref="U29:V29" si="154">((99.9946*30+U2*U28))/(U2+30)</f>
        <v>99.540539540816326</v>
      </c>
      <c r="V29" s="3">
        <f t="shared" si="154"/>
        <v>99.54972875</v>
      </c>
      <c r="W29" s="3">
        <f t="shared" ref="W29:X29" si="155">((99.9946*30+W2*W28))/(W2+30)</f>
        <v>99.558557598039215</v>
      </c>
      <c r="X29" s="3">
        <f t="shared" si="155"/>
        <v>99.567046874999988</v>
      </c>
      <c r="Y29" s="3">
        <f t="shared" ref="Y29:Z29" si="156">((99.9946*30+Y2*Y28))/(Y2+30)</f>
        <v>99.575215801886785</v>
      </c>
      <c r="Z29" s="3">
        <f t="shared" si="156"/>
        <v>99.583082175925924</v>
      </c>
      <c r="AA29" s="3">
        <f t="shared" ref="AA29:AB29" si="157">((99.9946*30+AA2*AA28))/(AA2+30)</f>
        <v>99.130435227272727</v>
      </c>
      <c r="AB29" s="3">
        <f t="shared" si="157"/>
        <v>99.145963169642854</v>
      </c>
      <c r="AC29" s="3">
        <f t="shared" ref="AC29:AD29" si="158">((99.9946*30+AC2*AC28))/(AC2+30)</f>
        <v>99.160946271929816</v>
      </c>
      <c r="AD29" s="3">
        <f t="shared" si="158"/>
        <v>99.17541271551724</v>
      </c>
      <c r="AE29" s="3">
        <f t="shared" ref="AE29:AF29" si="159">((99.9946*30+AE2*AE28))/(AE2+30)</f>
        <v>99.189388771186429</v>
      </c>
      <c r="AF29" s="3">
        <f t="shared" si="159"/>
        <v>99.202898958333336</v>
      </c>
      <c r="AG29" s="3">
        <f t="shared" ref="AG29" si="160">((99.9946*30+AG2*AG28))/(AG2+30)</f>
        <v>99.21596618852459</v>
      </c>
    </row>
    <row r="30" spans="1:34" ht="31.5" customHeight="1" x14ac:dyDescent="0.2">
      <c r="A30" s="426" t="s">
        <v>492</v>
      </c>
      <c r="B30" s="427"/>
      <c r="C30" s="428"/>
      <c r="D30" s="429"/>
      <c r="E30" s="429"/>
      <c r="F30" s="429"/>
      <c r="G30" s="429"/>
      <c r="H30" s="429"/>
      <c r="I30" s="429"/>
      <c r="J30" s="429"/>
      <c r="K30" s="429"/>
      <c r="L30" s="429"/>
      <c r="M30" s="429"/>
      <c r="N30" s="429"/>
      <c r="O30" s="429"/>
      <c r="P30" s="429"/>
      <c r="Q30" s="429"/>
      <c r="R30" s="429"/>
      <c r="S30" s="429"/>
      <c r="T30" s="429"/>
      <c r="U30" s="429"/>
      <c r="V30" s="429"/>
      <c r="W30" s="429"/>
      <c r="X30" s="429"/>
      <c r="Y30" s="429"/>
      <c r="Z30" s="429"/>
      <c r="AA30" s="429"/>
      <c r="AB30" s="429"/>
      <c r="AC30" s="429"/>
      <c r="AD30" s="429"/>
      <c r="AE30" s="429"/>
      <c r="AF30" s="429"/>
      <c r="AG30" s="429"/>
    </row>
    <row r="31" spans="1:34" ht="30" customHeight="1" x14ac:dyDescent="0.2">
      <c r="A31" s="17" t="s">
        <v>6</v>
      </c>
      <c r="B31" s="18" t="s">
        <v>13</v>
      </c>
      <c r="C31" s="3">
        <f>(((42*UNITS!C17)+(42*UNITS!C44)+(28*UNITS!C71))*100)/(24*112)</f>
        <v>85.916666666666671</v>
      </c>
      <c r="D31" s="3">
        <f>(((42*UNITS!D17)+(42*UNITS!D44)+(28*UNITS!D71))*100)/(24*112)</f>
        <v>92.18697916666666</v>
      </c>
      <c r="E31" s="3">
        <f>(((42*UNITS!E17)+(42*UNITS!E44)+(28*UNITS!E71))*100)/(24*112)</f>
        <v>100</v>
      </c>
      <c r="F31" s="3">
        <f>(((42*UNITS!F17)+(42*UNITS!F44)+(28*UNITS!F71))*100)/(24*112)</f>
        <v>100</v>
      </c>
      <c r="G31" s="3">
        <f>(((42*UNITS!G17)+(42*UNITS!G44)+(28*UNITS!G71))*100)/(24*112)</f>
        <v>100</v>
      </c>
      <c r="H31" s="3">
        <f>(((42*UNITS!H17)+(42*UNITS!H44)+(28*UNITS!H71))*100)/(24*112)</f>
        <v>100</v>
      </c>
      <c r="I31" s="3">
        <f>(((42*UNITS!I17)+(42*UNITS!I44)+(28*UNITS!I71))*100)/(24*112)</f>
        <v>100</v>
      </c>
      <c r="J31" s="3">
        <f>(((42*UNITS!J17)+(42*UNITS!J44)+(28*UNITS!J71))*100)/(24*112)</f>
        <v>100</v>
      </c>
      <c r="K31" s="3">
        <f>(((42*UNITS!K17)+(42*UNITS!K44)+(28*UNITS!K71))*100)/(24*112)</f>
        <v>100</v>
      </c>
      <c r="L31" s="3">
        <f>(((42*UNITS!L17)+(42*UNITS!L44)+(28*UNITS!L71))*100)/(24*112)</f>
        <v>100</v>
      </c>
      <c r="M31" s="3">
        <f>(((42*UNITS!M17)+(42*UNITS!M44)+(28*UNITS!M71))*100)/(24*112)</f>
        <v>100</v>
      </c>
      <c r="N31" s="3">
        <f>(((42*UNITS!N17)+(42*UNITS!N44)+(28*UNITS!N71))*100)/(24*112)</f>
        <v>100</v>
      </c>
      <c r="O31" s="3">
        <f>(((42*UNITS!O17)+(42*UNITS!O44)+(28*UNITS!O71))*100)/(24*112)</f>
        <v>100</v>
      </c>
      <c r="P31" s="3">
        <f>(((42*UNITS!P17)+(42*UNITS!P44)+(28*UNITS!P71))*100)/(24*112)</f>
        <v>100</v>
      </c>
      <c r="Q31" s="3">
        <f>(((42*UNITS!Q17)+(42*UNITS!Q44)+(28*UNITS!Q71))*100)/(24*112)</f>
        <v>100</v>
      </c>
      <c r="R31" s="3">
        <f>(((42*UNITS!R17)+(42*UNITS!R44)+(28*UNITS!R71))*100)/(24*112)</f>
        <v>100</v>
      </c>
      <c r="S31" s="3">
        <f>(((42*UNITS!S17)+(42*UNITS!S44)+(28*UNITS!S71))*100)/(24*112)</f>
        <v>100</v>
      </c>
      <c r="T31" s="3">
        <f>(((42*UNITS!T17)+(42*UNITS!T44)+(28*UNITS!T71))*100)/(24*112)</f>
        <v>100</v>
      </c>
      <c r="U31" s="3">
        <f>(((42*UNITS!U17)+(42*UNITS!U44)+(28*UNITS!U71))*100)/(24*112)</f>
        <v>100</v>
      </c>
      <c r="V31" s="3">
        <f>(((42*UNITS!V17)+(42*UNITS!V44)+(28*UNITS!V71))*100)/(24*112)</f>
        <v>100</v>
      </c>
      <c r="W31" s="3">
        <f>(((42*UNITS!W17)+(42*UNITS!W44)+(28*UNITS!W71))*100)/(24*112)</f>
        <v>100</v>
      </c>
      <c r="X31" s="3">
        <f>(((42*UNITS!X17)+(42*UNITS!X44)+(28*UNITS!X71))*100)/(24*112)</f>
        <v>100</v>
      </c>
      <c r="Y31" s="3">
        <f>(((42*UNITS!Y17)+(42*UNITS!Y44)+(28*UNITS!Y71))*100)/(24*112)</f>
        <v>100</v>
      </c>
      <c r="Z31" s="3">
        <f>(((42*UNITS!Z17)+(42*UNITS!Z44)+(28*UNITS!Z71))*100)/(24*112)</f>
        <v>100</v>
      </c>
      <c r="AA31" s="3">
        <f>(((42*UNITS!AA17)+(42*UNITS!AA44)+(28*UNITS!AA71))*100)/(24*112)</f>
        <v>74.6875</v>
      </c>
      <c r="AB31" s="3">
        <f>(((42*UNITS!AB17)+(42*UNITS!AB44)+(28*UNITS!AB71))*100)/(24*112)</f>
        <v>100</v>
      </c>
      <c r="AC31" s="3">
        <f>(((42*UNITS!AC17)+(42*UNITS!AC44)+(28*UNITS!AC71))*100)/(24*112)</f>
        <v>100</v>
      </c>
      <c r="AD31" s="3">
        <f>(((42*UNITS!AD17)+(42*UNITS!AD44)+(28*UNITS!AD71))*100)/(24*112)</f>
        <v>100</v>
      </c>
      <c r="AE31" s="3">
        <f>(((42*UNITS!AE17)+(42*UNITS!AE44)+(28*UNITS!AE71))*100)/(24*112)</f>
        <v>100</v>
      </c>
      <c r="AF31" s="3">
        <f>(((42*UNITS!AF17)+(42*UNITS!AF44)+(28*UNITS!AF71))*100)/(24*112)</f>
        <v>100</v>
      </c>
      <c r="AG31" s="3">
        <f>(((42*UNITS!AG17)+(42*UNITS!AG44)+(28*UNITS!AG71))*100)/(24*112)</f>
        <v>100</v>
      </c>
      <c r="AH31" s="58"/>
    </row>
    <row r="32" spans="1:34" ht="30" customHeight="1" x14ac:dyDescent="0.2">
      <c r="A32" s="17" t="s">
        <v>7</v>
      </c>
      <c r="B32" s="18" t="s">
        <v>13</v>
      </c>
      <c r="C32" s="3">
        <f>C31</f>
        <v>85.916666666666671</v>
      </c>
      <c r="D32" s="3">
        <f>AVERAGE($C31:D31)</f>
        <v>89.051822916666666</v>
      </c>
      <c r="E32" s="3">
        <f>AVERAGE($C31:E31)</f>
        <v>92.701215277777763</v>
      </c>
      <c r="F32" s="3">
        <f>AVERAGE($C31:F31)</f>
        <v>94.525911458333326</v>
      </c>
      <c r="G32" s="3">
        <f>AVERAGE($C31:G31)</f>
        <v>95.620729166666663</v>
      </c>
      <c r="H32" s="3">
        <f>AVERAGE($C31:H31)</f>
        <v>96.350607638888889</v>
      </c>
      <c r="I32" s="3">
        <f>AVERAGE($C31:I31)</f>
        <v>96.871949404761907</v>
      </c>
      <c r="J32" s="3">
        <f>AVERAGE($C31:J31)</f>
        <v>97.262955729166663</v>
      </c>
      <c r="K32" s="3">
        <f>AVERAGE($C31:K31)</f>
        <v>97.56707175925925</v>
      </c>
      <c r="L32" s="3">
        <f>AVERAGE($C31:L31)</f>
        <v>97.810364583333325</v>
      </c>
      <c r="M32" s="3">
        <f>AVERAGE($C31:M31)</f>
        <v>98.009422348484847</v>
      </c>
      <c r="N32" s="3">
        <f>AVERAGE($C31:N31)</f>
        <v>98.175303819444437</v>
      </c>
      <c r="O32" s="3">
        <f>AVERAGE($C31:O31)</f>
        <v>98.315665064102561</v>
      </c>
      <c r="P32" s="3">
        <f>AVERAGE($C31:P31)</f>
        <v>98.435974702380946</v>
      </c>
      <c r="Q32" s="3">
        <f>AVERAGE($C31:Q31)</f>
        <v>98.54024305555555</v>
      </c>
      <c r="R32" s="3">
        <f>AVERAGE($C31:R31)</f>
        <v>98.631477864583331</v>
      </c>
      <c r="S32" s="3">
        <f>AVERAGE($C31:S31)</f>
        <v>98.711979166666666</v>
      </c>
      <c r="T32" s="3">
        <f>AVERAGE($C31:T31)</f>
        <v>98.783535879629625</v>
      </c>
      <c r="U32" s="3">
        <f>AVERAGE($C31:U31)</f>
        <v>98.847560307017545</v>
      </c>
      <c r="V32" s="3">
        <f>AVERAGE($C31:V31)</f>
        <v>98.905182291666662</v>
      </c>
      <c r="W32" s="3">
        <f>AVERAGE($C31:W31)</f>
        <v>98.957316468253964</v>
      </c>
      <c r="X32" s="3">
        <f>AVERAGE($C31:X31)</f>
        <v>99.004711174242416</v>
      </c>
      <c r="Y32" s="3">
        <f>AVERAGE($C31:Y31)</f>
        <v>99.047984601449272</v>
      </c>
      <c r="Z32" s="3">
        <f>AVERAGE($C31:Z31)</f>
        <v>99.087651909722226</v>
      </c>
      <c r="AA32" s="3">
        <f>AVERAGE($C31:AA31)</f>
        <v>98.111645833333327</v>
      </c>
      <c r="AB32" s="3">
        <f>AVERAGE($C31:AB31)</f>
        <v>98.184274839743594</v>
      </c>
      <c r="AC32" s="3">
        <f>AVERAGE($C31:AC31)</f>
        <v>98.251523919753083</v>
      </c>
      <c r="AD32" s="3">
        <f>AVERAGE($C31:AD31)</f>
        <v>98.313969494047612</v>
      </c>
      <c r="AE32" s="3">
        <f>AVERAGE($C31:AE31)</f>
        <v>98.372108477011494</v>
      </c>
      <c r="AF32" s="3">
        <f>AVERAGE($C31:AF31)</f>
        <v>98.426371527777775</v>
      </c>
      <c r="AG32" s="3">
        <f>AVERAGE($C31:AG31)</f>
        <v>98.477133736559139</v>
      </c>
      <c r="AH32" s="58"/>
    </row>
    <row r="33" spans="1:36" ht="30" customHeight="1" x14ac:dyDescent="0.2">
      <c r="A33" s="17" t="s">
        <v>8</v>
      </c>
      <c r="B33" s="18" t="s">
        <v>13</v>
      </c>
      <c r="C33" s="3">
        <f t="shared" ref="C33:H33" si="161">((100*30+C2*C32))/(C2+30)</f>
        <v>99.545698924731184</v>
      </c>
      <c r="D33" s="3">
        <f t="shared" si="161"/>
        <v>99.315738932291666</v>
      </c>
      <c r="E33" s="3">
        <f t="shared" si="161"/>
        <v>99.336474116161611</v>
      </c>
      <c r="F33" s="3">
        <f t="shared" si="161"/>
        <v>99.355989583333326</v>
      </c>
      <c r="G33" s="3">
        <f t="shared" si="161"/>
        <v>99.374389880952378</v>
      </c>
      <c r="H33" s="3">
        <f t="shared" si="161"/>
        <v>99.391767939814812</v>
      </c>
      <c r="I33" s="3">
        <f t="shared" ref="I33:J33" si="162">((100*30+I2*I32))/(I2+30)</f>
        <v>99.408206644144144</v>
      </c>
      <c r="J33" s="3">
        <f t="shared" si="162"/>
        <v>99.423780153508773</v>
      </c>
      <c r="K33" s="3">
        <f t="shared" ref="K33:L33" si="163">((100*30+K2*K32))/(K2+30)</f>
        <v>99.43855502136752</v>
      </c>
      <c r="L33" s="3">
        <f t="shared" si="163"/>
        <v>99.452591145833338</v>
      </c>
      <c r="M33" s="3">
        <f t="shared" ref="M33:N33" si="164">((100*30+M2*M32))/(M2+30)</f>
        <v>99.465942581300808</v>
      </c>
      <c r="N33" s="3">
        <f t="shared" si="164"/>
        <v>99.478658234126968</v>
      </c>
      <c r="O33" s="3">
        <f t="shared" ref="O33:T33" si="165">((100*30+O2*O32))/(O2+30)</f>
        <v>99.4907824612403</v>
      </c>
      <c r="P33" s="3">
        <f t="shared" si="165"/>
        <v>99.502355587121201</v>
      </c>
      <c r="Q33" s="3">
        <f t="shared" si="165"/>
        <v>99.513414351851836</v>
      </c>
      <c r="R33" s="3">
        <f t="shared" si="165"/>
        <v>99.523992300724629</v>
      </c>
      <c r="S33" s="3">
        <f t="shared" si="165"/>
        <v>99.534120124113471</v>
      </c>
      <c r="T33" s="3">
        <f t="shared" si="165"/>
        <v>99.543825954861106</v>
      </c>
      <c r="U33" s="3">
        <f t="shared" ref="U33:V33" si="166">((100*30+U2*U32))/(U2+30)</f>
        <v>99.553135629251685</v>
      </c>
      <c r="V33" s="3">
        <f t="shared" si="166"/>
        <v>99.562072916666651</v>
      </c>
      <c r="W33" s="3">
        <f t="shared" ref="W33:X33" si="167">((100*30+W2*W32))/(W2+30)</f>
        <v>99.570659722222217</v>
      </c>
      <c r="X33" s="3">
        <f t="shared" si="167"/>
        <v>99.57891626602563</v>
      </c>
      <c r="Y33" s="3">
        <f t="shared" ref="Y33:Z33" si="168">((100*30+Y2*Y32))/(Y2+30)</f>
        <v>99.586861242138355</v>
      </c>
      <c r="Z33" s="3">
        <f t="shared" si="168"/>
        <v>99.594511959876527</v>
      </c>
      <c r="AA33" s="3">
        <f t="shared" ref="AA33:AB33" si="169">((100*30+AA2*AA32))/(AA2+30)</f>
        <v>99.141657196969689</v>
      </c>
      <c r="AB33" s="3">
        <f t="shared" si="169"/>
        <v>99.156984747023799</v>
      </c>
      <c r="AC33" s="3">
        <f t="shared" ref="AC33:AD33" si="170">((100*30+AC2*AC32))/(AC2+30)</f>
        <v>99.171774488304081</v>
      </c>
      <c r="AD33" s="3">
        <f t="shared" si="170"/>
        <v>99.186054238505733</v>
      </c>
      <c r="AE33" s="3">
        <f t="shared" ref="AE33:AF33" si="171">((100*30+AE2*AE32))/(AE2+30)</f>
        <v>99.199849929378516</v>
      </c>
      <c r="AF33" s="3">
        <f t="shared" si="171"/>
        <v>99.213185763888887</v>
      </c>
      <c r="AG33" s="3">
        <f t="shared" ref="AG33" si="172">((100*30+AG2*AG32))/(AG2+30)</f>
        <v>99.226084357923483</v>
      </c>
      <c r="AH33" s="58"/>
      <c r="AI33" s="58"/>
    </row>
    <row r="34" spans="1:36" ht="30" customHeight="1" x14ac:dyDescent="0.2">
      <c r="A34" s="426" t="s">
        <v>21</v>
      </c>
      <c r="B34" s="427"/>
      <c r="C34" s="428"/>
      <c r="D34" s="429"/>
      <c r="E34" s="429"/>
      <c r="F34" s="429"/>
      <c r="G34" s="429"/>
      <c r="H34" s="429"/>
      <c r="I34" s="429"/>
      <c r="J34" s="429"/>
      <c r="K34" s="429"/>
      <c r="L34" s="429"/>
      <c r="M34" s="429"/>
      <c r="N34" s="429"/>
      <c r="O34" s="429"/>
      <c r="P34" s="429"/>
      <c r="Q34" s="429"/>
      <c r="R34" s="429"/>
      <c r="S34" s="429"/>
      <c r="T34" s="429"/>
      <c r="U34" s="429"/>
      <c r="V34" s="429"/>
      <c r="W34" s="429"/>
      <c r="X34" s="429"/>
      <c r="Y34" s="429"/>
      <c r="Z34" s="429"/>
      <c r="AA34" s="429"/>
      <c r="AB34" s="429"/>
      <c r="AC34" s="429"/>
      <c r="AD34" s="429"/>
      <c r="AE34" s="429"/>
      <c r="AF34" s="429"/>
      <c r="AG34" s="429"/>
      <c r="AH34" s="103" t="s">
        <v>486</v>
      </c>
    </row>
    <row r="35" spans="1:36" ht="30" customHeight="1" x14ac:dyDescent="0.2">
      <c r="A35" s="17" t="s">
        <v>21</v>
      </c>
      <c r="B35" s="18" t="s">
        <v>13</v>
      </c>
      <c r="C35" s="3">
        <f>((BOILERS!D68*24)+(BOILERS!D69*BOILERS!D70))/(16*24)*100</f>
        <v>85.916666666666671</v>
      </c>
      <c r="D35" s="3">
        <f>BOILERS!E71/16*100</f>
        <v>91.731770833333343</v>
      </c>
      <c r="E35" s="3">
        <f>((BOILERS!F68*24)+(BOILERS!F69*BOILERS!F70))/(16*24)*100</f>
        <v>100</v>
      </c>
      <c r="F35" s="3">
        <f>((BOILERS!G68*24)+(BOILERS!G69*BOILERS!G70))/(16*24)*100</f>
        <v>100</v>
      </c>
      <c r="G35" s="3">
        <f>((BOILERS!H68*24)+(BOILERS!H69*BOILERS!H70))/(16*24)*100</f>
        <v>100</v>
      </c>
      <c r="H35" s="3">
        <f>((BOILERS!I68*24)+(BOILERS!I69*BOILERS!I70))/(16*24)*100</f>
        <v>100</v>
      </c>
      <c r="I35" s="3">
        <f>((BOILERS!J68*24)+(BOILERS!J69*BOILERS!J70))/(16*24)*100</f>
        <v>100</v>
      </c>
      <c r="J35" s="3">
        <f>((BOILERS!K68*24)+(BOILERS!K69*BOILERS!K70))/(16*24)*100</f>
        <v>100</v>
      </c>
      <c r="K35" s="3">
        <f>((BOILERS!L68*24)+(BOILERS!L69*BOILERS!L70))/(16*24)*100</f>
        <v>100</v>
      </c>
      <c r="L35" s="3">
        <f>((BOILERS!M68*24)+(BOILERS!M69*BOILERS!M70))/(16*24)*100</f>
        <v>100</v>
      </c>
      <c r="M35" s="3">
        <f>((BOILERS!N68*24)+(BOILERS!N69*BOILERS!N70))/(16*24)*100</f>
        <v>100</v>
      </c>
      <c r="N35" s="3">
        <f>((BOILERS!O68*24)+(BOILERS!O69*BOILERS!O70))/(16*24)*100</f>
        <v>100</v>
      </c>
      <c r="O35" s="3">
        <f>((BOILERS!P68*24)+(BOILERS!P69*BOILERS!P70))/(16*24)*100</f>
        <v>100</v>
      </c>
      <c r="P35" s="3">
        <f>((BOILERS!Q68*24)+(BOILERS!Q69*BOILERS!Q70))/(16*24)*100</f>
        <v>100</v>
      </c>
      <c r="Q35" s="3">
        <f>((BOILERS!R68*24)+(BOILERS!R69*BOILERS!R70))/(16*24)*100</f>
        <v>100</v>
      </c>
      <c r="R35" s="3">
        <f>((BOILERS!S68*24)+(BOILERS!S69*BOILERS!S70))/(16*24)*100</f>
        <v>100</v>
      </c>
      <c r="S35" s="3">
        <f>((BOILERS!T68*24)+(BOILERS!T69*BOILERS!T70))/(16*24)*100</f>
        <v>100</v>
      </c>
      <c r="T35" s="3">
        <f>((BOILERS!U68*24)+(BOILERS!U69*BOILERS!U70))/(16*24)*100</f>
        <v>100</v>
      </c>
      <c r="U35" s="3">
        <f>((BOILERS!V68*24)+(BOILERS!V69*BOILERS!V70))/(16*24)*100</f>
        <v>100</v>
      </c>
      <c r="V35" s="3">
        <f>((BOILERS!W68*24)+(BOILERS!W69*BOILERS!W70))/(16*24)*100</f>
        <v>100</v>
      </c>
      <c r="W35" s="3">
        <f>((BOILERS!X68*24)+(BOILERS!X69*BOILERS!X70))/(16*24)*100</f>
        <v>100</v>
      </c>
      <c r="X35" s="3">
        <f>((BOILERS!Y68*24)+(BOILERS!Y69*BOILERS!Y70))/(16*24)*100</f>
        <v>100</v>
      </c>
      <c r="Y35" s="3">
        <f>((BOILERS!Z68*24)+(BOILERS!Z69*BOILERS!Z70))/(16*24)*100</f>
        <v>100</v>
      </c>
      <c r="Z35" s="3">
        <f>((BOILERS!AA68*24)+(BOILERS!AA69*BOILERS!AA70))/(16*24)*100</f>
        <v>100</v>
      </c>
      <c r="AA35" s="3">
        <f>((BOILERS!AB68*24)+(BOILERS!AB69*BOILERS!AB70))/(16*24)*100</f>
        <v>76.888020833333343</v>
      </c>
      <c r="AB35" s="3">
        <f>((BOILERS!AC68*24)+(BOILERS!AC69*BOILERS!AC70))/(16*24)*100</f>
        <v>100</v>
      </c>
      <c r="AC35" s="3">
        <f>((BOILERS!AD68*24)+(BOILERS!AD69*BOILERS!AD70))/(16*24)*100</f>
        <v>100</v>
      </c>
      <c r="AD35" s="3">
        <f>((BOILERS!AE68*24)+(BOILERS!AE69*BOILERS!AE70))/(16*24)*100</f>
        <v>100</v>
      </c>
      <c r="AE35" s="3">
        <f>((BOILERS!AF68*24)+(BOILERS!AF69*BOILERS!AF70))/(16*24)*100</f>
        <v>100</v>
      </c>
      <c r="AF35" s="3">
        <f>((BOILERS!AG68*24)+(BOILERS!AG69*BOILERS!AG70))/(16*24)*100</f>
        <v>100</v>
      </c>
      <c r="AG35" s="3">
        <f>((BOILERS!AH68*24)+(BOILERS!AH69*BOILERS!AH70))/(16*24)*100</f>
        <v>100</v>
      </c>
    </row>
    <row r="36" spans="1:36" ht="30" customHeight="1" x14ac:dyDescent="0.2">
      <c r="A36" s="17" t="s">
        <v>22</v>
      </c>
      <c r="B36" s="18" t="s">
        <v>13</v>
      </c>
      <c r="C36" s="3">
        <f>C35</f>
        <v>85.916666666666671</v>
      </c>
      <c r="D36" s="3">
        <f>AVERAGE($C35:D35)</f>
        <v>88.82421875</v>
      </c>
      <c r="E36" s="3">
        <f>AVERAGE($C35:E35)</f>
        <v>92.549479166666671</v>
      </c>
      <c r="F36" s="3">
        <f>AVERAGE($C35:F35)</f>
        <v>94.412109375</v>
      </c>
      <c r="G36" s="3">
        <f>AVERAGE($C35:G35)</f>
        <v>95.529687499999994</v>
      </c>
      <c r="H36" s="3">
        <f>AVERAGE($C35:H35)</f>
        <v>96.274739583333329</v>
      </c>
      <c r="I36" s="3">
        <f>AVERAGE($C35:I35)</f>
        <v>96.806919642857139</v>
      </c>
      <c r="J36" s="3">
        <f>AVERAGE($C35:J35)</f>
        <v>97.2060546875</v>
      </c>
      <c r="K36" s="3">
        <f>AVERAGE($C35:K35)</f>
        <v>97.516493055555557</v>
      </c>
      <c r="L36" s="3">
        <f>AVERAGE($C35:L35)</f>
        <v>97.764843749999997</v>
      </c>
      <c r="M36" s="3">
        <f>AVERAGE($C35:M35)</f>
        <v>97.968039772727266</v>
      </c>
      <c r="N36" s="3">
        <f>AVERAGE($C35:N35)</f>
        <v>98.137369791666671</v>
      </c>
      <c r="O36" s="3">
        <f>AVERAGE($C35:O35)</f>
        <v>98.280649038461533</v>
      </c>
      <c r="P36" s="3">
        <f>AVERAGE($C35:P35)</f>
        <v>98.403459821428569</v>
      </c>
      <c r="Q36" s="3">
        <f>AVERAGE($C35:Q35)</f>
        <v>98.509895833333331</v>
      </c>
      <c r="R36" s="3">
        <f>AVERAGE($C35:R35)</f>
        <v>98.60302734375</v>
      </c>
      <c r="S36" s="3">
        <f>AVERAGE($C35:S35)</f>
        <v>98.685202205882348</v>
      </c>
      <c r="T36" s="3">
        <f>AVERAGE($C35:T35)</f>
        <v>98.758246527777771</v>
      </c>
      <c r="U36" s="3">
        <f>AVERAGE($C35:U35)</f>
        <v>98.823601973684205</v>
      </c>
      <c r="V36" s="3">
        <f>AVERAGE($C35:V35)</f>
        <v>98.882421875000006</v>
      </c>
      <c r="W36" s="3">
        <f>AVERAGE($C35:W35)</f>
        <v>98.93563988095238</v>
      </c>
      <c r="X36" s="3">
        <f>AVERAGE($C35:X35)</f>
        <v>98.98401988636364</v>
      </c>
      <c r="Y36" s="3">
        <f>AVERAGE($C35:Y35)</f>
        <v>99.028192934782609</v>
      </c>
      <c r="Z36" s="3">
        <f>AVERAGE($C35:Z35)</f>
        <v>99.068684895833329</v>
      </c>
      <c r="AA36" s="3">
        <f>AVERAGE($C35:AA35)</f>
        <v>98.181458333333339</v>
      </c>
      <c r="AB36" s="3">
        <f>AVERAGE($C35:AB35)</f>
        <v>98.251402243589752</v>
      </c>
      <c r="AC36" s="3">
        <f>AVERAGE($C35:AC35)</f>
        <v>98.316165123456798</v>
      </c>
      <c r="AD36" s="3">
        <f>AVERAGE($C35:AD35)</f>
        <v>98.376302083333343</v>
      </c>
      <c r="AE36" s="3">
        <f>AVERAGE($C35:AE35)</f>
        <v>98.432291666666671</v>
      </c>
      <c r="AF36" s="3">
        <f>AVERAGE($C35:AF35)</f>
        <v>98.484548611111123</v>
      </c>
      <c r="AG36" s="3">
        <f>AVERAGE($C35:AG35)</f>
        <v>98.533434139784944</v>
      </c>
    </row>
    <row r="37" spans="1:36" ht="30" customHeight="1" x14ac:dyDescent="0.2">
      <c r="A37" s="45" t="s">
        <v>23</v>
      </c>
      <c r="B37" s="18" t="s">
        <v>13</v>
      </c>
      <c r="C37" s="3">
        <f t="shared" ref="C37:H37" si="173">(99.995*30+C2*C36)/(C2+30)</f>
        <v>99.540860215053769</v>
      </c>
      <c r="D37" s="3">
        <f t="shared" si="173"/>
        <v>99.296826171875011</v>
      </c>
      <c r="E37" s="3">
        <f t="shared" si="173"/>
        <v>99.318134469696986</v>
      </c>
      <c r="F37" s="3">
        <f t="shared" si="173"/>
        <v>99.33818933823531</v>
      </c>
      <c r="G37" s="3">
        <f t="shared" si="173"/>
        <v>99.357098214285728</v>
      </c>
      <c r="H37" s="3">
        <f t="shared" si="173"/>
        <v>99.374956597222237</v>
      </c>
      <c r="I37" s="3">
        <f t="shared" ref="I37:J37" si="174">(99.995*30+I2*I36)/(I2+30)</f>
        <v>99.391849662162173</v>
      </c>
      <c r="J37" s="3">
        <f t="shared" si="174"/>
        <v>99.407853618421058</v>
      </c>
      <c r="K37" s="3">
        <f t="shared" ref="K37:L37" si="175">(99.995*30+K2*K36)/(K2+30)</f>
        <v>99.42303685897437</v>
      </c>
      <c r="L37" s="3">
        <f t="shared" si="175"/>
        <v>99.437460937500006</v>
      </c>
      <c r="M37" s="3">
        <f t="shared" ref="M37:N37" si="176">(99.995*30+M2*M36)/(M2+30)</f>
        <v>99.451181402439033</v>
      </c>
      <c r="N37" s="3">
        <f t="shared" si="176"/>
        <v>99.464248511904771</v>
      </c>
      <c r="O37" s="3">
        <f t="shared" ref="O37:T37" si="177">(99.995*30+O2*O36)/(O2+30)</f>
        <v>99.476707848837222</v>
      </c>
      <c r="P37" s="3">
        <f t="shared" si="177"/>
        <v>99.488600852272739</v>
      </c>
      <c r="Q37" s="3">
        <f t="shared" si="177"/>
        <v>99.49996527777779</v>
      </c>
      <c r="R37" s="3">
        <f t="shared" si="177"/>
        <v>99.510835597826102</v>
      </c>
      <c r="S37" s="3">
        <f t="shared" si="177"/>
        <v>99.521243351063831</v>
      </c>
      <c r="T37" s="3">
        <f t="shared" si="177"/>
        <v>99.531217447916674</v>
      </c>
      <c r="U37" s="3">
        <f t="shared" ref="U37:V37" si="178">(99.995*30+U2*U36)/(U2+30)</f>
        <v>99.540784438775518</v>
      </c>
      <c r="V37" s="3">
        <f t="shared" si="178"/>
        <v>99.549968750000005</v>
      </c>
      <c r="W37" s="3">
        <f t="shared" ref="W37:X37" si="179">(99.995*30+W2*W36)/(W2+30)</f>
        <v>99.558792892156873</v>
      </c>
      <c r="X37" s="3">
        <f t="shared" si="179"/>
        <v>99.567277644230771</v>
      </c>
      <c r="Y37" s="3">
        <f t="shared" ref="Y37:Z37" si="180">(99.995*30+Y2*Y36)/(Y2+30)</f>
        <v>99.575442216981145</v>
      </c>
      <c r="Z37" s="3">
        <f t="shared" si="180"/>
        <v>99.583304398148158</v>
      </c>
      <c r="AA37" s="3">
        <f t="shared" ref="AA37:AB37" si="181">(99.995*30+AA2*AA36)/(AA2+30)</f>
        <v>99.170662878787894</v>
      </c>
      <c r="AB37" s="3">
        <f t="shared" si="181"/>
        <v>99.185472470238111</v>
      </c>
      <c r="AC37" s="3">
        <f t="shared" ref="AC37:AD37" si="182">(99.995*30+AC2*AC36)/(AC2+30)</f>
        <v>99.199762426900605</v>
      </c>
      <c r="AD37" s="3">
        <f t="shared" si="182"/>
        <v>99.213559626436805</v>
      </c>
      <c r="AE37" s="3">
        <f t="shared" ref="AE37:AF37" si="183">(99.995*30+AE2*AE36)/(AE2+30)</f>
        <v>99.226889124293805</v>
      </c>
      <c r="AF37" s="3">
        <f t="shared" si="183"/>
        <v>99.239774305555571</v>
      </c>
      <c r="AG37" s="3">
        <f t="shared" ref="AG37" si="184">(99.995*30+AG2*AG36)/(AG2+30)</f>
        <v>99.252237021857937</v>
      </c>
      <c r="AH37" s="68"/>
    </row>
    <row r="38" spans="1:36" ht="30" customHeight="1" x14ac:dyDescent="0.2">
      <c r="A38" s="46" t="s">
        <v>24</v>
      </c>
      <c r="B38" s="18" t="s">
        <v>25</v>
      </c>
      <c r="C38" s="223">
        <v>985</v>
      </c>
      <c r="D38" s="223">
        <v>984</v>
      </c>
      <c r="E38" s="223">
        <v>977</v>
      </c>
      <c r="F38" s="223">
        <v>966</v>
      </c>
      <c r="G38" s="223">
        <v>967</v>
      </c>
      <c r="H38" s="223">
        <v>958</v>
      </c>
      <c r="I38" s="223">
        <v>962</v>
      </c>
      <c r="J38" s="223">
        <v>979</v>
      </c>
      <c r="K38" s="223">
        <v>966</v>
      </c>
      <c r="L38" s="223">
        <v>972</v>
      </c>
      <c r="M38" s="223">
        <v>977</v>
      </c>
      <c r="N38" s="223">
        <v>982</v>
      </c>
      <c r="O38" s="223">
        <v>1002</v>
      </c>
      <c r="P38" s="223">
        <v>999</v>
      </c>
      <c r="Q38" s="223">
        <v>1011</v>
      </c>
      <c r="R38" s="223">
        <v>1013</v>
      </c>
      <c r="S38" s="223">
        <v>1014</v>
      </c>
      <c r="T38" s="223">
        <v>1006</v>
      </c>
      <c r="U38" s="223">
        <v>995</v>
      </c>
      <c r="V38" s="223">
        <v>995</v>
      </c>
      <c r="W38" s="223">
        <v>1011</v>
      </c>
      <c r="X38" s="223">
        <v>1003</v>
      </c>
      <c r="Y38" s="223">
        <v>996</v>
      </c>
      <c r="Z38" s="223">
        <v>997</v>
      </c>
      <c r="AA38" s="223">
        <v>1006</v>
      </c>
      <c r="AB38" s="223">
        <v>995</v>
      </c>
      <c r="AC38" s="223">
        <v>930</v>
      </c>
      <c r="AD38" s="223">
        <v>903</v>
      </c>
      <c r="AE38" s="223">
        <v>912</v>
      </c>
      <c r="AF38" s="223">
        <v>927</v>
      </c>
      <c r="AG38" s="223">
        <v>951</v>
      </c>
    </row>
    <row r="39" spans="1:36" ht="35.25" customHeight="1" x14ac:dyDescent="0.2">
      <c r="A39" s="426" t="s">
        <v>26</v>
      </c>
      <c r="B39" s="427"/>
      <c r="C39" s="428" t="s">
        <v>548</v>
      </c>
      <c r="D39" s="429"/>
      <c r="E39" s="429"/>
      <c r="F39" s="429"/>
      <c r="G39" s="429"/>
      <c r="H39" s="429"/>
      <c r="I39" s="429"/>
      <c r="J39" s="429"/>
      <c r="K39" s="429"/>
      <c r="L39" s="429"/>
      <c r="M39" s="429"/>
      <c r="N39" s="429"/>
      <c r="O39" s="429"/>
      <c r="P39" s="429"/>
      <c r="Q39" s="429"/>
      <c r="R39" s="429"/>
      <c r="S39" s="429"/>
      <c r="T39" s="429"/>
      <c r="U39" s="429"/>
      <c r="V39" s="429"/>
      <c r="W39" s="429"/>
      <c r="X39" s="429"/>
      <c r="Y39" s="429"/>
      <c r="Z39" s="429"/>
      <c r="AA39" s="429"/>
      <c r="AB39" s="429"/>
      <c r="AC39" s="429"/>
      <c r="AD39" s="429"/>
      <c r="AE39" s="429"/>
      <c r="AF39" s="429"/>
      <c r="AG39" s="429"/>
    </row>
    <row r="40" spans="1:36" ht="27.75" customHeight="1" x14ac:dyDescent="0.2">
      <c r="A40" s="17" t="s">
        <v>6</v>
      </c>
      <c r="B40" s="18" t="s">
        <v>5</v>
      </c>
      <c r="C40" s="8">
        <v>2.5029699999999999</v>
      </c>
      <c r="D40" s="8">
        <v>2.3499100000000004</v>
      </c>
      <c r="E40" s="8">
        <v>2.1921300000000001</v>
      </c>
      <c r="F40" s="8">
        <v>2.20112</v>
      </c>
      <c r="G40" s="8">
        <v>2.26336</v>
      </c>
      <c r="H40" s="8">
        <v>2.35473</v>
      </c>
      <c r="I40" s="8">
        <v>2.43621</v>
      </c>
      <c r="J40" s="8">
        <v>2.43947</v>
      </c>
      <c r="K40" s="8">
        <v>2.3704700000000001</v>
      </c>
      <c r="L40" s="8">
        <v>2.4497100000000001</v>
      </c>
      <c r="M40" s="8">
        <v>2.4946000000000002</v>
      </c>
      <c r="N40" s="8">
        <v>2.5221300000000002</v>
      </c>
      <c r="O40" s="8">
        <v>2.6019399999999999</v>
      </c>
      <c r="P40" s="8">
        <v>2.6059800000000002</v>
      </c>
      <c r="Q40" s="8">
        <v>2.6384699999999999</v>
      </c>
      <c r="R40" s="8">
        <v>2.62412</v>
      </c>
      <c r="S40" s="8">
        <v>2.5870500000000001</v>
      </c>
      <c r="T40" s="8">
        <v>2.58684</v>
      </c>
      <c r="U40" s="8">
        <v>2.5975100000000002</v>
      </c>
      <c r="V40" s="8">
        <v>2.5658500000000002</v>
      </c>
      <c r="W40" s="8">
        <v>2.6255999999999999</v>
      </c>
      <c r="X40" s="8">
        <v>2.6351499999999999</v>
      </c>
      <c r="Y40" s="8">
        <v>2.5931500000000001</v>
      </c>
      <c r="Z40" s="8">
        <v>2.5827800000000001</v>
      </c>
      <c r="AA40" s="8">
        <v>1.84091</v>
      </c>
      <c r="AB40" s="8">
        <v>2.4996900000000002</v>
      </c>
      <c r="AC40" s="8">
        <v>2.2218200000000001</v>
      </c>
      <c r="AD40" s="8">
        <v>2.0554399999999999</v>
      </c>
      <c r="AE40" s="8">
        <v>2.1237499999999998</v>
      </c>
      <c r="AF40" s="8">
        <v>2.24878</v>
      </c>
      <c r="AG40" s="8">
        <v>2.3387799999999999</v>
      </c>
    </row>
    <row r="41" spans="1:36" ht="27.75" customHeight="1" x14ac:dyDescent="0.2">
      <c r="A41" s="17" t="s">
        <v>7</v>
      </c>
      <c r="B41" s="18" t="s">
        <v>5</v>
      </c>
      <c r="C41" s="8">
        <f>C40</f>
        <v>2.5029699999999999</v>
      </c>
      <c r="D41" s="8">
        <f t="shared" ref="D41:N41" si="185">C41+D40</f>
        <v>4.8528800000000007</v>
      </c>
      <c r="E41" s="8">
        <f t="shared" si="185"/>
        <v>7.0450100000000013</v>
      </c>
      <c r="F41" s="8">
        <f t="shared" si="185"/>
        <v>9.2461300000000008</v>
      </c>
      <c r="G41" s="8">
        <f t="shared" si="185"/>
        <v>11.509490000000001</v>
      </c>
      <c r="H41" s="8">
        <f t="shared" si="185"/>
        <v>13.864220000000001</v>
      </c>
      <c r="I41" s="8">
        <f t="shared" si="185"/>
        <v>16.300430000000002</v>
      </c>
      <c r="J41" s="8">
        <f t="shared" si="185"/>
        <v>18.739900000000002</v>
      </c>
      <c r="K41" s="8">
        <f t="shared" si="185"/>
        <v>21.110370000000003</v>
      </c>
      <c r="L41" s="8">
        <f t="shared" si="185"/>
        <v>23.560080000000003</v>
      </c>
      <c r="M41" s="8">
        <f t="shared" si="185"/>
        <v>26.054680000000005</v>
      </c>
      <c r="N41" s="8">
        <f t="shared" si="185"/>
        <v>28.576810000000005</v>
      </c>
      <c r="O41" s="8">
        <f t="shared" ref="O41:AG41" si="186">N41+O40</f>
        <v>31.178750000000004</v>
      </c>
      <c r="P41" s="8">
        <f t="shared" si="186"/>
        <v>33.784730000000003</v>
      </c>
      <c r="Q41" s="8">
        <f t="shared" si="186"/>
        <v>36.423200000000001</v>
      </c>
      <c r="R41" s="8">
        <f t="shared" si="186"/>
        <v>39.047319999999999</v>
      </c>
      <c r="S41" s="8">
        <f t="shared" si="186"/>
        <v>41.634369999999997</v>
      </c>
      <c r="T41" s="8">
        <f t="shared" si="186"/>
        <v>44.221209999999999</v>
      </c>
      <c r="U41" s="8">
        <f t="shared" si="186"/>
        <v>46.818719999999999</v>
      </c>
      <c r="V41" s="8">
        <f t="shared" si="186"/>
        <v>49.384569999999997</v>
      </c>
      <c r="W41" s="8">
        <f t="shared" si="186"/>
        <v>52.010169999999995</v>
      </c>
      <c r="X41" s="8">
        <f t="shared" si="186"/>
        <v>54.645319999999998</v>
      </c>
      <c r="Y41" s="8">
        <f t="shared" si="186"/>
        <v>57.23847</v>
      </c>
      <c r="Z41" s="8">
        <f t="shared" si="186"/>
        <v>59.821249999999999</v>
      </c>
      <c r="AA41" s="8">
        <f t="shared" si="186"/>
        <v>61.66216</v>
      </c>
      <c r="AB41" s="8">
        <f t="shared" si="186"/>
        <v>64.161850000000001</v>
      </c>
      <c r="AC41" s="8">
        <f t="shared" si="186"/>
        <v>66.383669999999995</v>
      </c>
      <c r="AD41" s="8">
        <f t="shared" si="186"/>
        <v>68.439109999999999</v>
      </c>
      <c r="AE41" s="8">
        <f t="shared" si="186"/>
        <v>70.562860000000001</v>
      </c>
      <c r="AF41" s="8">
        <f t="shared" si="186"/>
        <v>72.811639999999997</v>
      </c>
      <c r="AG41" s="8">
        <f t="shared" si="186"/>
        <v>75.150419999999997</v>
      </c>
      <c r="AH41" s="68"/>
      <c r="AI41" s="68"/>
      <c r="AJ41" s="68"/>
    </row>
    <row r="42" spans="1:36" ht="27.75" customHeight="1" x14ac:dyDescent="0.2">
      <c r="A42" s="17" t="s">
        <v>27</v>
      </c>
      <c r="B42" s="18" t="s">
        <v>5</v>
      </c>
      <c r="C42" s="278">
        <f t="shared" ref="C42:H42" si="187">75.836+C41</f>
        <v>78.338970000000003</v>
      </c>
      <c r="D42" s="278">
        <f t="shared" si="187"/>
        <v>80.688879999999997</v>
      </c>
      <c r="E42" s="278">
        <f t="shared" si="187"/>
        <v>82.881010000000003</v>
      </c>
      <c r="F42" s="278">
        <f t="shared" si="187"/>
        <v>85.082130000000006</v>
      </c>
      <c r="G42" s="278">
        <f t="shared" si="187"/>
        <v>87.345489999999998</v>
      </c>
      <c r="H42" s="278">
        <f t="shared" si="187"/>
        <v>89.700220000000002</v>
      </c>
      <c r="I42" s="278">
        <f t="shared" ref="I42:J42" si="188">75.836+I41</f>
        <v>92.136430000000004</v>
      </c>
      <c r="J42" s="278">
        <f t="shared" si="188"/>
        <v>94.575900000000004</v>
      </c>
      <c r="K42" s="278">
        <f t="shared" ref="K42:L42" si="189">75.836+K41</f>
        <v>96.946370000000002</v>
      </c>
      <c r="L42" s="278">
        <f t="shared" si="189"/>
        <v>99.396079999999998</v>
      </c>
      <c r="M42" s="278">
        <f t="shared" ref="M42:N42" si="190">75.836+M41</f>
        <v>101.89068</v>
      </c>
      <c r="N42" s="278">
        <f t="shared" si="190"/>
        <v>104.41281000000001</v>
      </c>
      <c r="O42" s="278">
        <f t="shared" ref="O42:T42" si="191">75.836+O41</f>
        <v>107.01475000000001</v>
      </c>
      <c r="P42" s="278">
        <f t="shared" si="191"/>
        <v>109.62073000000001</v>
      </c>
      <c r="Q42" s="278">
        <f t="shared" si="191"/>
        <v>112.25919999999999</v>
      </c>
      <c r="R42" s="278">
        <f t="shared" si="191"/>
        <v>114.88332</v>
      </c>
      <c r="S42" s="278">
        <f t="shared" si="191"/>
        <v>117.47037</v>
      </c>
      <c r="T42" s="278">
        <f t="shared" si="191"/>
        <v>120.05721</v>
      </c>
      <c r="U42" s="278">
        <f t="shared" ref="U42:V42" si="192">75.836+U41</f>
        <v>122.65472</v>
      </c>
      <c r="V42" s="278">
        <f t="shared" si="192"/>
        <v>125.22057</v>
      </c>
      <c r="W42" s="278">
        <f t="shared" ref="W42:X42" si="193">75.836+W41</f>
        <v>127.84617</v>
      </c>
      <c r="X42" s="278">
        <f t="shared" si="193"/>
        <v>130.48131999999998</v>
      </c>
      <c r="Y42" s="278">
        <f t="shared" ref="Y42:Z42" si="194">75.836+Y41</f>
        <v>133.07446999999999</v>
      </c>
      <c r="Z42" s="278">
        <f t="shared" si="194"/>
        <v>135.65725</v>
      </c>
      <c r="AA42" s="278">
        <f t="shared" ref="AA42:AB42" si="195">75.836+AA41</f>
        <v>137.49815999999998</v>
      </c>
      <c r="AB42" s="278">
        <f t="shared" si="195"/>
        <v>139.99785</v>
      </c>
      <c r="AC42" s="278">
        <f t="shared" ref="AC42:AD42" si="196">75.836+AC41</f>
        <v>142.21967000000001</v>
      </c>
      <c r="AD42" s="278">
        <f t="shared" si="196"/>
        <v>144.27510999999998</v>
      </c>
      <c r="AE42" s="278">
        <f t="shared" ref="AE42:AF42" si="197">75.836+AE41</f>
        <v>146.39886000000001</v>
      </c>
      <c r="AF42" s="278">
        <f t="shared" si="197"/>
        <v>148.64764</v>
      </c>
      <c r="AG42" s="278">
        <f t="shared" ref="AG42" si="198">75.836+AG41</f>
        <v>150.98642000000001</v>
      </c>
    </row>
    <row r="43" spans="1:36" ht="27.75" customHeight="1" x14ac:dyDescent="0.2">
      <c r="A43" s="21" t="s">
        <v>28</v>
      </c>
      <c r="B43" s="16" t="s">
        <v>5</v>
      </c>
      <c r="C43" s="23">
        <f>C40</f>
        <v>2.5029699999999999</v>
      </c>
      <c r="D43" s="23">
        <f t="shared" ref="D43:E43" si="199">D40</f>
        <v>2.3499100000000004</v>
      </c>
      <c r="E43" s="23">
        <f t="shared" si="199"/>
        <v>2.1921300000000001</v>
      </c>
      <c r="F43" s="23">
        <f t="shared" ref="F43:G43" si="200">F40</f>
        <v>2.20112</v>
      </c>
      <c r="G43" s="23">
        <f t="shared" si="200"/>
        <v>2.26336</v>
      </c>
      <c r="H43" s="23">
        <f t="shared" ref="H43:I43" si="201">H40</f>
        <v>2.35473</v>
      </c>
      <c r="I43" s="23">
        <f t="shared" si="201"/>
        <v>2.43621</v>
      </c>
      <c r="J43" s="23">
        <f t="shared" ref="J43:K43" si="202">J40</f>
        <v>2.43947</v>
      </c>
      <c r="K43" s="23">
        <f t="shared" si="202"/>
        <v>2.3704700000000001</v>
      </c>
      <c r="L43" s="23">
        <f t="shared" ref="L43:M43" si="203">L40</f>
        <v>2.4497100000000001</v>
      </c>
      <c r="M43" s="23">
        <f t="shared" si="203"/>
        <v>2.4946000000000002</v>
      </c>
      <c r="N43" s="23">
        <f t="shared" ref="N43" si="204">N40</f>
        <v>2.5221300000000002</v>
      </c>
      <c r="O43" s="23">
        <f t="shared" ref="O43:T43" si="205">O40</f>
        <v>2.6019399999999999</v>
      </c>
      <c r="P43" s="23">
        <f t="shared" si="205"/>
        <v>2.6059800000000002</v>
      </c>
      <c r="Q43" s="23">
        <f t="shared" si="205"/>
        <v>2.6384699999999999</v>
      </c>
      <c r="R43" s="23">
        <f t="shared" si="205"/>
        <v>2.62412</v>
      </c>
      <c r="S43" s="23">
        <f t="shared" si="205"/>
        <v>2.5870500000000001</v>
      </c>
      <c r="T43" s="23">
        <f t="shared" si="205"/>
        <v>2.58684</v>
      </c>
      <c r="U43" s="23">
        <f t="shared" ref="U43:V43" si="206">U40</f>
        <v>2.5975100000000002</v>
      </c>
      <c r="V43" s="23">
        <f t="shared" si="206"/>
        <v>2.5658500000000002</v>
      </c>
      <c r="W43" s="23">
        <f t="shared" ref="W43:X43" si="207">W40</f>
        <v>2.6255999999999999</v>
      </c>
      <c r="X43" s="23">
        <f t="shared" si="207"/>
        <v>2.6351499999999999</v>
      </c>
      <c r="Y43" s="23">
        <f t="shared" ref="Y43:Z43" si="208">Y40</f>
        <v>2.5931500000000001</v>
      </c>
      <c r="Z43" s="23">
        <f t="shared" si="208"/>
        <v>2.5827800000000001</v>
      </c>
      <c r="AA43" s="23">
        <f t="shared" ref="AA43:AB43" si="209">AA40</f>
        <v>1.84091</v>
      </c>
      <c r="AB43" s="23">
        <f t="shared" si="209"/>
        <v>2.4996900000000002</v>
      </c>
      <c r="AC43" s="23">
        <f t="shared" ref="AC43:AD43" si="210">AC40</f>
        <v>2.2218200000000001</v>
      </c>
      <c r="AD43" s="23">
        <f t="shared" si="210"/>
        <v>2.0554399999999999</v>
      </c>
      <c r="AE43" s="23">
        <f t="shared" ref="AE43:AF43" si="211">AE40</f>
        <v>2.1237499999999998</v>
      </c>
      <c r="AF43" s="23">
        <f t="shared" si="211"/>
        <v>2.24878</v>
      </c>
      <c r="AG43" s="23">
        <f t="shared" ref="AG43" si="212">AG40</f>
        <v>2.3387799999999999</v>
      </c>
    </row>
    <row r="44" spans="1:36" ht="27.75" customHeight="1" x14ac:dyDescent="0.2">
      <c r="A44" s="21" t="s">
        <v>29</v>
      </c>
      <c r="B44" s="16" t="s">
        <v>5</v>
      </c>
      <c r="C44" s="266">
        <f>C42</f>
        <v>78.338970000000003</v>
      </c>
      <c r="D44" s="266">
        <f t="shared" ref="D44:N44" si="213">C44+D43</f>
        <v>80.688879999999997</v>
      </c>
      <c r="E44" s="266">
        <f t="shared" si="213"/>
        <v>82.881010000000003</v>
      </c>
      <c r="F44" s="266">
        <f t="shared" si="213"/>
        <v>85.082130000000006</v>
      </c>
      <c r="G44" s="266">
        <f t="shared" si="213"/>
        <v>87.345490000000012</v>
      </c>
      <c r="H44" s="266">
        <f t="shared" si="213"/>
        <v>89.700220000000016</v>
      </c>
      <c r="I44" s="266">
        <f t="shared" si="213"/>
        <v>92.136430000000018</v>
      </c>
      <c r="J44" s="266">
        <f t="shared" si="213"/>
        <v>94.575900000000019</v>
      </c>
      <c r="K44" s="266">
        <f t="shared" si="213"/>
        <v>96.946370000000016</v>
      </c>
      <c r="L44" s="266">
        <f t="shared" si="213"/>
        <v>99.396080000000012</v>
      </c>
      <c r="M44" s="266">
        <f t="shared" si="213"/>
        <v>101.89068000000002</v>
      </c>
      <c r="N44" s="266">
        <f t="shared" si="213"/>
        <v>104.41281000000002</v>
      </c>
      <c r="O44" s="266">
        <f t="shared" ref="O44:AG44" si="214">N44+O43</f>
        <v>107.01475000000002</v>
      </c>
      <c r="P44" s="266">
        <f t="shared" si="214"/>
        <v>109.62073000000002</v>
      </c>
      <c r="Q44" s="266">
        <f t="shared" si="214"/>
        <v>112.25920000000002</v>
      </c>
      <c r="R44" s="266">
        <f t="shared" si="214"/>
        <v>114.88332000000003</v>
      </c>
      <c r="S44" s="266">
        <f t="shared" si="214"/>
        <v>117.47037000000003</v>
      </c>
      <c r="T44" s="266">
        <f t="shared" si="214"/>
        <v>120.05721000000003</v>
      </c>
      <c r="U44" s="266">
        <f t="shared" si="214"/>
        <v>122.65472000000003</v>
      </c>
      <c r="V44" s="266">
        <f t="shared" si="214"/>
        <v>125.22057000000002</v>
      </c>
      <c r="W44" s="266">
        <f t="shared" si="214"/>
        <v>127.84617000000003</v>
      </c>
      <c r="X44" s="266">
        <f t="shared" si="214"/>
        <v>130.48132000000004</v>
      </c>
      <c r="Y44" s="266">
        <f t="shared" si="214"/>
        <v>133.07447000000005</v>
      </c>
      <c r="Z44" s="266">
        <f t="shared" si="214"/>
        <v>135.65725000000006</v>
      </c>
      <c r="AA44" s="266">
        <f t="shared" si="214"/>
        <v>137.49816000000007</v>
      </c>
      <c r="AB44" s="266">
        <f t="shared" si="214"/>
        <v>139.99785000000006</v>
      </c>
      <c r="AC44" s="266">
        <f t="shared" si="214"/>
        <v>142.21967000000006</v>
      </c>
      <c r="AD44" s="266">
        <f t="shared" si="214"/>
        <v>144.27511000000007</v>
      </c>
      <c r="AE44" s="266">
        <f t="shared" si="214"/>
        <v>146.39886000000007</v>
      </c>
      <c r="AF44" s="266">
        <f t="shared" si="214"/>
        <v>148.64764000000008</v>
      </c>
      <c r="AG44" s="266">
        <f t="shared" si="214"/>
        <v>150.98642000000007</v>
      </c>
    </row>
    <row r="45" spans="1:36" ht="27.75" customHeight="1" x14ac:dyDescent="0.2">
      <c r="A45" s="21" t="s">
        <v>30</v>
      </c>
      <c r="B45" s="16" t="s">
        <v>5</v>
      </c>
      <c r="C45" s="23">
        <v>-0.28246600000000033</v>
      </c>
      <c r="D45" s="23">
        <v>6.7961999999999634E-2</v>
      </c>
      <c r="E45" s="23">
        <v>6.4309999999999867E-2</v>
      </c>
      <c r="F45" s="23">
        <v>5.559999999999965E-2</v>
      </c>
      <c r="G45" s="23">
        <v>6.5895999999999955E-2</v>
      </c>
      <c r="H45" s="23">
        <v>7.1999999999999995E-2</v>
      </c>
      <c r="I45" s="23">
        <v>9.7000000000000003E-2</v>
      </c>
      <c r="J45" s="23">
        <v>8.6602000000000068E-2</v>
      </c>
      <c r="K45" s="23">
        <v>8.2097999999999782E-2</v>
      </c>
      <c r="L45" s="23">
        <v>9.5673999999999815E-2</v>
      </c>
      <c r="M45" s="23">
        <v>8.4928000000000115E-2</v>
      </c>
      <c r="N45" s="23">
        <v>9.5789999999999598E-2</v>
      </c>
      <c r="O45" s="23">
        <v>8.5999999999999993E-2</v>
      </c>
      <c r="P45" s="23">
        <v>6.9483999999999657E-2</v>
      </c>
      <c r="Q45" s="23">
        <v>7.3498000000000285E-2</v>
      </c>
      <c r="R45" s="23">
        <v>5.9703999999999979E-2</v>
      </c>
      <c r="S45" s="23">
        <v>4.8045999999999811E-2</v>
      </c>
      <c r="T45" s="23">
        <v>6.5176000000000123E-2</v>
      </c>
      <c r="U45" s="23">
        <v>3.7537999999999627E-2</v>
      </c>
      <c r="V45" s="23">
        <v>8.4613999999999745E-2</v>
      </c>
      <c r="W45" s="23">
        <v>7.4888000000000066E-2</v>
      </c>
      <c r="X45" s="23">
        <v>4.3633999999999951E-2</v>
      </c>
      <c r="Y45" s="23">
        <v>5.4122000000000003E-2</v>
      </c>
      <c r="Z45" s="23">
        <v>6.1971999999999916E-2</v>
      </c>
      <c r="AA45" s="23">
        <v>7.7121999999999913E-2</v>
      </c>
      <c r="AB45" s="23">
        <v>7.5429999999999886E-2</v>
      </c>
      <c r="AC45" s="23">
        <v>1.5387999999999735E-2</v>
      </c>
      <c r="AD45" s="23">
        <v>6.1768000000000267E-2</v>
      </c>
      <c r="AE45" s="23">
        <v>6.4000000000000001E-2</v>
      </c>
      <c r="AF45" s="23">
        <v>3.6748000000000225E-2</v>
      </c>
      <c r="AG45" s="23">
        <v>7.2999999999999995E-2</v>
      </c>
    </row>
    <row r="46" spans="1:36" ht="27.75" customHeight="1" x14ac:dyDescent="0.2">
      <c r="A46" s="21" t="s">
        <v>31</v>
      </c>
      <c r="B46" s="16" t="s">
        <v>5</v>
      </c>
      <c r="C46" s="23">
        <f>C45</f>
        <v>-0.28246600000000033</v>
      </c>
      <c r="D46" s="23">
        <f t="shared" ref="D46:N46" si="215">C46+D45</f>
        <v>-0.21450400000000069</v>
      </c>
      <c r="E46" s="23">
        <f t="shared" si="215"/>
        <v>-0.15019400000000083</v>
      </c>
      <c r="F46" s="23">
        <f t="shared" si="215"/>
        <v>-9.4594000000001177E-2</v>
      </c>
      <c r="G46" s="23">
        <f t="shared" si="215"/>
        <v>-2.8698000000001223E-2</v>
      </c>
      <c r="H46" s="23">
        <f t="shared" si="215"/>
        <v>4.3301999999998772E-2</v>
      </c>
      <c r="I46" s="23">
        <f t="shared" si="215"/>
        <v>0.14030199999999876</v>
      </c>
      <c r="J46" s="23">
        <f t="shared" si="215"/>
        <v>0.22690399999999883</v>
      </c>
      <c r="K46" s="23">
        <f t="shared" si="215"/>
        <v>0.30900199999999861</v>
      </c>
      <c r="L46" s="23">
        <f t="shared" si="215"/>
        <v>0.40467599999999843</v>
      </c>
      <c r="M46" s="23">
        <f t="shared" si="215"/>
        <v>0.48960399999999854</v>
      </c>
      <c r="N46" s="23">
        <f t="shared" si="215"/>
        <v>0.58539399999999819</v>
      </c>
      <c r="O46" s="23">
        <f t="shared" ref="O46:AG46" si="216">N46+O45</f>
        <v>0.67139399999999816</v>
      </c>
      <c r="P46" s="23">
        <f t="shared" si="216"/>
        <v>0.74087799999999782</v>
      </c>
      <c r="Q46" s="23">
        <f t="shared" si="216"/>
        <v>0.8143759999999981</v>
      </c>
      <c r="R46" s="23">
        <f t="shared" si="216"/>
        <v>0.87407999999999808</v>
      </c>
      <c r="S46" s="23">
        <f t="shared" si="216"/>
        <v>0.92212599999999789</v>
      </c>
      <c r="T46" s="23">
        <f t="shared" si="216"/>
        <v>0.98730199999999801</v>
      </c>
      <c r="U46" s="23">
        <f t="shared" si="216"/>
        <v>1.0248399999999975</v>
      </c>
      <c r="V46" s="23">
        <f t="shared" si="216"/>
        <v>1.1094539999999973</v>
      </c>
      <c r="W46" s="23">
        <f t="shared" si="216"/>
        <v>1.1843419999999973</v>
      </c>
      <c r="X46" s="23">
        <f t="shared" si="216"/>
        <v>1.2279759999999973</v>
      </c>
      <c r="Y46" s="23">
        <f t="shared" si="216"/>
        <v>1.2820979999999973</v>
      </c>
      <c r="Z46" s="23">
        <f t="shared" si="216"/>
        <v>1.3440699999999972</v>
      </c>
      <c r="AA46" s="23">
        <f t="shared" si="216"/>
        <v>1.4211919999999971</v>
      </c>
      <c r="AB46" s="23">
        <f t="shared" si="216"/>
        <v>1.496621999999997</v>
      </c>
      <c r="AC46" s="23">
        <f t="shared" si="216"/>
        <v>1.5120099999999967</v>
      </c>
      <c r="AD46" s="23">
        <f t="shared" si="216"/>
        <v>1.573777999999997</v>
      </c>
      <c r="AE46" s="23">
        <f t="shared" si="216"/>
        <v>1.6377779999999971</v>
      </c>
      <c r="AF46" s="23">
        <f t="shared" si="216"/>
        <v>1.6745259999999973</v>
      </c>
      <c r="AG46" s="23">
        <f t="shared" si="216"/>
        <v>1.7475259999999972</v>
      </c>
      <c r="AH46" s="68"/>
      <c r="AI46" s="68"/>
      <c r="AJ46" s="68"/>
    </row>
    <row r="47" spans="1:36" ht="27.75" customHeight="1" x14ac:dyDescent="0.2">
      <c r="A47" s="21" t="s">
        <v>32</v>
      </c>
      <c r="B47" s="16" t="s">
        <v>5</v>
      </c>
      <c r="C47" s="267">
        <f t="shared" ref="C47:H47" si="217">2.0497+C46</f>
        <v>1.7672339999999997</v>
      </c>
      <c r="D47" s="267">
        <f t="shared" si="217"/>
        <v>1.8351959999999994</v>
      </c>
      <c r="E47" s="267">
        <f t="shared" si="217"/>
        <v>1.8995059999999993</v>
      </c>
      <c r="F47" s="267">
        <f t="shared" si="217"/>
        <v>1.9551059999999989</v>
      </c>
      <c r="G47" s="267">
        <f t="shared" si="217"/>
        <v>2.0210019999999989</v>
      </c>
      <c r="H47" s="267">
        <f t="shared" si="217"/>
        <v>2.0930019999999989</v>
      </c>
      <c r="I47" s="267">
        <f t="shared" ref="I47:J47" si="218">2.0497+I46</f>
        <v>2.1900019999999989</v>
      </c>
      <c r="J47" s="267">
        <f t="shared" si="218"/>
        <v>2.276603999999999</v>
      </c>
      <c r="K47" s="267">
        <f t="shared" ref="K47:L47" si="219">2.0497+K46</f>
        <v>2.3587019999999987</v>
      </c>
      <c r="L47" s="267">
        <f t="shared" si="219"/>
        <v>2.4543759999999986</v>
      </c>
      <c r="M47" s="267">
        <f t="shared" ref="M47:N47" si="220">2.0497+M46</f>
        <v>2.5393039999999987</v>
      </c>
      <c r="N47" s="267">
        <f t="shared" si="220"/>
        <v>2.6350939999999983</v>
      </c>
      <c r="O47" s="267">
        <f t="shared" ref="O47:T47" si="221">2.0497+O46</f>
        <v>2.7210939999999981</v>
      </c>
      <c r="P47" s="267">
        <f t="shared" si="221"/>
        <v>2.7905779999999978</v>
      </c>
      <c r="Q47" s="267">
        <f t="shared" si="221"/>
        <v>2.8640759999999981</v>
      </c>
      <c r="R47" s="267">
        <f t="shared" si="221"/>
        <v>2.923779999999998</v>
      </c>
      <c r="S47" s="267">
        <f t="shared" si="221"/>
        <v>2.9718259999999979</v>
      </c>
      <c r="T47" s="267">
        <f t="shared" si="221"/>
        <v>3.037001999999998</v>
      </c>
      <c r="U47" s="267">
        <f t="shared" ref="U47:V47" si="222">2.0497+U46</f>
        <v>3.0745399999999976</v>
      </c>
      <c r="V47" s="267">
        <f t="shared" si="222"/>
        <v>3.1591539999999974</v>
      </c>
      <c r="W47" s="267">
        <f t="shared" ref="W47:X47" si="223">2.0497+W46</f>
        <v>3.2340419999999974</v>
      </c>
      <c r="X47" s="267">
        <f t="shared" si="223"/>
        <v>3.2776759999999974</v>
      </c>
      <c r="Y47" s="267">
        <f t="shared" ref="Y47:Z47" si="224">2.0497+Y46</f>
        <v>3.3317979999999974</v>
      </c>
      <c r="Z47" s="267">
        <f t="shared" si="224"/>
        <v>3.3937699999999973</v>
      </c>
      <c r="AA47" s="267">
        <f t="shared" ref="AA47:AB47" si="225">2.0497+AA46</f>
        <v>3.4708919999999974</v>
      </c>
      <c r="AB47" s="267">
        <f t="shared" si="225"/>
        <v>3.5463219999999973</v>
      </c>
      <c r="AC47" s="267">
        <f t="shared" ref="AC47:AD47" si="226">2.0497+AC46</f>
        <v>3.561709999999997</v>
      </c>
      <c r="AD47" s="267">
        <f t="shared" si="226"/>
        <v>3.6234779999999969</v>
      </c>
      <c r="AE47" s="267">
        <f t="shared" ref="AE47:AF47" si="227">2.0497+AE46</f>
        <v>3.6874779999999969</v>
      </c>
      <c r="AF47" s="267">
        <f t="shared" si="227"/>
        <v>3.7242259999999971</v>
      </c>
      <c r="AG47" s="267">
        <f t="shared" ref="AG47" si="228">2.0497+AG46</f>
        <v>3.7972259999999975</v>
      </c>
      <c r="AH47" s="68"/>
      <c r="AI47" s="68"/>
      <c r="AJ47" s="68"/>
    </row>
    <row r="48" spans="1:36" ht="27.75" customHeight="1" x14ac:dyDescent="0.2">
      <c r="A48" s="21" t="s">
        <v>33</v>
      </c>
      <c r="B48" s="16" t="s">
        <v>34</v>
      </c>
      <c r="C48" s="81">
        <v>-1434521.55</v>
      </c>
      <c r="D48" s="81">
        <v>-1287330.1599999999</v>
      </c>
      <c r="E48" s="81">
        <v>161824.20000000001</v>
      </c>
      <c r="F48" s="81">
        <v>161764</v>
      </c>
      <c r="G48" s="81">
        <v>170255</v>
      </c>
      <c r="H48" s="81">
        <v>175800</v>
      </c>
      <c r="I48" s="81">
        <v>212281</v>
      </c>
      <c r="J48" s="81">
        <v>213347</v>
      </c>
      <c r="K48" s="81">
        <v>218001</v>
      </c>
      <c r="L48" s="81">
        <v>200073.4</v>
      </c>
      <c r="M48" s="81">
        <v>258241</v>
      </c>
      <c r="N48" s="81">
        <v>253940</v>
      </c>
      <c r="O48" s="81">
        <v>217747</v>
      </c>
      <c r="P48" s="81">
        <v>183780.12</v>
      </c>
      <c r="Q48" s="81">
        <v>208120</v>
      </c>
      <c r="R48" s="81">
        <v>169783.9821726465</v>
      </c>
      <c r="S48" s="81">
        <v>142833.07999999999</v>
      </c>
      <c r="T48" s="81">
        <v>168828</v>
      </c>
      <c r="U48" s="81">
        <v>106263</v>
      </c>
      <c r="V48" s="81">
        <v>201966.66</v>
      </c>
      <c r="W48" s="81">
        <v>187921.32</v>
      </c>
      <c r="X48" s="81">
        <v>116478</v>
      </c>
      <c r="Y48" s="81">
        <v>153159.12</v>
      </c>
      <c r="Z48" s="81">
        <v>176078.40214806152</v>
      </c>
      <c r="AA48" s="81">
        <v>165910</v>
      </c>
      <c r="AB48" s="81">
        <v>198788</v>
      </c>
      <c r="AC48" s="81">
        <v>15537.8915140149</v>
      </c>
      <c r="AD48" s="81">
        <v>159479.53</v>
      </c>
      <c r="AE48" s="81">
        <v>156563</v>
      </c>
      <c r="AF48" s="81">
        <v>78613</v>
      </c>
      <c r="AG48" s="81">
        <v>175551</v>
      </c>
    </row>
    <row r="49" spans="1:34" ht="27.75" customHeight="1" x14ac:dyDescent="0.2">
      <c r="A49" s="21" t="s">
        <v>33</v>
      </c>
      <c r="B49" s="16" t="s">
        <v>35</v>
      </c>
      <c r="C49" s="286">
        <f>C48/10^5</f>
        <v>-14.3452155</v>
      </c>
      <c r="D49" s="286">
        <f t="shared" ref="D49:E49" si="229">D48/10^5</f>
        <v>-12.8733016</v>
      </c>
      <c r="E49" s="286">
        <f t="shared" si="229"/>
        <v>1.6182420000000002</v>
      </c>
      <c r="F49" s="286">
        <f t="shared" ref="F49" si="230">F48/10^5</f>
        <v>1.61764</v>
      </c>
      <c r="G49" s="286">
        <f t="shared" ref="G49:H49" si="231">G48/10^5</f>
        <v>1.70255</v>
      </c>
      <c r="H49" s="286">
        <f t="shared" si="231"/>
        <v>1.758</v>
      </c>
      <c r="I49" s="286">
        <f t="shared" ref="I49:J49" si="232">I48/10^5</f>
        <v>2.1228099999999999</v>
      </c>
      <c r="J49" s="286">
        <f t="shared" si="232"/>
        <v>2.13347</v>
      </c>
      <c r="K49" s="286">
        <f t="shared" ref="K49:L49" si="233">K48/10^5</f>
        <v>2.1800099999999998</v>
      </c>
      <c r="L49" s="286">
        <f t="shared" si="233"/>
        <v>2.000734</v>
      </c>
      <c r="M49" s="286">
        <f t="shared" ref="M49:N49" si="234">M48/10^5</f>
        <v>2.5824099999999999</v>
      </c>
      <c r="N49" s="286">
        <f t="shared" si="234"/>
        <v>2.5394000000000001</v>
      </c>
      <c r="O49" s="286">
        <f t="shared" ref="O49:T49" si="235">O48/10^5</f>
        <v>2.17747</v>
      </c>
      <c r="P49" s="286">
        <f t="shared" si="235"/>
        <v>1.8378011999999999</v>
      </c>
      <c r="Q49" s="286">
        <f t="shared" si="235"/>
        <v>2.0811999999999999</v>
      </c>
      <c r="R49" s="286">
        <f t="shared" si="235"/>
        <v>1.697839821726465</v>
      </c>
      <c r="S49" s="286">
        <f t="shared" si="235"/>
        <v>1.4283307999999999</v>
      </c>
      <c r="T49" s="286">
        <f t="shared" si="235"/>
        <v>1.68828</v>
      </c>
      <c r="U49" s="286">
        <f t="shared" ref="U49:V49" si="236">U48/10^5</f>
        <v>1.06263</v>
      </c>
      <c r="V49" s="286">
        <f t="shared" si="236"/>
        <v>2.0196665999999999</v>
      </c>
      <c r="W49" s="286">
        <f t="shared" ref="W49:X49" si="237">W48/10^5</f>
        <v>1.8792132000000001</v>
      </c>
      <c r="X49" s="286">
        <f t="shared" si="237"/>
        <v>1.1647799999999999</v>
      </c>
      <c r="Y49" s="286">
        <f t="shared" ref="Y49:Z49" si="238">Y48/10^5</f>
        <v>1.5315912</v>
      </c>
      <c r="Z49" s="286">
        <f t="shared" si="238"/>
        <v>1.7607840214806152</v>
      </c>
      <c r="AA49" s="286">
        <f t="shared" ref="AA49:AB49" si="239">AA48/10^5</f>
        <v>1.6591</v>
      </c>
      <c r="AB49" s="286">
        <f t="shared" si="239"/>
        <v>1.9878800000000001</v>
      </c>
      <c r="AC49" s="286">
        <f t="shared" ref="AC49:AD49" si="240">AC48/10^5</f>
        <v>0.15537891514014901</v>
      </c>
      <c r="AD49" s="286">
        <f t="shared" si="240"/>
        <v>1.5947952999999999</v>
      </c>
      <c r="AE49" s="286">
        <f t="shared" ref="AE49:AF49" si="241">AE48/10^5</f>
        <v>1.5656300000000001</v>
      </c>
      <c r="AF49" s="286">
        <f t="shared" si="241"/>
        <v>0.78613</v>
      </c>
      <c r="AG49" s="286">
        <f t="shared" ref="AG49" si="242">AG48/10^5</f>
        <v>1.7555099999999999</v>
      </c>
    </row>
    <row r="50" spans="1:34" ht="27.75" customHeight="1" x14ac:dyDescent="0.2">
      <c r="A50" s="287" t="s">
        <v>36</v>
      </c>
      <c r="B50" s="16" t="s">
        <v>35</v>
      </c>
      <c r="C50" s="286">
        <f>C49</f>
        <v>-14.3452155</v>
      </c>
      <c r="D50" s="286">
        <f t="shared" ref="D50:N50" si="243">D49+C50</f>
        <v>-27.2185171</v>
      </c>
      <c r="E50" s="286">
        <f t="shared" si="243"/>
        <v>-25.600275100000001</v>
      </c>
      <c r="F50" s="286">
        <f t="shared" si="243"/>
        <v>-23.9826351</v>
      </c>
      <c r="G50" s="286">
        <f t="shared" si="243"/>
        <v>-22.280085100000001</v>
      </c>
      <c r="H50" s="286">
        <f t="shared" si="243"/>
        <v>-20.522085100000002</v>
      </c>
      <c r="I50" s="286">
        <f t="shared" si="243"/>
        <v>-18.399275100000001</v>
      </c>
      <c r="J50" s="286">
        <f t="shared" si="243"/>
        <v>-16.265805100000001</v>
      </c>
      <c r="K50" s="286">
        <f t="shared" si="243"/>
        <v>-14.085795100000002</v>
      </c>
      <c r="L50" s="286">
        <f t="shared" si="243"/>
        <v>-12.085061100000003</v>
      </c>
      <c r="M50" s="286">
        <f t="shared" si="243"/>
        <v>-9.5026511000000031</v>
      </c>
      <c r="N50" s="286">
        <f t="shared" si="243"/>
        <v>-6.9632511000000026</v>
      </c>
      <c r="O50" s="286">
        <f t="shared" ref="O50:AG50" si="244">O49+N50</f>
        <v>-4.785781100000003</v>
      </c>
      <c r="P50" s="286">
        <f t="shared" si="244"/>
        <v>-2.9479799000000031</v>
      </c>
      <c r="Q50" s="286">
        <f t="shared" si="244"/>
        <v>-0.86677990000000316</v>
      </c>
      <c r="R50" s="286">
        <f t="shared" si="244"/>
        <v>0.83105992172646181</v>
      </c>
      <c r="S50" s="286">
        <f t="shared" si="244"/>
        <v>2.2593907217264615</v>
      </c>
      <c r="T50" s="286">
        <f t="shared" si="244"/>
        <v>3.9476707217264613</v>
      </c>
      <c r="U50" s="286">
        <f t="shared" si="244"/>
        <v>5.0103007217264608</v>
      </c>
      <c r="V50" s="286">
        <f t="shared" si="244"/>
        <v>7.0299673217264607</v>
      </c>
      <c r="W50" s="286">
        <f t="shared" si="244"/>
        <v>8.9091805217264604</v>
      </c>
      <c r="X50" s="286">
        <f t="shared" si="244"/>
        <v>10.073960521726461</v>
      </c>
      <c r="Y50" s="286">
        <f t="shared" si="244"/>
        <v>11.60555172172646</v>
      </c>
      <c r="Z50" s="286">
        <f t="shared" si="244"/>
        <v>13.366335743207076</v>
      </c>
      <c r="AA50" s="286">
        <f t="shared" si="244"/>
        <v>15.025435743207076</v>
      </c>
      <c r="AB50" s="286">
        <f t="shared" si="244"/>
        <v>17.013315743207077</v>
      </c>
      <c r="AC50" s="286">
        <f t="shared" si="244"/>
        <v>17.168694658347224</v>
      </c>
      <c r="AD50" s="286">
        <f t="shared" si="244"/>
        <v>18.763489958347225</v>
      </c>
      <c r="AE50" s="286">
        <f t="shared" si="244"/>
        <v>20.329119958347224</v>
      </c>
      <c r="AF50" s="286">
        <f t="shared" si="244"/>
        <v>21.115249958347224</v>
      </c>
      <c r="AG50" s="286">
        <f t="shared" si="244"/>
        <v>22.870759958347225</v>
      </c>
    </row>
    <row r="51" spans="1:34" ht="34.5" customHeight="1" x14ac:dyDescent="0.2">
      <c r="A51" s="20" t="s">
        <v>37</v>
      </c>
      <c r="B51" s="18" t="s">
        <v>13</v>
      </c>
      <c r="C51" s="3">
        <f>C53/(UNITS!C28+UNITS!C55+UNITS!C82)*100</f>
        <v>2.8440166265587399</v>
      </c>
      <c r="D51" s="3">
        <f>D53/(UNITS!D28+UNITS!D55+UNITS!D82)*100</f>
        <v>7.8113228208497603</v>
      </c>
      <c r="E51" s="3">
        <f>E53/(UNITS!E28+UNITS!E55+UNITS!E82)*100</f>
        <v>2.180482686253935</v>
      </c>
      <c r="F51" s="3">
        <f>F53/(UNITS!F28+UNITS!F55+UNITS!F82)*100</f>
        <v>2.4593881856540083</v>
      </c>
      <c r="G51" s="3">
        <f>G53/(UNITS!G28+UNITS!G55+UNITS!G82)*100</f>
        <v>2.1628239134870433</v>
      </c>
      <c r="H51" s="3">
        <f>H53/(UNITS!H28+UNITS!H55+UNITS!H82)*100</f>
        <v>1.9342169857633775</v>
      </c>
      <c r="I51" s="3">
        <f>I53/(UNITS!I28+UNITS!I55+UNITS!I82)*100</f>
        <v>2.1668264621284754</v>
      </c>
      <c r="J51" s="3">
        <f>J53/(UNITS!J28+UNITS!J55+UNITS!J82)*100</f>
        <v>1.8148505303760849</v>
      </c>
      <c r="K51" s="3">
        <f>K53/(UNITS!K28+UNITS!K55+UNITS!K82)*100</f>
        <v>2.4416446918644397</v>
      </c>
      <c r="L51" s="3">
        <f>L53/(UNITS!L28+UNITS!L55+UNITS!L82)*100</f>
        <v>2.0993098159509205</v>
      </c>
      <c r="M51" s="3">
        <f>M53/(UNITS!M28+UNITS!M55+UNITS!M82)*100</f>
        <v>2.0652338572240105</v>
      </c>
      <c r="N51" s="3">
        <f>N53/(UNITS!N28+UNITS!N55+UNITS!N82)*100</f>
        <v>2.2582731076454925</v>
      </c>
      <c r="O51" s="3">
        <f>O53/(UNITS!O28+UNITS!O55+UNITS!O82)*100</f>
        <v>2.127857275599331</v>
      </c>
      <c r="P51" s="3">
        <f>P53/(UNITS!P28+UNITS!P55+UNITS!P82)*100</f>
        <v>2.0603109196478742</v>
      </c>
      <c r="Q51" s="3">
        <f>Q53/(UNITS!Q28+UNITS!Q55+UNITS!Q82)*100</f>
        <v>2.3486136783733826</v>
      </c>
      <c r="R51" s="3">
        <f>R53/(UNITS!R28+UNITS!R55+UNITS!R82)*100</f>
        <v>1.9872423037810856</v>
      </c>
      <c r="S51" s="3">
        <f>S53/(UNITS!S28+UNITS!S55+UNITS!S82)*100</f>
        <v>2.193801344286781</v>
      </c>
      <c r="T51" s="3">
        <f>T53/(UNITS!T28+UNITS!T55+UNITS!T82)*100</f>
        <v>2.5619416044947956</v>
      </c>
      <c r="U51" s="3">
        <f>U53/(UNITS!U28+UNITS!U55+UNITS!U82)*100</f>
        <v>2.140724746526474</v>
      </c>
      <c r="V51" s="3">
        <f>V53/(UNITS!V28+UNITS!V55+UNITS!V82)*100</f>
        <v>2.5271433919880195</v>
      </c>
      <c r="W51" s="3">
        <f>W53/(UNITS!W28+UNITS!W55+UNITS!W82)*100</f>
        <v>2.1911250230160193</v>
      </c>
      <c r="X51" s="3">
        <f>X53/(UNITS!X28+UNITS!X55+UNITS!X82)*100</f>
        <v>2.5860465116279068</v>
      </c>
      <c r="Y51" s="3">
        <f>Y53/(UNITS!Y28+UNITS!Y55+UNITS!Y82)*100</f>
        <v>2.9084612504679894</v>
      </c>
      <c r="Z51" s="3">
        <f>Z53/(UNITS!Z28+UNITS!Z55+UNITS!Z82)*100</f>
        <v>2.2827098455239159</v>
      </c>
      <c r="AA51" s="3">
        <f>AA53/(UNITS!AA28+UNITS!AA55+UNITS!AA82)*100</f>
        <v>7.779148673658236</v>
      </c>
      <c r="AB51" s="3">
        <f>AB53/(UNITS!AB28+UNITS!AB55+UNITS!AB82)*100</f>
        <v>2.956989247311828</v>
      </c>
      <c r="AC51" s="3">
        <f>AC53/(UNITS!AC28+UNITS!AC55+UNITS!AC82)*100</f>
        <v>2.2467235281880589</v>
      </c>
      <c r="AD51" s="3">
        <f>AD53/(UNITS!AD28+UNITS!AD55+UNITS!AD82)*100</f>
        <v>2.4832435996044389</v>
      </c>
      <c r="AE51" s="3">
        <f>AE53/(UNITS!AE28+UNITS!AE55+UNITS!AE82)*100</f>
        <v>2.3325167749494091</v>
      </c>
      <c r="AF51" s="3">
        <f>AF53/(UNITS!AF28+UNITS!AF55+UNITS!AF82)*100</f>
        <v>2.1387402223137095</v>
      </c>
      <c r="AG51" s="3">
        <f>AG53/(UNITS!AG28+UNITS!AG55+UNITS!AG82)*100</f>
        <v>2.0182938954066412</v>
      </c>
    </row>
    <row r="52" spans="1:34" ht="30" customHeight="1" x14ac:dyDescent="0.2">
      <c r="A52" s="19" t="s">
        <v>38</v>
      </c>
      <c r="B52" s="18" t="s">
        <v>39</v>
      </c>
      <c r="C52" s="3">
        <v>221</v>
      </c>
      <c r="D52" s="3">
        <v>654</v>
      </c>
      <c r="E52" s="3">
        <v>210</v>
      </c>
      <c r="F52" s="3">
        <v>238</v>
      </c>
      <c r="G52" s="3">
        <v>242</v>
      </c>
      <c r="H52" s="3">
        <v>189</v>
      </c>
      <c r="I52" s="3">
        <v>220</v>
      </c>
      <c r="J52" s="3">
        <v>192</v>
      </c>
      <c r="K52" s="3">
        <v>269</v>
      </c>
      <c r="L52" s="3">
        <v>224</v>
      </c>
      <c r="M52" s="3">
        <v>224</v>
      </c>
      <c r="N52" s="3">
        <v>236</v>
      </c>
      <c r="O52" s="3">
        <v>228</v>
      </c>
      <c r="P52" s="3">
        <v>209</v>
      </c>
      <c r="Q52" s="3">
        <v>231</v>
      </c>
      <c r="R52" s="3">
        <v>238</v>
      </c>
      <c r="S52" s="3">
        <v>238</v>
      </c>
      <c r="T52" s="3">
        <v>280</v>
      </c>
      <c r="U52" s="3">
        <v>231</v>
      </c>
      <c r="V52" s="3">
        <v>280</v>
      </c>
      <c r="W52" s="3">
        <v>238</v>
      </c>
      <c r="X52" s="3">
        <v>280</v>
      </c>
      <c r="Y52" s="3">
        <v>315</v>
      </c>
      <c r="Z52" s="3">
        <v>252</v>
      </c>
      <c r="AA52" s="3">
        <v>567</v>
      </c>
      <c r="AB52" s="3">
        <v>364</v>
      </c>
      <c r="AC52" s="3">
        <v>192</v>
      </c>
      <c r="AD52" s="3">
        <v>210</v>
      </c>
      <c r="AE52" s="3">
        <v>217</v>
      </c>
      <c r="AF52" s="3">
        <v>210</v>
      </c>
      <c r="AG52" s="3">
        <v>210</v>
      </c>
    </row>
    <row r="53" spans="1:34" ht="37.5" customHeight="1" x14ac:dyDescent="0.2">
      <c r="A53" s="19" t="s">
        <v>37</v>
      </c>
      <c r="B53" s="18" t="s">
        <v>39</v>
      </c>
      <c r="C53" s="3">
        <v>260</v>
      </c>
      <c r="D53" s="3">
        <v>713.33</v>
      </c>
      <c r="E53" s="3">
        <v>207.8</v>
      </c>
      <c r="F53" s="3">
        <v>233.15</v>
      </c>
      <c r="G53" s="3">
        <v>212</v>
      </c>
      <c r="H53" s="3">
        <v>197</v>
      </c>
      <c r="I53" s="3">
        <v>226</v>
      </c>
      <c r="J53" s="3">
        <v>188.2</v>
      </c>
      <c r="K53" s="3">
        <v>250</v>
      </c>
      <c r="L53" s="3">
        <v>219</v>
      </c>
      <c r="M53" s="3">
        <v>218.13</v>
      </c>
      <c r="N53" s="3">
        <v>237.48</v>
      </c>
      <c r="O53" s="3">
        <v>229</v>
      </c>
      <c r="P53" s="3">
        <v>220</v>
      </c>
      <c r="Q53" s="3">
        <v>254.12</v>
      </c>
      <c r="R53" s="3">
        <v>214.96</v>
      </c>
      <c r="S53" s="3">
        <v>235</v>
      </c>
      <c r="T53" s="3">
        <v>278.14999999999998</v>
      </c>
      <c r="U53" s="3">
        <v>228.03</v>
      </c>
      <c r="V53" s="3">
        <v>270</v>
      </c>
      <c r="W53" s="3">
        <v>238</v>
      </c>
      <c r="X53" s="3">
        <v>278</v>
      </c>
      <c r="Y53" s="3">
        <v>310.74</v>
      </c>
      <c r="Z53" s="3">
        <v>245.3</v>
      </c>
      <c r="AA53" s="3">
        <v>630.5</v>
      </c>
      <c r="AB53" s="3">
        <v>308</v>
      </c>
      <c r="AC53" s="3">
        <v>216</v>
      </c>
      <c r="AD53" s="3">
        <v>226</v>
      </c>
      <c r="AE53" s="3">
        <v>219</v>
      </c>
      <c r="AF53" s="3">
        <v>207.8</v>
      </c>
      <c r="AG53" s="3">
        <v>203</v>
      </c>
    </row>
    <row r="54" spans="1:34" ht="37.5" hidden="1" customHeight="1" x14ac:dyDescent="0.2">
      <c r="A54" s="20" t="s">
        <v>40</v>
      </c>
      <c r="B54" s="18" t="s">
        <v>41</v>
      </c>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4" ht="37.5" hidden="1" customHeight="1" x14ac:dyDescent="0.2">
      <c r="A55" s="20" t="s">
        <v>40</v>
      </c>
      <c r="B55" s="18" t="s">
        <v>13</v>
      </c>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4" ht="30" customHeight="1" x14ac:dyDescent="0.2">
      <c r="A56" s="20" t="s">
        <v>42</v>
      </c>
      <c r="B56" s="18" t="s">
        <v>39</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row>
    <row r="57" spans="1:34" ht="30" customHeight="1" x14ac:dyDescent="0.2">
      <c r="A57" s="20" t="s">
        <v>43</v>
      </c>
      <c r="B57" s="18" t="s">
        <v>44</v>
      </c>
      <c r="C57" s="223">
        <f>Totalizer!E81</f>
        <v>8605</v>
      </c>
      <c r="D57" s="223">
        <f>Totalizer!F81</f>
        <v>10095</v>
      </c>
      <c r="E57" s="223">
        <f>Totalizer!G81</f>
        <v>9892</v>
      </c>
      <c r="F57" s="223">
        <f>Totalizer!H81</f>
        <v>9318</v>
      </c>
      <c r="G57" s="223">
        <f>Totalizer!I81</f>
        <v>8604</v>
      </c>
      <c r="H57" s="223">
        <f>Totalizer!J81</f>
        <v>9275</v>
      </c>
      <c r="I57" s="223">
        <f>Totalizer!K81</f>
        <v>10026</v>
      </c>
      <c r="J57" s="223">
        <f>Totalizer!L81</f>
        <v>10278</v>
      </c>
      <c r="K57" s="223">
        <f>Totalizer!M81</f>
        <v>10012</v>
      </c>
      <c r="L57" s="223">
        <f>Totalizer!N81</f>
        <v>10269</v>
      </c>
      <c r="M57" s="223">
        <f>Totalizer!O81</f>
        <v>9358</v>
      </c>
      <c r="N57" s="223">
        <f>Totalizer!P81</f>
        <v>9761</v>
      </c>
      <c r="O57" s="223">
        <f>Totalizer!Q81</f>
        <v>9430</v>
      </c>
      <c r="P57" s="223">
        <f>Totalizer!R81</f>
        <v>10427</v>
      </c>
      <c r="Q57" s="223">
        <f>Totalizer!S81</f>
        <v>10444</v>
      </c>
      <c r="R57" s="223">
        <f>Totalizer!T81</f>
        <v>10783</v>
      </c>
      <c r="S57" s="223">
        <f>Totalizer!U81</f>
        <v>10550</v>
      </c>
      <c r="T57" s="223">
        <f>Totalizer!V81</f>
        <v>10327</v>
      </c>
      <c r="U57" s="223">
        <f>Totalizer!W81</f>
        <v>10298</v>
      </c>
      <c r="V57" s="223">
        <f>Totalizer!X81</f>
        <v>9931</v>
      </c>
      <c r="W57" s="223">
        <f>Totalizer!Y81</f>
        <v>9749</v>
      </c>
      <c r="X57" s="223">
        <f>Totalizer!Z81</f>
        <v>9603</v>
      </c>
      <c r="Y57" s="223">
        <f>Totalizer!AA81</f>
        <v>9382</v>
      </c>
      <c r="Z57" s="223">
        <f>Totalizer!AB81</f>
        <v>8739</v>
      </c>
      <c r="AA57" s="223">
        <f>Totalizer!AC81</f>
        <v>8807</v>
      </c>
      <c r="AB57" s="223">
        <f>Totalizer!AD81</f>
        <v>6646</v>
      </c>
      <c r="AC57" s="223">
        <f>Totalizer!AE81</f>
        <v>5933</v>
      </c>
      <c r="AD57" s="223">
        <f>Totalizer!AF81</f>
        <v>6986</v>
      </c>
      <c r="AE57" s="223">
        <f>Totalizer!AG81</f>
        <v>7389</v>
      </c>
      <c r="AF57" s="223">
        <f>Totalizer!AH81</f>
        <v>8163</v>
      </c>
      <c r="AG57" s="223">
        <f>Totalizer!AI81</f>
        <v>6767</v>
      </c>
    </row>
    <row r="58" spans="1:34" ht="15.75" x14ac:dyDescent="0.2">
      <c r="A58" s="20" t="s">
        <v>45</v>
      </c>
      <c r="B58" s="18" t="s">
        <v>39</v>
      </c>
      <c r="C58" s="3">
        <f>C57/(C5*1000)</f>
        <v>3.6093919936180674</v>
      </c>
      <c r="D58" s="3">
        <f t="shared" ref="D58:E58" si="245">D57/(D5*1000)</f>
        <v>4.3645457078616516</v>
      </c>
      <c r="E58" s="3">
        <f t="shared" si="245"/>
        <v>4.0725441482188689</v>
      </c>
      <c r="F58" s="3">
        <f t="shared" ref="F58:G58" si="246">F57/(F5*1000)</f>
        <v>3.842565339178146</v>
      </c>
      <c r="G58" s="3">
        <f t="shared" si="246"/>
        <v>3.4415531948765503</v>
      </c>
      <c r="H58" s="3">
        <f t="shared" ref="H58:I58" si="247">H57/(H5*1000)</f>
        <v>3.5518489527885557</v>
      </c>
      <c r="I58" s="3">
        <f t="shared" si="247"/>
        <v>3.6784628677408047</v>
      </c>
      <c r="J58" s="3">
        <f t="shared" ref="J58:K58" si="248">J57/(J5*1000)</f>
        <v>3.7893130165003601</v>
      </c>
      <c r="K58" s="3">
        <f t="shared" si="248"/>
        <v>3.7935644671987587</v>
      </c>
      <c r="L58" s="3">
        <f t="shared" ref="L58:M58" si="249">L57/(L5*1000)</f>
        <v>3.755907352090802</v>
      </c>
      <c r="M58" s="3">
        <f t="shared" si="249"/>
        <v>3.3774785199151411</v>
      </c>
      <c r="N58" s="3">
        <f t="shared" ref="N58" si="250">N57/(N5*1000)</f>
        <v>3.4740128817152183</v>
      </c>
      <c r="O58" s="3">
        <f t="shared" ref="O58:T58" si="251">O57/(O5*1000)</f>
        <v>3.2687509489083482</v>
      </c>
      <c r="P58" s="3">
        <f t="shared" si="251"/>
        <v>3.636144257319192</v>
      </c>
      <c r="Q58" s="3">
        <f t="shared" si="251"/>
        <v>3.5961859218480345</v>
      </c>
      <c r="R58" s="3">
        <f t="shared" si="251"/>
        <v>3.7456748276270528</v>
      </c>
      <c r="S58" s="3">
        <f t="shared" si="251"/>
        <v>3.7310885972627603</v>
      </c>
      <c r="T58" s="3">
        <f t="shared" si="251"/>
        <v>3.628564571900005</v>
      </c>
      <c r="U58" s="3">
        <f t="shared" ref="U58:V58" si="252">U57/(U5*1000)</f>
        <v>3.6420222454068001</v>
      </c>
      <c r="V58" s="3">
        <f t="shared" si="252"/>
        <v>3.4904289983618075</v>
      </c>
      <c r="W58" s="3">
        <f t="shared" ref="W58:X58" si="253">W57/(W5*1000)</f>
        <v>3.3685274017213378</v>
      </c>
      <c r="X58" s="3">
        <f t="shared" si="253"/>
        <v>3.3436012496983865</v>
      </c>
      <c r="Y58" s="3">
        <f t="shared" ref="Y58:Z58" si="254">Y57/(Y5*1000)</f>
        <v>3.3034315618907524</v>
      </c>
      <c r="Z58" s="3">
        <f t="shared" si="254"/>
        <v>3.0800463117159125</v>
      </c>
      <c r="AA58" s="3">
        <f t="shared" ref="AA58:AB58" si="255">AA57/(AA5*1000)</f>
        <v>4.217538197046717</v>
      </c>
      <c r="AB58" s="3">
        <f t="shared" si="255"/>
        <v>2.4017925038950563</v>
      </c>
      <c r="AC58" s="3">
        <f t="shared" ref="AC58:AD58" si="256">AC57/(AC5*1000)</f>
        <v>2.4593367956661289</v>
      </c>
      <c r="AD58" s="3">
        <f t="shared" si="256"/>
        <v>3.0563887537493915</v>
      </c>
      <c r="AE58" s="3">
        <f t="shared" ref="AE58:AF58" si="257">AE57/(AE5*1000)</f>
        <v>3.13134750498689</v>
      </c>
      <c r="AF58" s="3">
        <f t="shared" si="257"/>
        <v>3.3137901883769256</v>
      </c>
      <c r="AG58" s="3">
        <f t="shared" ref="AG58" si="258">AG57/(AG5*1000)</f>
        <v>2.6053276968625951</v>
      </c>
    </row>
    <row r="59" spans="1:34" ht="15.75" x14ac:dyDescent="0.2">
      <c r="A59" s="20" t="s">
        <v>46</v>
      </c>
      <c r="B59" s="18" t="s">
        <v>39</v>
      </c>
      <c r="C59" s="223">
        <f>C57</f>
        <v>8605</v>
      </c>
      <c r="D59" s="223">
        <f t="shared" ref="D59:I59" si="259">C59+D57</f>
        <v>18700</v>
      </c>
      <c r="E59" s="223">
        <f t="shared" si="259"/>
        <v>28592</v>
      </c>
      <c r="F59" s="223">
        <f t="shared" si="259"/>
        <v>37910</v>
      </c>
      <c r="G59" s="223">
        <f t="shared" si="259"/>
        <v>46514</v>
      </c>
      <c r="H59" s="223">
        <f t="shared" si="259"/>
        <v>55789</v>
      </c>
      <c r="I59" s="223">
        <f t="shared" si="259"/>
        <v>65815</v>
      </c>
      <c r="J59" s="223">
        <f t="shared" ref="J59:N59" si="260">I59+J57</f>
        <v>76093</v>
      </c>
      <c r="K59" s="223">
        <f t="shared" si="260"/>
        <v>86105</v>
      </c>
      <c r="L59" s="223">
        <f t="shared" si="260"/>
        <v>96374</v>
      </c>
      <c r="M59" s="223">
        <f t="shared" si="260"/>
        <v>105732</v>
      </c>
      <c r="N59" s="223">
        <f t="shared" si="260"/>
        <v>115493</v>
      </c>
      <c r="O59" s="223">
        <f t="shared" ref="O59:AG59" si="261">N59+O57</f>
        <v>124923</v>
      </c>
      <c r="P59" s="223">
        <f t="shared" si="261"/>
        <v>135350</v>
      </c>
      <c r="Q59" s="223">
        <f t="shared" si="261"/>
        <v>145794</v>
      </c>
      <c r="R59" s="223">
        <f t="shared" si="261"/>
        <v>156577</v>
      </c>
      <c r="S59" s="223">
        <f t="shared" si="261"/>
        <v>167127</v>
      </c>
      <c r="T59" s="223">
        <f t="shared" si="261"/>
        <v>177454</v>
      </c>
      <c r="U59" s="223">
        <f t="shared" si="261"/>
        <v>187752</v>
      </c>
      <c r="V59" s="223">
        <f t="shared" si="261"/>
        <v>197683</v>
      </c>
      <c r="W59" s="223">
        <f t="shared" si="261"/>
        <v>207432</v>
      </c>
      <c r="X59" s="223">
        <f t="shared" si="261"/>
        <v>217035</v>
      </c>
      <c r="Y59" s="223">
        <f t="shared" si="261"/>
        <v>226417</v>
      </c>
      <c r="Z59" s="223">
        <f t="shared" si="261"/>
        <v>235156</v>
      </c>
      <c r="AA59" s="223">
        <f t="shared" si="261"/>
        <v>243963</v>
      </c>
      <c r="AB59" s="223">
        <f t="shared" si="261"/>
        <v>250609</v>
      </c>
      <c r="AC59" s="223">
        <f t="shared" si="261"/>
        <v>256542</v>
      </c>
      <c r="AD59" s="223">
        <f t="shared" si="261"/>
        <v>263528</v>
      </c>
      <c r="AE59" s="223">
        <f t="shared" si="261"/>
        <v>270917</v>
      </c>
      <c r="AF59" s="223">
        <f t="shared" si="261"/>
        <v>279080</v>
      </c>
      <c r="AG59" s="223">
        <f t="shared" si="261"/>
        <v>285847</v>
      </c>
    </row>
    <row r="60" spans="1:34" ht="15.75" x14ac:dyDescent="0.2">
      <c r="A60" s="20" t="s">
        <v>47</v>
      </c>
      <c r="B60" s="18" t="s">
        <v>39</v>
      </c>
      <c r="C60" s="3">
        <f t="shared" ref="C60:H60" si="262">C59/(C7*1000)</f>
        <v>3.6093919936180674</v>
      </c>
      <c r="D60" s="3">
        <f t="shared" si="262"/>
        <v>3.9812531607248034</v>
      </c>
      <c r="E60" s="3">
        <f t="shared" si="262"/>
        <v>4.0123705180596998</v>
      </c>
      <c r="F60" s="3">
        <f t="shared" si="262"/>
        <v>3.9692575549588618</v>
      </c>
      <c r="G60" s="3">
        <f t="shared" si="262"/>
        <v>3.8597823603229804</v>
      </c>
      <c r="H60" s="3">
        <f t="shared" si="262"/>
        <v>3.8049400827002384</v>
      </c>
      <c r="I60" s="3">
        <f t="shared" ref="I60:J60" si="263">I59/(I7*1000)</f>
        <v>3.7851144185820425</v>
      </c>
      <c r="J60" s="3">
        <f t="shared" si="263"/>
        <v>3.7856809861686891</v>
      </c>
      <c r="K60" s="3">
        <f t="shared" ref="K60:L60" si="264">K59/(K7*1000)</f>
        <v>3.7865959670004816</v>
      </c>
      <c r="L60" s="3">
        <f t="shared" si="264"/>
        <v>3.7833021329784371</v>
      </c>
      <c r="M60" s="3">
        <f t="shared" ref="M60:N60" si="265">M59/(M7*1000)</f>
        <v>3.743491583489563</v>
      </c>
      <c r="N60" s="3">
        <f t="shared" si="265"/>
        <v>3.7191095098496225</v>
      </c>
      <c r="O60" s="3">
        <f t="shared" ref="O60:T60" si="266">O59/(O7*1000)</f>
        <v>3.6808277955432702</v>
      </c>
      <c r="P60" s="3">
        <f t="shared" si="266"/>
        <v>3.677346490205438</v>
      </c>
      <c r="Q60" s="3">
        <f t="shared" si="266"/>
        <v>3.671410910393337</v>
      </c>
      <c r="R60" s="3">
        <f t="shared" si="266"/>
        <v>3.6764307033273669</v>
      </c>
      <c r="S60" s="3">
        <f t="shared" si="266"/>
        <v>3.6798336203310229</v>
      </c>
      <c r="T60" s="3">
        <f t="shared" si="266"/>
        <v>3.6768103289097356</v>
      </c>
      <c r="U60" s="3">
        <f t="shared" ref="U60:V60" si="267">U59/(U7*1000)</f>
        <v>3.6748850219493656</v>
      </c>
      <c r="V60" s="3">
        <f t="shared" si="267"/>
        <v>3.6651546375937722</v>
      </c>
      <c r="W60" s="3">
        <f t="shared" ref="W60:X60" si="268">W59/(W7*1000)</f>
        <v>3.6500484842391359</v>
      </c>
      <c r="X60" s="3">
        <f t="shared" si="268"/>
        <v>3.6353063826455836</v>
      </c>
      <c r="Y60" s="3">
        <f t="shared" ref="Y60:Z60" si="269">Y59/(Y7*1000)</f>
        <v>3.6202357238807457</v>
      </c>
      <c r="Z60" s="3">
        <f t="shared" si="269"/>
        <v>3.5967928998078742</v>
      </c>
      <c r="AA60" s="3">
        <f t="shared" ref="AA60:AB60" si="270">AA59/(AA7*1000)</f>
        <v>3.6160055614486621</v>
      </c>
      <c r="AB60" s="3">
        <f t="shared" si="270"/>
        <v>3.5681680708394183</v>
      </c>
      <c r="AC60" s="3">
        <f t="shared" ref="AC60:AD60" si="271">AC59/(AC7*1000)</f>
        <v>3.5313463864910415</v>
      </c>
      <c r="AD60" s="3">
        <f t="shared" si="271"/>
        <v>3.516858567979849</v>
      </c>
      <c r="AE60" s="3">
        <f t="shared" ref="AE60:AF60" si="272">AE59/(AE7*1000)</f>
        <v>3.5050891751344664</v>
      </c>
      <c r="AF60" s="3">
        <f t="shared" si="272"/>
        <v>3.4991807040426699</v>
      </c>
      <c r="AG60" s="3">
        <f t="shared" ref="AG60" si="273">AG59/(AG7*1000)</f>
        <v>3.4709891161055677</v>
      </c>
    </row>
    <row r="61" spans="1:34" ht="15.75" x14ac:dyDescent="0.2">
      <c r="A61" s="20" t="s">
        <v>48</v>
      </c>
      <c r="B61" s="18" t="s">
        <v>39</v>
      </c>
      <c r="C61" s="3">
        <f t="shared" ref="C61:H61" si="274">((3.3763648754029*30)+(C8*C60))/(30+C8)</f>
        <v>3.5491260780301164</v>
      </c>
      <c r="D61" s="3">
        <f t="shared" si="274"/>
        <v>3.8278740856406617</v>
      </c>
      <c r="E61" s="3">
        <f t="shared" si="274"/>
        <v>3.8543453893265482</v>
      </c>
      <c r="F61" s="3">
        <f t="shared" si="274"/>
        <v>3.8248448403516924</v>
      </c>
      <c r="G61" s="3">
        <f t="shared" si="274"/>
        <v>3.7443773543670944</v>
      </c>
      <c r="H61" s="3">
        <f t="shared" si="274"/>
        <v>3.7047101847879431</v>
      </c>
      <c r="I61" s="3">
        <f t="shared" ref="I61:J61" si="275">((3.3763648754029*30)+(I8*I60))/(30+I8)</f>
        <v>3.6915099748870839</v>
      </c>
      <c r="J61" s="3">
        <f t="shared" si="275"/>
        <v>3.6938481559845329</v>
      </c>
      <c r="K61" s="3">
        <f t="shared" ref="K61:L61" si="276">((3.3763648754029*30)+(K8*K60))/(30+K8)</f>
        <v>3.6963392921421381</v>
      </c>
      <c r="L61" s="3">
        <f t="shared" si="276"/>
        <v>3.695530092973859</v>
      </c>
      <c r="M61" s="3">
        <f t="shared" ref="M61:N61" si="277">((3.3763648754029*30)+(M8*M60))/(30+M8)</f>
        <v>3.6658528499335659</v>
      </c>
      <c r="N61" s="3">
        <f t="shared" si="277"/>
        <v>3.6480347465191834</v>
      </c>
      <c r="O61" s="3">
        <f t="shared" ref="O61:T61" si="278">((3.3763648754029*30)+(O8*O60))/(30+O8)</f>
        <v>3.6189258940114613</v>
      </c>
      <c r="P61" s="3">
        <f t="shared" si="278"/>
        <v>3.6173189770334533</v>
      </c>
      <c r="Q61" s="3">
        <f t="shared" si="278"/>
        <v>3.6136817584518504</v>
      </c>
      <c r="R61" s="3">
        <f t="shared" si="278"/>
        <v>3.6188013955872504</v>
      </c>
      <c r="S61" s="3">
        <f t="shared" si="278"/>
        <v>3.6225870315677864</v>
      </c>
      <c r="T61" s="3">
        <f t="shared" si="278"/>
        <v>3.6211304973573371</v>
      </c>
      <c r="U61" s="3">
        <f t="shared" ref="U61:V61" si="279">((3.3763648754029*30)+(U8*U60))/(30+U8)</f>
        <v>3.6205117411310606</v>
      </c>
      <c r="V61" s="3">
        <f t="shared" si="279"/>
        <v>3.6134468996850875</v>
      </c>
      <c r="W61" s="3">
        <f t="shared" ref="W61:X61" si="280">((3.3763648754029*30)+(W8*W60))/(30+W8)</f>
        <v>3.6018775647825247</v>
      </c>
      <c r="X61" s="3">
        <f t="shared" si="280"/>
        <v>3.5904854588522022</v>
      </c>
      <c r="Y61" s="3">
        <f t="shared" ref="Y61:Z61" si="281">((3.3763648754029*30)+(Y8*Y60))/(30+Y8)</f>
        <v>3.5787039860100025</v>
      </c>
      <c r="Z61" s="3">
        <f t="shared" si="281"/>
        <v>3.5598485729716449</v>
      </c>
      <c r="AA61" s="3">
        <f t="shared" ref="AA61:AB61" si="282">((3.3763648754029*30)+(AA8*AA60))/(30+AA8)</f>
        <v>3.5763043031202653</v>
      </c>
      <c r="AB61" s="3">
        <f t="shared" si="282"/>
        <v>3.5368703030371971</v>
      </c>
      <c r="AC61" s="3">
        <f t="shared" ref="AC61:AD61" si="283">((3.3763648754029*30)+(AC8*AC60))/(30+AC8)</f>
        <v>3.5063845940945768</v>
      </c>
      <c r="AD61" s="3">
        <f t="shared" si="283"/>
        <v>3.4945045430843913</v>
      </c>
      <c r="AE61" s="3">
        <f t="shared" ref="AE61:AF61" si="284">((3.3763648754029*30)+(AE8*AE60))/(30+AE8)</f>
        <v>3.4848609415290914</v>
      </c>
      <c r="AF61" s="3">
        <f t="shared" si="284"/>
        <v>3.4801268086241386</v>
      </c>
      <c r="AG61" s="3">
        <f t="shared" ref="AG61" si="285">((3.3763648754029*30)+(AG8*AG60))/(30+AG8)</f>
        <v>3.4565034920048787</v>
      </c>
      <c r="AH61" s="58"/>
    </row>
    <row r="62" spans="1:34" ht="15.75" x14ac:dyDescent="0.2">
      <c r="A62" s="20" t="s">
        <v>49</v>
      </c>
      <c r="B62" s="18" t="s">
        <v>50</v>
      </c>
      <c r="C62" s="3"/>
      <c r="D62" s="3"/>
      <c r="E62" s="3"/>
      <c r="F62" s="3"/>
      <c r="G62" s="3"/>
      <c r="H62" s="3"/>
      <c r="I62" s="3"/>
      <c r="J62" s="3"/>
      <c r="K62" s="3"/>
      <c r="L62" s="3"/>
      <c r="M62" s="3"/>
      <c r="N62" s="3"/>
      <c r="O62" s="3"/>
      <c r="P62" s="3"/>
      <c r="Q62" s="3"/>
      <c r="R62" s="3"/>
      <c r="S62" s="248"/>
      <c r="T62" s="248"/>
      <c r="U62" s="248"/>
      <c r="V62" s="248"/>
      <c r="W62" s="248"/>
      <c r="X62" s="248"/>
      <c r="Y62" s="248"/>
      <c r="Z62" s="248"/>
      <c r="AA62" s="3"/>
      <c r="AB62" s="3"/>
      <c r="AC62" s="3"/>
      <c r="AD62" s="3"/>
      <c r="AE62" s="3"/>
      <c r="AF62" s="3"/>
      <c r="AG62" s="3"/>
    </row>
    <row r="63" spans="1:34" ht="31.5" x14ac:dyDescent="0.2">
      <c r="A63" s="158" t="s">
        <v>51</v>
      </c>
      <c r="B63" s="334"/>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row>
    <row r="64" spans="1:34" ht="15" x14ac:dyDescent="0.2">
      <c r="A64" s="17" t="s">
        <v>6</v>
      </c>
      <c r="B64" s="18" t="s">
        <v>52</v>
      </c>
      <c r="C64" s="3">
        <v>0</v>
      </c>
      <c r="D64" s="3">
        <v>18</v>
      </c>
      <c r="E64" s="3">
        <v>20.5</v>
      </c>
      <c r="F64" s="3">
        <v>0</v>
      </c>
      <c r="G64" s="3">
        <v>0</v>
      </c>
      <c r="H64" s="3">
        <v>0</v>
      </c>
      <c r="I64" s="3">
        <v>0</v>
      </c>
      <c r="J64" s="248">
        <v>15.17</v>
      </c>
      <c r="K64" s="3">
        <v>3</v>
      </c>
      <c r="L64" s="3">
        <v>0</v>
      </c>
      <c r="M64" s="3">
        <v>0</v>
      </c>
      <c r="N64" s="3">
        <v>0</v>
      </c>
      <c r="O64" s="3">
        <v>3.5</v>
      </c>
      <c r="P64" s="3">
        <v>1</v>
      </c>
      <c r="Q64" s="3">
        <v>0</v>
      </c>
      <c r="R64" s="3">
        <v>5</v>
      </c>
      <c r="S64" s="3">
        <v>2</v>
      </c>
      <c r="T64" s="3">
        <v>0</v>
      </c>
      <c r="U64" s="3">
        <v>0</v>
      </c>
      <c r="V64" s="3">
        <v>0</v>
      </c>
      <c r="W64" s="3">
        <v>0</v>
      </c>
      <c r="X64" s="3">
        <v>0</v>
      </c>
      <c r="Y64" s="3">
        <v>3</v>
      </c>
      <c r="Z64" s="3">
        <v>0</v>
      </c>
      <c r="AA64" s="3">
        <v>0</v>
      </c>
      <c r="AB64" s="3">
        <v>0</v>
      </c>
      <c r="AC64" s="3">
        <v>0</v>
      </c>
      <c r="AD64" s="3">
        <v>0</v>
      </c>
      <c r="AE64" s="3">
        <v>9.33</v>
      </c>
      <c r="AF64" s="3">
        <v>1</v>
      </c>
      <c r="AG64" s="3">
        <v>0</v>
      </c>
    </row>
    <row r="65" spans="1:33" ht="15" x14ac:dyDescent="0.2">
      <c r="A65" s="17" t="s">
        <v>7</v>
      </c>
      <c r="B65" s="18" t="s">
        <v>53</v>
      </c>
      <c r="C65" s="3">
        <f>C64</f>
        <v>0</v>
      </c>
      <c r="D65" s="3">
        <f t="shared" ref="D65:N65" si="286">D64+C65</f>
        <v>18</v>
      </c>
      <c r="E65" s="3">
        <f t="shared" si="286"/>
        <v>38.5</v>
      </c>
      <c r="F65" s="3">
        <f t="shared" si="286"/>
        <v>38.5</v>
      </c>
      <c r="G65" s="3">
        <f t="shared" si="286"/>
        <v>38.5</v>
      </c>
      <c r="H65" s="3">
        <f t="shared" si="286"/>
        <v>38.5</v>
      </c>
      <c r="I65" s="3">
        <f t="shared" si="286"/>
        <v>38.5</v>
      </c>
      <c r="J65" s="3">
        <f t="shared" si="286"/>
        <v>53.67</v>
      </c>
      <c r="K65" s="3">
        <f t="shared" si="286"/>
        <v>56.67</v>
      </c>
      <c r="L65" s="3">
        <f t="shared" si="286"/>
        <v>56.67</v>
      </c>
      <c r="M65" s="3">
        <f t="shared" si="286"/>
        <v>56.67</v>
      </c>
      <c r="N65" s="3">
        <f t="shared" si="286"/>
        <v>56.67</v>
      </c>
      <c r="O65" s="3">
        <f t="shared" ref="O65:AG65" si="287">O64+N65</f>
        <v>60.17</v>
      </c>
      <c r="P65" s="3">
        <f t="shared" si="287"/>
        <v>61.17</v>
      </c>
      <c r="Q65" s="3">
        <f t="shared" si="287"/>
        <v>61.17</v>
      </c>
      <c r="R65" s="3">
        <f t="shared" si="287"/>
        <v>66.17</v>
      </c>
      <c r="S65" s="3">
        <f t="shared" si="287"/>
        <v>68.17</v>
      </c>
      <c r="T65" s="3">
        <f t="shared" si="287"/>
        <v>68.17</v>
      </c>
      <c r="U65" s="3">
        <f t="shared" si="287"/>
        <v>68.17</v>
      </c>
      <c r="V65" s="3">
        <f t="shared" si="287"/>
        <v>68.17</v>
      </c>
      <c r="W65" s="3">
        <f t="shared" si="287"/>
        <v>68.17</v>
      </c>
      <c r="X65" s="3">
        <f t="shared" si="287"/>
        <v>68.17</v>
      </c>
      <c r="Y65" s="3">
        <f t="shared" si="287"/>
        <v>71.17</v>
      </c>
      <c r="Z65" s="3">
        <f t="shared" si="287"/>
        <v>71.17</v>
      </c>
      <c r="AA65" s="3">
        <f t="shared" si="287"/>
        <v>71.17</v>
      </c>
      <c r="AB65" s="3">
        <f t="shared" si="287"/>
        <v>71.17</v>
      </c>
      <c r="AC65" s="3">
        <f t="shared" si="287"/>
        <v>71.17</v>
      </c>
      <c r="AD65" s="3">
        <f t="shared" si="287"/>
        <v>71.17</v>
      </c>
      <c r="AE65" s="3">
        <f t="shared" si="287"/>
        <v>80.5</v>
      </c>
      <c r="AF65" s="3">
        <f t="shared" si="287"/>
        <v>81.5</v>
      </c>
      <c r="AG65" s="3">
        <f t="shared" si="287"/>
        <v>81.5</v>
      </c>
    </row>
    <row r="66" spans="1:33" ht="15" x14ac:dyDescent="0.2">
      <c r="A66" s="17" t="s">
        <v>27</v>
      </c>
      <c r="B66" s="18" t="s">
        <v>53</v>
      </c>
      <c r="C66" s="278">
        <f t="shared" ref="C66:H66" si="288">73.7+C65</f>
        <v>73.7</v>
      </c>
      <c r="D66" s="278">
        <f t="shared" si="288"/>
        <v>91.7</v>
      </c>
      <c r="E66" s="278">
        <f t="shared" si="288"/>
        <v>112.2</v>
      </c>
      <c r="F66" s="278">
        <f t="shared" si="288"/>
        <v>112.2</v>
      </c>
      <c r="G66" s="278">
        <f t="shared" si="288"/>
        <v>112.2</v>
      </c>
      <c r="H66" s="278">
        <f t="shared" si="288"/>
        <v>112.2</v>
      </c>
      <c r="I66" s="278">
        <f t="shared" ref="I66:J66" si="289">73.7+I65</f>
        <v>112.2</v>
      </c>
      <c r="J66" s="278">
        <f t="shared" si="289"/>
        <v>127.37</v>
      </c>
      <c r="K66" s="278">
        <f t="shared" ref="K66:L66" si="290">73.7+K65</f>
        <v>130.37</v>
      </c>
      <c r="L66" s="278">
        <f t="shared" si="290"/>
        <v>130.37</v>
      </c>
      <c r="M66" s="278">
        <f t="shared" ref="M66:N66" si="291">73.7+M65</f>
        <v>130.37</v>
      </c>
      <c r="N66" s="278">
        <f t="shared" si="291"/>
        <v>130.37</v>
      </c>
      <c r="O66" s="278">
        <f t="shared" ref="O66:T66" si="292">73.7+O65</f>
        <v>133.87</v>
      </c>
      <c r="P66" s="278">
        <f t="shared" si="292"/>
        <v>134.87</v>
      </c>
      <c r="Q66" s="278">
        <f t="shared" si="292"/>
        <v>134.87</v>
      </c>
      <c r="R66" s="278">
        <f t="shared" si="292"/>
        <v>139.87</v>
      </c>
      <c r="S66" s="278">
        <f t="shared" si="292"/>
        <v>141.87</v>
      </c>
      <c r="T66" s="278">
        <f t="shared" si="292"/>
        <v>141.87</v>
      </c>
      <c r="U66" s="278">
        <f t="shared" ref="U66:V66" si="293">73.7+U65</f>
        <v>141.87</v>
      </c>
      <c r="V66" s="278">
        <f t="shared" si="293"/>
        <v>141.87</v>
      </c>
      <c r="W66" s="278">
        <f t="shared" ref="W66:X66" si="294">73.7+W65</f>
        <v>141.87</v>
      </c>
      <c r="X66" s="278">
        <f t="shared" si="294"/>
        <v>141.87</v>
      </c>
      <c r="Y66" s="278">
        <f t="shared" ref="Y66:Z66" si="295">73.7+Y65</f>
        <v>144.87</v>
      </c>
      <c r="Z66" s="278">
        <f t="shared" si="295"/>
        <v>144.87</v>
      </c>
      <c r="AA66" s="278">
        <f t="shared" ref="AA66:AB66" si="296">73.7+AA65</f>
        <v>144.87</v>
      </c>
      <c r="AB66" s="278">
        <f t="shared" si="296"/>
        <v>144.87</v>
      </c>
      <c r="AC66" s="278">
        <f t="shared" ref="AC66:AD66" si="297">73.7+AC65</f>
        <v>144.87</v>
      </c>
      <c r="AD66" s="278">
        <f t="shared" si="297"/>
        <v>144.87</v>
      </c>
      <c r="AE66" s="278">
        <f t="shared" ref="AE66:AF66" si="298">73.7+AE65</f>
        <v>154.19999999999999</v>
      </c>
      <c r="AF66" s="278">
        <f t="shared" si="298"/>
        <v>155.19999999999999</v>
      </c>
      <c r="AG66" s="278">
        <f t="shared" ref="AG66" si="299">73.7+AG65</f>
        <v>155.19999999999999</v>
      </c>
    </row>
    <row r="67" spans="1:33" ht="31.5" x14ac:dyDescent="0.2">
      <c r="A67" s="158" t="s">
        <v>54</v>
      </c>
      <c r="B67" s="334"/>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301"/>
      <c r="AB67" s="301"/>
      <c r="AC67" s="301"/>
      <c r="AD67" s="301"/>
      <c r="AE67" s="301"/>
      <c r="AF67" s="301"/>
      <c r="AG67" s="301"/>
    </row>
    <row r="68" spans="1:33" ht="15" x14ac:dyDescent="0.2">
      <c r="A68" s="17" t="s">
        <v>6</v>
      </c>
      <c r="B68" s="18" t="s">
        <v>52</v>
      </c>
      <c r="C68" s="3">
        <v>0</v>
      </c>
      <c r="D68" s="3">
        <v>18</v>
      </c>
      <c r="E68" s="3">
        <v>22</v>
      </c>
      <c r="F68" s="3">
        <v>0</v>
      </c>
      <c r="G68" s="3">
        <v>0</v>
      </c>
      <c r="H68" s="3">
        <v>0</v>
      </c>
      <c r="I68" s="3">
        <v>0</v>
      </c>
      <c r="J68" s="3">
        <v>14</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row>
    <row r="69" spans="1:33" ht="15" x14ac:dyDescent="0.2">
      <c r="A69" s="17" t="s">
        <v>7</v>
      </c>
      <c r="B69" s="18" t="s">
        <v>53</v>
      </c>
      <c r="C69" s="3">
        <f t="shared" ref="C69" si="300">C68</f>
        <v>0</v>
      </c>
      <c r="D69" s="3">
        <f t="shared" ref="D69:N69" si="301">D68+C69</f>
        <v>18</v>
      </c>
      <c r="E69" s="3">
        <f t="shared" si="301"/>
        <v>40</v>
      </c>
      <c r="F69" s="3">
        <f t="shared" si="301"/>
        <v>40</v>
      </c>
      <c r="G69" s="3">
        <f t="shared" si="301"/>
        <v>40</v>
      </c>
      <c r="H69" s="3">
        <f t="shared" si="301"/>
        <v>40</v>
      </c>
      <c r="I69" s="3">
        <f t="shared" si="301"/>
        <v>40</v>
      </c>
      <c r="J69" s="3">
        <f t="shared" si="301"/>
        <v>54</v>
      </c>
      <c r="K69" s="3">
        <f t="shared" si="301"/>
        <v>54</v>
      </c>
      <c r="L69" s="3">
        <f t="shared" si="301"/>
        <v>54</v>
      </c>
      <c r="M69" s="3">
        <f t="shared" si="301"/>
        <v>54</v>
      </c>
      <c r="N69" s="3">
        <f t="shared" si="301"/>
        <v>54</v>
      </c>
      <c r="O69" s="3">
        <f t="shared" ref="O69:T69" si="302">O68+N69</f>
        <v>54</v>
      </c>
      <c r="P69" s="3">
        <f t="shared" si="302"/>
        <v>54</v>
      </c>
      <c r="Q69" s="3">
        <f t="shared" si="302"/>
        <v>54</v>
      </c>
      <c r="R69" s="3">
        <f t="shared" si="302"/>
        <v>54</v>
      </c>
      <c r="S69" s="3">
        <f t="shared" si="302"/>
        <v>54</v>
      </c>
      <c r="T69" s="3">
        <f t="shared" si="302"/>
        <v>54</v>
      </c>
      <c r="U69" s="3">
        <f t="shared" ref="U69:AG69" si="303">U68+T69</f>
        <v>54</v>
      </c>
      <c r="V69" s="3">
        <f t="shared" si="303"/>
        <v>54</v>
      </c>
      <c r="W69" s="3">
        <f t="shared" si="303"/>
        <v>54</v>
      </c>
      <c r="X69" s="3">
        <f t="shared" si="303"/>
        <v>54</v>
      </c>
      <c r="Y69" s="3">
        <f t="shared" si="303"/>
        <v>54</v>
      </c>
      <c r="Z69" s="3">
        <f t="shared" si="303"/>
        <v>54</v>
      </c>
      <c r="AA69" s="3">
        <f t="shared" si="303"/>
        <v>54</v>
      </c>
      <c r="AB69" s="3">
        <f t="shared" si="303"/>
        <v>54</v>
      </c>
      <c r="AC69" s="3">
        <f t="shared" si="303"/>
        <v>54</v>
      </c>
      <c r="AD69" s="3">
        <f t="shared" si="303"/>
        <v>54</v>
      </c>
      <c r="AE69" s="3">
        <f t="shared" si="303"/>
        <v>54</v>
      </c>
      <c r="AF69" s="3">
        <f t="shared" si="303"/>
        <v>54</v>
      </c>
      <c r="AG69" s="3">
        <f t="shared" si="303"/>
        <v>54</v>
      </c>
    </row>
    <row r="70" spans="1:33" ht="15" x14ac:dyDescent="0.2">
      <c r="A70" s="17" t="s">
        <v>27</v>
      </c>
      <c r="B70" s="18" t="s">
        <v>53</v>
      </c>
      <c r="C70" s="278">
        <f t="shared" ref="C70:H70" si="304">28+C69</f>
        <v>28</v>
      </c>
      <c r="D70" s="278">
        <f t="shared" si="304"/>
        <v>46</v>
      </c>
      <c r="E70" s="278">
        <f t="shared" si="304"/>
        <v>68</v>
      </c>
      <c r="F70" s="278">
        <f t="shared" si="304"/>
        <v>68</v>
      </c>
      <c r="G70" s="278">
        <f t="shared" si="304"/>
        <v>68</v>
      </c>
      <c r="H70" s="278">
        <f t="shared" si="304"/>
        <v>68</v>
      </c>
      <c r="I70" s="278">
        <f t="shared" ref="I70:J70" si="305">28+I69</f>
        <v>68</v>
      </c>
      <c r="J70" s="278">
        <f t="shared" si="305"/>
        <v>82</v>
      </c>
      <c r="K70" s="278">
        <f t="shared" ref="K70:L70" si="306">28+K69</f>
        <v>82</v>
      </c>
      <c r="L70" s="278">
        <f t="shared" si="306"/>
        <v>82</v>
      </c>
      <c r="M70" s="278">
        <f t="shared" ref="M70:N70" si="307">28+M69</f>
        <v>82</v>
      </c>
      <c r="N70" s="278">
        <f t="shared" si="307"/>
        <v>82</v>
      </c>
      <c r="O70" s="278">
        <f t="shared" ref="O70:T70" si="308">28+O69</f>
        <v>82</v>
      </c>
      <c r="P70" s="278">
        <f t="shared" si="308"/>
        <v>82</v>
      </c>
      <c r="Q70" s="278">
        <f t="shared" si="308"/>
        <v>82</v>
      </c>
      <c r="R70" s="278">
        <f t="shared" si="308"/>
        <v>82</v>
      </c>
      <c r="S70" s="278">
        <f t="shared" si="308"/>
        <v>82</v>
      </c>
      <c r="T70" s="278">
        <f t="shared" si="308"/>
        <v>82</v>
      </c>
      <c r="U70" s="278">
        <f t="shared" ref="U70:V70" si="309">28+U69</f>
        <v>82</v>
      </c>
      <c r="V70" s="278">
        <f t="shared" si="309"/>
        <v>82</v>
      </c>
      <c r="W70" s="278">
        <f t="shared" ref="W70:X70" si="310">28+W69</f>
        <v>82</v>
      </c>
      <c r="X70" s="278">
        <f t="shared" si="310"/>
        <v>82</v>
      </c>
      <c r="Y70" s="278">
        <f t="shared" ref="Y70:Z70" si="311">28+Y69</f>
        <v>82</v>
      </c>
      <c r="Z70" s="278">
        <f t="shared" si="311"/>
        <v>82</v>
      </c>
      <c r="AA70" s="278">
        <f t="shared" ref="AA70:AB70" si="312">28+AA69</f>
        <v>82</v>
      </c>
      <c r="AB70" s="278">
        <f t="shared" si="312"/>
        <v>82</v>
      </c>
      <c r="AC70" s="278">
        <f t="shared" ref="AC70:AD70" si="313">28+AC69</f>
        <v>82</v>
      </c>
      <c r="AD70" s="278">
        <f t="shared" si="313"/>
        <v>82</v>
      </c>
      <c r="AE70" s="278">
        <f t="shared" ref="AE70:AF70" si="314">28+AE69</f>
        <v>82</v>
      </c>
      <c r="AF70" s="278">
        <f t="shared" si="314"/>
        <v>82</v>
      </c>
      <c r="AG70" s="278">
        <f t="shared" ref="AG70" si="315">28+AG69</f>
        <v>82</v>
      </c>
    </row>
    <row r="71" spans="1:33" ht="15" x14ac:dyDescent="0.2">
      <c r="A71" s="17"/>
      <c r="B71" s="18"/>
      <c r="C71" s="278"/>
      <c r="D71" s="278"/>
      <c r="E71" s="278"/>
      <c r="F71" s="278"/>
      <c r="G71" s="278"/>
      <c r="H71" s="278"/>
      <c r="I71" s="278"/>
      <c r="J71" s="278"/>
      <c r="K71" s="278"/>
      <c r="L71" s="278"/>
      <c r="M71" s="278"/>
      <c r="N71" s="278"/>
      <c r="O71" s="278"/>
      <c r="P71" s="278"/>
      <c r="Q71" s="278"/>
      <c r="R71" s="278"/>
      <c r="S71" s="278"/>
      <c r="T71" s="278"/>
      <c r="U71" s="278"/>
      <c r="V71" s="278"/>
      <c r="W71" s="278"/>
      <c r="X71" s="301"/>
      <c r="Y71" s="301"/>
      <c r="Z71" s="301"/>
      <c r="AA71" s="301"/>
      <c r="AB71" s="301"/>
      <c r="AC71" s="301"/>
      <c r="AD71" s="301"/>
      <c r="AE71" s="301"/>
      <c r="AF71" s="301"/>
      <c r="AG71" s="301"/>
    </row>
    <row r="72" spans="1:33" ht="18" x14ac:dyDescent="0.2">
      <c r="A72" s="302"/>
      <c r="B72" s="302"/>
      <c r="C72" s="302"/>
      <c r="D72" s="425" t="s">
        <v>55</v>
      </c>
      <c r="E72" s="425"/>
      <c r="F72" s="425"/>
      <c r="G72" s="425"/>
      <c r="H72" s="425"/>
      <c r="I72" s="425"/>
      <c r="J72" s="425"/>
      <c r="K72" s="425"/>
      <c r="L72" s="425"/>
      <c r="M72" s="425"/>
      <c r="N72" s="425"/>
      <c r="O72" s="425"/>
      <c r="P72" s="425"/>
      <c r="Q72" s="425"/>
      <c r="R72" s="425"/>
      <c r="S72" s="425"/>
      <c r="T72" s="425"/>
      <c r="U72" s="425"/>
      <c r="V72" s="425"/>
      <c r="X72" s="68"/>
      <c r="AB72" s="335"/>
    </row>
    <row r="73" spans="1:33" x14ac:dyDescent="0.2">
      <c r="X73" s="58"/>
    </row>
    <row r="74" spans="1:33" x14ac:dyDescent="0.2">
      <c r="A74" s="251"/>
    </row>
    <row r="75" spans="1:33" x14ac:dyDescent="0.2">
      <c r="A75" s="251"/>
    </row>
    <row r="76" spans="1:33" x14ac:dyDescent="0.2">
      <c r="A76" s="251"/>
    </row>
    <row r="77" spans="1:33" x14ac:dyDescent="0.2">
      <c r="A77" s="251"/>
    </row>
  </sheetData>
  <mergeCells count="18">
    <mergeCell ref="A14:B14"/>
    <mergeCell ref="A4:B4"/>
    <mergeCell ref="B1:AF1"/>
    <mergeCell ref="C4:AG4"/>
    <mergeCell ref="C14:AG14"/>
    <mergeCell ref="A13:AG13"/>
    <mergeCell ref="C3:AG3"/>
    <mergeCell ref="D72:V72"/>
    <mergeCell ref="A39:B39"/>
    <mergeCell ref="A18:B18"/>
    <mergeCell ref="A30:B30"/>
    <mergeCell ref="A34:B34"/>
    <mergeCell ref="C18:AG18"/>
    <mergeCell ref="C30:AG30"/>
    <mergeCell ref="C34:AG34"/>
    <mergeCell ref="C39:AG39"/>
    <mergeCell ref="A26:B26"/>
    <mergeCell ref="C26:AG26"/>
  </mergeCells>
  <phoneticPr fontId="24" type="noConversion"/>
  <printOptions horizontalCentered="1" verticalCentered="1"/>
  <pageMargins left="0" right="0" top="0" bottom="0" header="0" footer="0"/>
  <pageSetup paperSize="9" scale="40" orientation="landscape" horizontalDpi="300" verticalDpi="300" r:id="rId1"/>
  <headerFooter alignWithMargins="0"/>
  <ignoredErrors>
    <ignoredError sqref="C59:D59"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B1:AS218"/>
  <sheetViews>
    <sheetView topLeftCell="V1" zoomScale="80" zoomScaleNormal="80" workbookViewId="0">
      <selection activeCell="H32" sqref="H32"/>
    </sheetView>
  </sheetViews>
  <sheetFormatPr defaultColWidth="9" defaultRowHeight="12.75" x14ac:dyDescent="0.2"/>
  <cols>
    <col min="1" max="1" width="4.140625" style="159" customWidth="1"/>
    <col min="2" max="2" width="19.140625" style="159" customWidth="1"/>
    <col min="3" max="3" width="20.42578125" style="160" customWidth="1"/>
    <col min="4" max="4" width="12.7109375" style="160" customWidth="1"/>
    <col min="5" max="5" width="10.85546875" style="160" bestFit="1" customWidth="1"/>
    <col min="6" max="6" width="13.42578125" style="159" customWidth="1"/>
    <col min="7" max="7" width="11.140625" style="159" customWidth="1"/>
    <col min="8" max="8" width="11.7109375" style="159" customWidth="1"/>
    <col min="9" max="9" width="10.7109375" style="159" customWidth="1"/>
    <col min="10" max="13" width="8.42578125" style="159" customWidth="1"/>
    <col min="14" max="14" width="18.28515625" style="159" customWidth="1"/>
    <col min="15" max="15" width="11.7109375" style="159" bestFit="1" customWidth="1"/>
    <col min="16" max="19" width="8.42578125" style="159" customWidth="1"/>
    <col min="20" max="23" width="8.42578125" style="160" customWidth="1"/>
    <col min="24" max="37" width="8.42578125" style="159" customWidth="1"/>
    <col min="38" max="38" width="9" style="159"/>
    <col min="39" max="39" width="7.7109375" style="159" bestFit="1" customWidth="1"/>
    <col min="40" max="16384" width="9" style="159"/>
  </cols>
  <sheetData>
    <row r="1" spans="2:45" x14ac:dyDescent="0.2">
      <c r="N1" s="161" t="s">
        <v>189</v>
      </c>
      <c r="O1" s="161">
        <v>1</v>
      </c>
      <c r="P1" s="161">
        <v>2</v>
      </c>
      <c r="Q1" s="161">
        <v>3</v>
      </c>
      <c r="R1" s="161">
        <v>4</v>
      </c>
      <c r="S1" s="161">
        <v>5</v>
      </c>
      <c r="T1" s="161">
        <v>6</v>
      </c>
      <c r="U1" s="161">
        <v>7</v>
      </c>
      <c r="V1" s="161">
        <v>8</v>
      </c>
      <c r="W1" s="161">
        <v>9</v>
      </c>
      <c r="X1" s="161">
        <v>10</v>
      </c>
      <c r="Y1" s="161">
        <v>11</v>
      </c>
      <c r="Z1" s="161">
        <v>12</v>
      </c>
      <c r="AA1" s="161">
        <v>13</v>
      </c>
      <c r="AB1" s="161">
        <v>14</v>
      </c>
      <c r="AC1" s="161">
        <v>15</v>
      </c>
      <c r="AD1" s="161">
        <v>16</v>
      </c>
      <c r="AE1" s="161">
        <v>17</v>
      </c>
      <c r="AF1" s="161">
        <v>18</v>
      </c>
      <c r="AG1" s="161">
        <v>19</v>
      </c>
      <c r="AH1" s="161">
        <v>20</v>
      </c>
      <c r="AI1" s="161">
        <v>21</v>
      </c>
      <c r="AJ1" s="161">
        <v>22</v>
      </c>
      <c r="AK1" s="161">
        <v>23</v>
      </c>
      <c r="AL1" s="161">
        <v>24</v>
      </c>
      <c r="AM1" s="161">
        <v>25</v>
      </c>
      <c r="AN1" s="161">
        <v>26</v>
      </c>
      <c r="AO1" s="161">
        <v>27</v>
      </c>
      <c r="AP1" s="161">
        <v>28</v>
      </c>
      <c r="AQ1" s="161">
        <v>29</v>
      </c>
      <c r="AR1" s="161">
        <v>30</v>
      </c>
      <c r="AS1" s="161">
        <v>31</v>
      </c>
    </row>
    <row r="2" spans="2:45" s="162" customFormat="1" ht="42.75" customHeight="1" thickBot="1" x14ac:dyDescent="0.25">
      <c r="B2" s="163" t="s">
        <v>392</v>
      </c>
      <c r="C2" s="346"/>
      <c r="D2" s="164" t="s">
        <v>393</v>
      </c>
      <c r="E2" s="346"/>
      <c r="F2" s="346"/>
      <c r="M2" s="548" t="s">
        <v>394</v>
      </c>
      <c r="N2" s="165" t="s">
        <v>395</v>
      </c>
      <c r="O2" s="241">
        <f>G41</f>
        <v>0.88939690091815837</v>
      </c>
      <c r="P2" s="241">
        <f t="shared" ref="P2:AR2" si="0">H41</f>
        <v>0.86287138131715102</v>
      </c>
      <c r="Q2" s="241">
        <f t="shared" si="0"/>
        <v>0.90614374005173126</v>
      </c>
      <c r="R2" s="241">
        <f t="shared" si="0"/>
        <v>0.90464926134102674</v>
      </c>
      <c r="S2" s="241">
        <f t="shared" si="0"/>
        <v>0.93266290290489473</v>
      </c>
      <c r="T2" s="241">
        <f t="shared" si="0"/>
        <v>0.97417777556705143</v>
      </c>
      <c r="U2" s="241">
        <f t="shared" si="0"/>
        <v>1.0168107093115801</v>
      </c>
      <c r="V2" s="241">
        <f t="shared" si="0"/>
        <v>1.0118751243533628</v>
      </c>
      <c r="W2" s="241">
        <f t="shared" si="0"/>
        <v>0.98458260793871888</v>
      </c>
      <c r="X2" s="241">
        <f t="shared" si="0"/>
        <v>1.0199809739355357</v>
      </c>
      <c r="Y2" s="241">
        <f t="shared" si="0"/>
        <v>1.0336398229208119</v>
      </c>
      <c r="Z2" s="241">
        <f t="shared" si="0"/>
        <v>1.0481940161161958</v>
      </c>
      <c r="AA2" s="241">
        <f t="shared" si="0"/>
        <v>1.0762388081973737</v>
      </c>
      <c r="AB2" s="241">
        <f t="shared" si="0"/>
        <v>1.0697863609231997</v>
      </c>
      <c r="AC2" s="241">
        <f t="shared" si="0"/>
        <v>1.0834366295264626</v>
      </c>
      <c r="AD2" s="241">
        <f t="shared" si="0"/>
        <v>1.073960530242738</v>
      </c>
      <c r="AE2" s="241">
        <f t="shared" si="0"/>
        <v>1.0548620921209713</v>
      </c>
      <c r="AF2" s="241">
        <f t="shared" si="0"/>
        <v>1.0617398278949466</v>
      </c>
      <c r="AG2" s="241">
        <f t="shared" si="0"/>
        <v>1.054846050537207</v>
      </c>
      <c r="AH2" s="241">
        <f t="shared" si="0"/>
        <v>1.0614339186231598</v>
      </c>
      <c r="AI2" s="241">
        <f t="shared" si="0"/>
        <v>1.0796892409470757</v>
      </c>
      <c r="AJ2" s="241">
        <f t="shared" si="0"/>
        <v>1.0714483436132116</v>
      </c>
      <c r="AK2" s="241">
        <f t="shared" si="0"/>
        <v>1.0595193742538798</v>
      </c>
      <c r="AL2" s="241">
        <f t="shared" si="0"/>
        <v>1.0584815210903307</v>
      </c>
      <c r="AM2" s="241">
        <f t="shared" si="0"/>
        <v>0.77901847890967002</v>
      </c>
      <c r="AN2" s="241">
        <f t="shared" si="0"/>
        <v>1.0322945624160615</v>
      </c>
      <c r="AO2" s="241">
        <f t="shared" si="0"/>
        <v>0.89998470453641077</v>
      </c>
      <c r="AP2" s="241">
        <f t="shared" si="0"/>
        <v>0.85270493434142491</v>
      </c>
      <c r="AQ2" s="241">
        <f t="shared" si="0"/>
        <v>0.88030503879824951</v>
      </c>
      <c r="AR2" s="241">
        <f t="shared" si="0"/>
        <v>0.91897474538649049</v>
      </c>
      <c r="AS2" s="241">
        <f>AK41</f>
        <v>0.96897507958615248</v>
      </c>
    </row>
    <row r="3" spans="2:45" s="162" customFormat="1" ht="38.25" customHeight="1" thickBot="1" x14ac:dyDescent="0.25">
      <c r="B3" s="163"/>
      <c r="C3" s="346"/>
      <c r="D3" s="546" t="s">
        <v>452</v>
      </c>
      <c r="E3" s="547"/>
      <c r="F3" s="546" t="s">
        <v>487</v>
      </c>
      <c r="G3" s="547"/>
      <c r="H3" s="546" t="s">
        <v>488</v>
      </c>
      <c r="I3" s="547"/>
      <c r="J3" s="549"/>
      <c r="K3" s="549"/>
      <c r="L3" s="166"/>
      <c r="M3" s="548"/>
      <c r="N3" s="165" t="s">
        <v>396</v>
      </c>
      <c r="O3" s="241">
        <f>G76</f>
        <v>0.86155988857938748</v>
      </c>
      <c r="P3" s="241">
        <f t="shared" ref="P3:AS3" si="1">H76</f>
        <v>0.92443767409470767</v>
      </c>
      <c r="Q3" s="241">
        <f t="shared" si="1"/>
        <v>1.0027855153203344</v>
      </c>
      <c r="R3" s="241">
        <f t="shared" si="1"/>
        <v>1.0027855153203344</v>
      </c>
      <c r="S3" s="241">
        <f t="shared" si="1"/>
        <v>1.0027855153203344</v>
      </c>
      <c r="T3" s="241">
        <f t="shared" si="1"/>
        <v>1.0027855153203344</v>
      </c>
      <c r="U3" s="241">
        <f t="shared" si="1"/>
        <v>1.0027855153203344</v>
      </c>
      <c r="V3" s="241">
        <f t="shared" si="1"/>
        <v>1.0027855153203344</v>
      </c>
      <c r="W3" s="241">
        <f t="shared" si="1"/>
        <v>1.0027855153203344</v>
      </c>
      <c r="X3" s="241">
        <f t="shared" si="1"/>
        <v>1.0027855153203344</v>
      </c>
      <c r="Y3" s="241">
        <f t="shared" si="1"/>
        <v>1.0027855153203344</v>
      </c>
      <c r="Z3" s="241">
        <f t="shared" si="1"/>
        <v>1.0027855153203344</v>
      </c>
      <c r="AA3" s="241">
        <f t="shared" si="1"/>
        <v>1.0027855153203344</v>
      </c>
      <c r="AB3" s="241">
        <f t="shared" si="1"/>
        <v>1.0027855153203344</v>
      </c>
      <c r="AC3" s="241">
        <f t="shared" si="1"/>
        <v>1.0027855153203344</v>
      </c>
      <c r="AD3" s="241">
        <f t="shared" si="1"/>
        <v>1.0027855153203344</v>
      </c>
      <c r="AE3" s="241">
        <f t="shared" si="1"/>
        <v>1.0027855153203344</v>
      </c>
      <c r="AF3" s="241">
        <f t="shared" si="1"/>
        <v>1.0027855153203344</v>
      </c>
      <c r="AG3" s="241">
        <f t="shared" si="1"/>
        <v>1.0027855153203344</v>
      </c>
      <c r="AH3" s="241">
        <f t="shared" si="1"/>
        <v>1.0027855153203344</v>
      </c>
      <c r="AI3" s="241">
        <f t="shared" si="1"/>
        <v>1.0027855153203344</v>
      </c>
      <c r="AJ3" s="241">
        <f t="shared" si="1"/>
        <v>1.0027855153203344</v>
      </c>
      <c r="AK3" s="241">
        <f t="shared" si="1"/>
        <v>1.0027855153203344</v>
      </c>
      <c r="AL3" s="241">
        <f t="shared" si="1"/>
        <v>1.0027855153203344</v>
      </c>
      <c r="AM3" s="241">
        <f t="shared" si="1"/>
        <v>0.74895543175487478</v>
      </c>
      <c r="AN3" s="241">
        <f t="shared" si="1"/>
        <v>1.0027855153203344</v>
      </c>
      <c r="AO3" s="241">
        <f t="shared" si="1"/>
        <v>1.0027855153203344</v>
      </c>
      <c r="AP3" s="241">
        <f t="shared" si="1"/>
        <v>1.0027855153203344</v>
      </c>
      <c r="AQ3" s="241">
        <f t="shared" si="1"/>
        <v>1.0027855153203344</v>
      </c>
      <c r="AR3" s="241">
        <f t="shared" si="1"/>
        <v>1.0027855153203344</v>
      </c>
      <c r="AS3" s="241">
        <f t="shared" si="1"/>
        <v>1.0027855153203344</v>
      </c>
    </row>
    <row r="4" spans="2:45" s="162" customFormat="1" ht="60.75" customHeight="1" thickBot="1" x14ac:dyDescent="0.25">
      <c r="B4" s="163"/>
      <c r="C4" s="167" t="s">
        <v>491</v>
      </c>
      <c r="D4" s="345" t="s">
        <v>397</v>
      </c>
      <c r="E4" s="345" t="s">
        <v>398</v>
      </c>
      <c r="F4" s="345" t="s">
        <v>397</v>
      </c>
      <c r="G4" s="345" t="s">
        <v>398</v>
      </c>
      <c r="H4" s="345" t="s">
        <v>397</v>
      </c>
      <c r="I4" s="345" t="s">
        <v>398</v>
      </c>
      <c r="J4" s="346"/>
      <c r="K4" s="346"/>
      <c r="L4" s="166"/>
      <c r="M4" s="548"/>
      <c r="N4" s="165" t="s">
        <v>399</v>
      </c>
      <c r="O4" s="241">
        <f>G111</f>
        <v>1.0289851085058752</v>
      </c>
      <c r="P4" s="241">
        <f>H111</f>
        <v>0.93602153042719727</v>
      </c>
      <c r="Q4" s="241">
        <f t="shared" ref="Q4:AS4" si="2">I111</f>
        <v>0.99394246000921749</v>
      </c>
      <c r="R4" s="241">
        <f t="shared" si="2"/>
        <v>1.017585237681246</v>
      </c>
      <c r="S4" s="241">
        <f t="shared" si="2"/>
        <v>1.0333975499381265</v>
      </c>
      <c r="T4" s="241">
        <f t="shared" si="2"/>
        <v>0.99976759211049693</v>
      </c>
      <c r="U4" s="241">
        <f t="shared" si="2"/>
        <v>0.99818055930239646</v>
      </c>
      <c r="V4" s="241">
        <f t="shared" si="2"/>
        <v>1.0277915217336853</v>
      </c>
      <c r="W4" s="241">
        <f t="shared" si="2"/>
        <v>0.99821840355821578</v>
      </c>
      <c r="X4" s="241">
        <f t="shared" si="2"/>
        <v>1.0227608735760712</v>
      </c>
      <c r="Y4" s="241">
        <f t="shared" si="2"/>
        <v>1.0230714537411911</v>
      </c>
      <c r="Z4" s="241">
        <f t="shared" si="2"/>
        <v>1.0341177330173776</v>
      </c>
      <c r="AA4" s="241">
        <f t="shared" si="2"/>
        <v>1.0349409760266433</v>
      </c>
      <c r="AB4" s="241">
        <f>T111</f>
        <v>1.0535799085534059</v>
      </c>
      <c r="AC4" s="241">
        <f t="shared" si="2"/>
        <v>1.0665459953872303</v>
      </c>
      <c r="AD4" s="241">
        <f t="shared" si="2"/>
        <v>1.0423432769722123</v>
      </c>
      <c r="AE4" s="241">
        <f t="shared" si="2"/>
        <v>1.03692266645714</v>
      </c>
      <c r="AF4" s="241">
        <f t="shared" si="2"/>
        <v>1.0355281887897549</v>
      </c>
      <c r="AG4" s="241">
        <f t="shared" si="2"/>
        <v>1.0368799653163783</v>
      </c>
      <c r="AH4" s="241">
        <f t="shared" si="2"/>
        <v>1.031338649644407</v>
      </c>
      <c r="AI4" s="241">
        <f t="shared" si="2"/>
        <v>1.054981167238991</v>
      </c>
      <c r="AJ4" s="241">
        <f t="shared" si="2"/>
        <v>1.0490198015460321</v>
      </c>
      <c r="AK4" s="241">
        <f t="shared" si="2"/>
        <v>1.0398369798068863</v>
      </c>
      <c r="AL4" s="241">
        <f t="shared" si="2"/>
        <v>1.0402319631199268</v>
      </c>
      <c r="AM4" s="241">
        <f t="shared" si="2"/>
        <v>0.86632888904887606</v>
      </c>
      <c r="AN4" s="241">
        <f t="shared" si="2"/>
        <v>1.0174716930322627</v>
      </c>
      <c r="AO4" s="241">
        <f t="shared" si="2"/>
        <v>0.97184910056820284</v>
      </c>
      <c r="AP4" s="241">
        <f t="shared" si="2"/>
        <v>0.95759931907384588</v>
      </c>
      <c r="AQ4" s="241">
        <f t="shared" si="2"/>
        <v>0.96805526870691039</v>
      </c>
      <c r="AR4" s="241">
        <f t="shared" si="2"/>
        <v>0.97793773485830837</v>
      </c>
      <c r="AS4" s="241">
        <f t="shared" si="2"/>
        <v>0.9901856523734951</v>
      </c>
    </row>
    <row r="5" spans="2:45" s="162" customFormat="1" ht="25.5" customHeight="1" thickBot="1" x14ac:dyDescent="0.25">
      <c r="B5" s="168" t="s">
        <v>395</v>
      </c>
      <c r="C5" s="260">
        <v>99.7222222222222</v>
      </c>
      <c r="D5" s="260">
        <v>83.264986175115212</v>
      </c>
      <c r="E5" s="261">
        <v>73.21036686347928</v>
      </c>
      <c r="F5" s="260">
        <v>99.11</v>
      </c>
      <c r="G5" s="261">
        <v>103.72870217559765</v>
      </c>
      <c r="H5" s="260">
        <v>97.991935483870961</v>
      </c>
      <c r="I5" s="261">
        <v>103.63978682135659</v>
      </c>
      <c r="K5" s="350"/>
      <c r="L5" s="166"/>
      <c r="M5" s="548"/>
      <c r="N5" s="165" t="s">
        <v>400</v>
      </c>
      <c r="O5" s="241">
        <f>G180</f>
        <v>1.0381696034925343</v>
      </c>
      <c r="P5" s="241">
        <f t="shared" ref="P5:AS5" si="3">H180</f>
        <v>0.9746841284326786</v>
      </c>
      <c r="Q5" s="241">
        <f t="shared" si="3"/>
        <v>0.90924091495466952</v>
      </c>
      <c r="R5" s="241">
        <f t="shared" si="3"/>
        <v>0.91296974300110945</v>
      </c>
      <c r="S5" s="241">
        <f t="shared" si="3"/>
        <v>0.93878534451506113</v>
      </c>
      <c r="T5" s="241">
        <f t="shared" si="3"/>
        <v>0.97668334435969073</v>
      </c>
      <c r="U5" s="241">
        <f t="shared" si="3"/>
        <v>1.0104792185781479</v>
      </c>
      <c r="V5" s="241">
        <f t="shared" si="3"/>
        <v>1.0118313853669572</v>
      </c>
      <c r="W5" s="241">
        <f t="shared" si="3"/>
        <v>0.98321190425412519</v>
      </c>
      <c r="X5" s="241">
        <f t="shared" si="3"/>
        <v>1.0160786822741368</v>
      </c>
      <c r="Y5" s="241">
        <f t="shared" si="3"/>
        <v>1.0346979360010213</v>
      </c>
      <c r="Z5" s="241">
        <f>R180</f>
        <v>1.0461166941899527</v>
      </c>
      <c r="AA5" s="241">
        <f t="shared" si="3"/>
        <v>1.0792198940104614</v>
      </c>
      <c r="AB5" s="241">
        <f t="shared" si="3"/>
        <v>1.0808955853683722</v>
      </c>
      <c r="AC5" s="241">
        <f t="shared" si="3"/>
        <v>1.0943716279967186</v>
      </c>
      <c r="AD5" s="241">
        <f t="shared" si="3"/>
        <v>1.0884196054754267</v>
      </c>
      <c r="AE5" s="241">
        <f t="shared" si="3"/>
        <v>1.07304389294133</v>
      </c>
      <c r="AF5" s="241">
        <f t="shared" si="3"/>
        <v>1.0729567901727257</v>
      </c>
      <c r="AG5" s="241">
        <f t="shared" si="3"/>
        <v>1.0773824403679999</v>
      </c>
      <c r="AH5" s="241">
        <f t="shared" si="3"/>
        <v>1.0642506610631846</v>
      </c>
      <c r="AI5" s="241">
        <f t="shared" si="3"/>
        <v>1.0890334726065425</v>
      </c>
      <c r="AJ5" s="241">
        <f t="shared" si="3"/>
        <v>1.092994574702594</v>
      </c>
      <c r="AK5" s="241">
        <f>AC180</f>
        <v>1.0755740209817397</v>
      </c>
      <c r="AL5" s="241">
        <f t="shared" si="3"/>
        <v>1.0712728033130432</v>
      </c>
      <c r="AM5" s="241">
        <f t="shared" si="3"/>
        <v>0.76356360833946924</v>
      </c>
      <c r="AN5" s="241">
        <f t="shared" si="3"/>
        <v>1.0368091412019533</v>
      </c>
      <c r="AO5" s="241">
        <f t="shared" si="3"/>
        <v>0.92155558733495913</v>
      </c>
      <c r="AP5" s="241">
        <f t="shared" si="3"/>
        <v>0.85254530809506091</v>
      </c>
      <c r="AQ5" s="241">
        <f t="shared" si="3"/>
        <v>0.88087859439676441</v>
      </c>
      <c r="AR5" s="241">
        <f t="shared" si="3"/>
        <v>0.93273792372339315</v>
      </c>
      <c r="AS5" s="241">
        <f t="shared" si="3"/>
        <v>0.97006768169665203</v>
      </c>
    </row>
    <row r="6" spans="2:45" s="162" customFormat="1" ht="25.5" customHeight="1" thickBot="1" x14ac:dyDescent="0.25">
      <c r="B6" s="168" t="s">
        <v>396</v>
      </c>
      <c r="C6" s="260">
        <v>99.7222222222222</v>
      </c>
      <c r="D6" s="260">
        <v>79.569892473118287</v>
      </c>
      <c r="E6" s="261">
        <v>69.78</v>
      </c>
      <c r="F6" s="260">
        <v>99.7</v>
      </c>
      <c r="G6" s="261">
        <v>100</v>
      </c>
      <c r="H6" s="260">
        <v>99.731182795698928</v>
      </c>
      <c r="I6" s="261">
        <v>100</v>
      </c>
      <c r="K6" s="350"/>
      <c r="L6" s="166"/>
      <c r="M6" s="548"/>
      <c r="N6" s="165" t="s">
        <v>401</v>
      </c>
      <c r="O6" s="241">
        <f>G213</f>
        <v>1.0381696034925343</v>
      </c>
      <c r="P6" s="241">
        <f t="shared" ref="P6:AS6" si="4">H213</f>
        <v>0.9746841284326786</v>
      </c>
      <c r="Q6" s="241">
        <f t="shared" si="4"/>
        <v>0.90924091495466952</v>
      </c>
      <c r="R6" s="241">
        <f t="shared" si="4"/>
        <v>0.91296974300110945</v>
      </c>
      <c r="S6" s="241">
        <f t="shared" si="4"/>
        <v>0.93878534451506113</v>
      </c>
      <c r="T6" s="241">
        <f t="shared" si="4"/>
        <v>0.97668334435969073</v>
      </c>
      <c r="U6" s="241">
        <f t="shared" si="4"/>
        <v>1.0104792185781479</v>
      </c>
      <c r="V6" s="241">
        <f t="shared" si="4"/>
        <v>1.0118313853669572</v>
      </c>
      <c r="W6" s="241">
        <f t="shared" si="4"/>
        <v>0.98321190425412519</v>
      </c>
      <c r="X6" s="241">
        <f t="shared" si="4"/>
        <v>1.0160786822741368</v>
      </c>
      <c r="Y6" s="241">
        <f t="shared" si="4"/>
        <v>1.0346979360010213</v>
      </c>
      <c r="Z6" s="241">
        <f t="shared" si="4"/>
        <v>1.0461166941899527</v>
      </c>
      <c r="AA6" s="241">
        <f t="shared" si="4"/>
        <v>1.0792198940104614</v>
      </c>
      <c r="AB6" s="241">
        <f t="shared" si="4"/>
        <v>1.0808955853683722</v>
      </c>
      <c r="AC6" s="241">
        <f t="shared" si="4"/>
        <v>1.0943716279967186</v>
      </c>
      <c r="AD6" s="241">
        <f t="shared" si="4"/>
        <v>1.0884196054754267</v>
      </c>
      <c r="AE6" s="241">
        <f t="shared" si="4"/>
        <v>1.07304389294133</v>
      </c>
      <c r="AF6" s="241">
        <f t="shared" si="4"/>
        <v>1.0729567901727257</v>
      </c>
      <c r="AG6" s="241">
        <f t="shared" si="4"/>
        <v>1.0773824403679999</v>
      </c>
      <c r="AH6" s="241">
        <f t="shared" si="4"/>
        <v>1.0642506610631846</v>
      </c>
      <c r="AI6" s="241">
        <f t="shared" si="4"/>
        <v>1.0890334726065425</v>
      </c>
      <c r="AJ6" s="241">
        <f t="shared" si="4"/>
        <v>1.092994574702594</v>
      </c>
      <c r="AK6" s="241">
        <f t="shared" si="4"/>
        <v>1.0755740209817397</v>
      </c>
      <c r="AL6" s="241">
        <f t="shared" si="4"/>
        <v>1.0712728033130432</v>
      </c>
      <c r="AM6" s="241">
        <f t="shared" si="4"/>
        <v>0.76356360833946924</v>
      </c>
      <c r="AN6" s="241">
        <f t="shared" si="4"/>
        <v>1.0368091412019533</v>
      </c>
      <c r="AO6" s="241">
        <f t="shared" si="4"/>
        <v>0.92155558733495913</v>
      </c>
      <c r="AP6" s="241">
        <f t="shared" si="4"/>
        <v>0.85254530809506091</v>
      </c>
      <c r="AQ6" s="241">
        <f t="shared" si="4"/>
        <v>0.88087859439676441</v>
      </c>
      <c r="AR6" s="241">
        <f t="shared" si="4"/>
        <v>0.93273792372339315</v>
      </c>
      <c r="AS6" s="241">
        <f t="shared" si="4"/>
        <v>0.97006768169665203</v>
      </c>
    </row>
    <row r="7" spans="2:45" s="162" customFormat="1" ht="25.5" customHeight="1" thickBot="1" x14ac:dyDescent="0.25">
      <c r="B7" s="168" t="s">
        <v>402</v>
      </c>
      <c r="C7" s="260">
        <v>7.0591666666666697</v>
      </c>
      <c r="D7" s="260">
        <v>7.5879363753917044</v>
      </c>
      <c r="E7" s="261">
        <v>6.92</v>
      </c>
      <c r="F7" s="260">
        <v>7.1</v>
      </c>
      <c r="G7" s="261">
        <v>6.7048972643466209</v>
      </c>
      <c r="H7" s="260">
        <v>7.3347881451612906</v>
      </c>
      <c r="I7" s="261">
        <v>6.7158695984441765</v>
      </c>
      <c r="K7" s="350"/>
      <c r="L7" s="166"/>
      <c r="M7" s="548"/>
      <c r="N7" s="165" t="s">
        <v>403</v>
      </c>
      <c r="O7" s="241">
        <f>G146</f>
        <v>1.0548461538461538</v>
      </c>
      <c r="P7" s="241">
        <f t="shared" ref="P7:AS7" si="5">H146</f>
        <v>0.38405786942929632</v>
      </c>
      <c r="Q7" s="241">
        <f t="shared" si="5"/>
        <v>1.3758421559191529</v>
      </c>
      <c r="R7" s="241">
        <f t="shared" si="5"/>
        <v>1.2198155693759383</v>
      </c>
      <c r="S7" s="241">
        <f t="shared" si="5"/>
        <v>1.3870754716981133</v>
      </c>
      <c r="T7" s="241">
        <f t="shared" si="5"/>
        <v>1.5510152284263958</v>
      </c>
      <c r="U7" s="241">
        <f>M146</f>
        <v>1.3845132743362834</v>
      </c>
      <c r="V7" s="241">
        <f t="shared" si="5"/>
        <v>1.6530286928799149</v>
      </c>
      <c r="W7" s="241">
        <f t="shared" si="5"/>
        <v>1.2286800000000002</v>
      </c>
      <c r="X7" s="241">
        <f t="shared" si="5"/>
        <v>1.4290410958904107</v>
      </c>
      <c r="Y7" s="241">
        <f t="shared" si="5"/>
        <v>1.4526199972493468</v>
      </c>
      <c r="Z7" s="241">
        <f>R146</f>
        <v>1.3284487114704397</v>
      </c>
      <c r="AA7" s="241">
        <f t="shared" si="5"/>
        <v>1.4098689956331878</v>
      </c>
      <c r="AB7" s="241">
        <f t="shared" si="5"/>
        <v>1.4560909090909091</v>
      </c>
      <c r="AC7" s="241">
        <f t="shared" si="5"/>
        <v>1.2773492838029277</v>
      </c>
      <c r="AD7" s="241">
        <f t="shared" si="5"/>
        <v>1.5096296985485671</v>
      </c>
      <c r="AE7" s="241">
        <f t="shared" si="5"/>
        <v>1.3674893617021278</v>
      </c>
      <c r="AF7" s="241">
        <f t="shared" si="5"/>
        <v>1.1709868775840375</v>
      </c>
      <c r="AG7" s="241">
        <f t="shared" si="5"/>
        <v>1.4013945533482435</v>
      </c>
      <c r="AH7" s="241">
        <f t="shared" si="5"/>
        <v>1.187111111111111</v>
      </c>
      <c r="AI7" s="241">
        <f t="shared" si="5"/>
        <v>1.3691596638655461</v>
      </c>
      <c r="AJ7" s="241">
        <f t="shared" si="5"/>
        <v>1.1600719424460433</v>
      </c>
      <c r="AK7" s="241">
        <f t="shared" si="5"/>
        <v>1.0314732573855958</v>
      </c>
      <c r="AL7" s="241">
        <f t="shared" si="5"/>
        <v>1.3142274765593152</v>
      </c>
      <c r="AM7" s="241">
        <f t="shared" si="5"/>
        <v>0.38564631245043612</v>
      </c>
      <c r="AN7" s="241">
        <f t="shared" si="5"/>
        <v>1.0145454545454546</v>
      </c>
      <c r="AO7" s="241">
        <f t="shared" si="5"/>
        <v>1.335277777777778</v>
      </c>
      <c r="AP7" s="241">
        <f t="shared" si="5"/>
        <v>1.2080973451327435</v>
      </c>
      <c r="AQ7" s="241">
        <f t="shared" si="5"/>
        <v>1.2861643835616436</v>
      </c>
      <c r="AR7" s="241">
        <f t="shared" si="5"/>
        <v>1.4026948989412895</v>
      </c>
      <c r="AS7" s="241">
        <f t="shared" si="5"/>
        <v>1.4864039408866998</v>
      </c>
    </row>
    <row r="8" spans="2:45" s="162" customFormat="1" ht="25.5" customHeight="1" x14ac:dyDescent="0.2">
      <c r="B8" s="168" t="s">
        <v>400</v>
      </c>
      <c r="C8" s="260">
        <v>74.739300533333306</v>
      </c>
      <c r="D8" s="260">
        <v>62.036814736333909</v>
      </c>
      <c r="E8" s="261">
        <v>55.124000000000002</v>
      </c>
      <c r="F8" s="260">
        <v>69.45</v>
      </c>
      <c r="G8" s="261">
        <v>73.780256000000008</v>
      </c>
      <c r="H8" s="260">
        <v>73.215877677475362</v>
      </c>
      <c r="I8" s="261">
        <v>78.169412499999979</v>
      </c>
      <c r="K8" s="350"/>
      <c r="T8" s="346"/>
      <c r="U8" s="346"/>
      <c r="V8" s="346"/>
      <c r="W8" s="346"/>
    </row>
    <row r="9" spans="2:45" s="162" customFormat="1" ht="25.5" customHeight="1" x14ac:dyDescent="0.2">
      <c r="B9" s="168" t="s">
        <v>401</v>
      </c>
      <c r="C9" s="260">
        <v>74.739300533333306</v>
      </c>
      <c r="D9" s="260">
        <v>62.036814736333909</v>
      </c>
      <c r="E9" s="261">
        <v>55.124000000000002</v>
      </c>
      <c r="F9" s="260">
        <v>69.45</v>
      </c>
      <c r="G9" s="261">
        <v>73.780256000000008</v>
      </c>
      <c r="H9" s="260">
        <v>73.215877677475362</v>
      </c>
      <c r="I9" s="261">
        <v>78.169412499999979</v>
      </c>
      <c r="K9" s="350"/>
      <c r="T9" s="346"/>
      <c r="U9" s="346"/>
      <c r="V9" s="346"/>
      <c r="W9" s="346"/>
    </row>
    <row r="10" spans="2:45" s="162" customFormat="1" ht="25.5" customHeight="1" x14ac:dyDescent="0.2">
      <c r="B10" s="168" t="s">
        <v>403</v>
      </c>
      <c r="C10" s="262">
        <v>3</v>
      </c>
      <c r="D10" s="262">
        <v>3</v>
      </c>
      <c r="E10" s="261">
        <v>3.8</v>
      </c>
      <c r="F10" s="262">
        <v>3</v>
      </c>
      <c r="G10" s="261">
        <v>1.81</v>
      </c>
      <c r="H10" s="262">
        <v>3</v>
      </c>
      <c r="I10" s="261">
        <v>1.82</v>
      </c>
      <c r="K10" s="240"/>
      <c r="T10" s="346"/>
      <c r="U10" s="346"/>
      <c r="V10" s="346"/>
      <c r="W10" s="346"/>
    </row>
    <row r="11" spans="2:45" ht="36.75" customHeight="1" x14ac:dyDescent="0.2"/>
    <row r="12" spans="2:45" ht="48" customHeight="1" x14ac:dyDescent="0.2">
      <c r="F12" s="540"/>
      <c r="G12" s="540"/>
      <c r="H12" s="540"/>
      <c r="I12" s="540"/>
      <c r="J12" s="540"/>
      <c r="K12" s="540"/>
      <c r="L12" s="540"/>
      <c r="M12" s="540"/>
      <c r="N12" s="540"/>
      <c r="O12" s="540"/>
      <c r="P12" s="540"/>
      <c r="Q12" s="540"/>
      <c r="R12" s="540"/>
      <c r="S12" s="540"/>
      <c r="T12" s="540"/>
      <c r="U12" s="540"/>
      <c r="V12" s="540"/>
      <c r="W12" s="540"/>
    </row>
    <row r="13" spans="2:45" ht="15" customHeight="1" x14ac:dyDescent="0.2">
      <c r="B13" s="169" t="s">
        <v>404</v>
      </c>
    </row>
    <row r="14" spans="2:45" ht="55.5" customHeight="1" x14ac:dyDescent="0.2">
      <c r="AD14" s="541"/>
      <c r="AE14" s="541"/>
      <c r="AF14" s="541"/>
      <c r="AG14" s="541"/>
      <c r="AH14" s="541"/>
    </row>
    <row r="15" spans="2:45" ht="17.25" customHeight="1" x14ac:dyDescent="0.2">
      <c r="C15" s="170"/>
      <c r="D15" s="170"/>
      <c r="F15" s="169"/>
      <c r="G15" s="169"/>
      <c r="H15" s="169"/>
      <c r="I15" s="169"/>
      <c r="J15" s="169"/>
      <c r="K15" s="169"/>
      <c r="L15" s="169"/>
      <c r="M15" s="169"/>
      <c r="N15" s="169"/>
      <c r="O15" s="169"/>
      <c r="P15" s="169"/>
      <c r="Q15" s="169"/>
      <c r="R15" s="169"/>
      <c r="S15" s="169"/>
      <c r="T15" s="169"/>
      <c r="U15" s="169"/>
      <c r="V15" s="169"/>
      <c r="W15" s="169"/>
      <c r="AE15" s="542"/>
      <c r="AF15" s="542"/>
      <c r="AG15" s="542"/>
      <c r="AH15" s="542"/>
    </row>
    <row r="16" spans="2:45" x14ac:dyDescent="0.2">
      <c r="T16" s="159"/>
      <c r="U16" s="159"/>
      <c r="V16" s="159"/>
      <c r="W16" s="159"/>
      <c r="AE16" s="542"/>
      <c r="AF16" s="542"/>
      <c r="AG16" s="542"/>
      <c r="AH16" s="542"/>
    </row>
    <row r="30" spans="2:5" ht="31.5" customHeight="1" x14ac:dyDescent="0.2"/>
    <row r="31" spans="2:5" s="171" customFormat="1" ht="20.100000000000001" customHeight="1" x14ac:dyDescent="0.2">
      <c r="B31" s="172" t="s">
        <v>405</v>
      </c>
      <c r="C31" s="173" t="str">
        <f>D3</f>
        <v>Jan'24</v>
      </c>
      <c r="D31" s="173" t="str">
        <f>F3</f>
        <v>Feb'24</v>
      </c>
      <c r="E31" s="173" t="str">
        <f>H3</f>
        <v>March'24</v>
      </c>
    </row>
    <row r="32" spans="2:5" ht="20.100000000000001" customHeight="1" x14ac:dyDescent="0.2">
      <c r="B32" s="174" t="s">
        <v>397</v>
      </c>
      <c r="C32" s="175">
        <v>94</v>
      </c>
      <c r="D32" s="175">
        <v>94</v>
      </c>
      <c r="E32" s="175">
        <v>94</v>
      </c>
    </row>
    <row r="33" spans="2:37" ht="20.100000000000001" customHeight="1" x14ac:dyDescent="0.2">
      <c r="B33" s="174" t="s">
        <v>398</v>
      </c>
      <c r="C33" s="175">
        <v>89.66</v>
      </c>
      <c r="D33" s="175">
        <v>85.427467357910913</v>
      </c>
      <c r="E33" s="175">
        <v>88.17</v>
      </c>
    </row>
    <row r="34" spans="2:37" ht="20.100000000000001" customHeight="1" thickBot="1" x14ac:dyDescent="0.25">
      <c r="B34" s="174"/>
      <c r="C34" s="175"/>
      <c r="D34" s="175"/>
      <c r="E34" s="175"/>
    </row>
    <row r="35" spans="2:37" ht="20.100000000000001" customHeight="1" thickBot="1" x14ac:dyDescent="0.25">
      <c r="B35" s="176" t="s">
        <v>394</v>
      </c>
      <c r="C35" s="242">
        <f>C33/C32</f>
        <v>0.95382978723404255</v>
      </c>
      <c r="D35" s="242">
        <f>D33/D32</f>
        <v>0.90880284423309488</v>
      </c>
      <c r="E35" s="243">
        <f>E33/E32</f>
        <v>0.93797872340425537</v>
      </c>
      <c r="F35" s="177" t="s">
        <v>406</v>
      </c>
      <c r="G35" s="178">
        <v>1</v>
      </c>
      <c r="H35" s="178">
        <v>2</v>
      </c>
      <c r="I35" s="178">
        <v>3</v>
      </c>
      <c r="J35" s="178">
        <v>4</v>
      </c>
      <c r="K35" s="178">
        <v>5</v>
      </c>
      <c r="L35" s="178">
        <v>6</v>
      </c>
      <c r="M35" s="178">
        <v>7</v>
      </c>
      <c r="N35" s="178">
        <v>8</v>
      </c>
      <c r="O35" s="178">
        <v>9</v>
      </c>
      <c r="P35" s="178">
        <v>10</v>
      </c>
      <c r="Q35" s="178">
        <v>11</v>
      </c>
      <c r="R35" s="178">
        <v>12</v>
      </c>
      <c r="S35" s="178">
        <v>13</v>
      </c>
      <c r="T35" s="178">
        <v>14</v>
      </c>
      <c r="U35" s="178">
        <v>15</v>
      </c>
      <c r="V35" s="178">
        <v>16</v>
      </c>
      <c r="W35" s="178">
        <v>17</v>
      </c>
      <c r="X35" s="178">
        <v>18</v>
      </c>
      <c r="Y35" s="178">
        <v>19</v>
      </c>
      <c r="Z35" s="178">
        <v>20</v>
      </c>
      <c r="AA35" s="178">
        <v>21</v>
      </c>
      <c r="AB35" s="178">
        <v>22</v>
      </c>
      <c r="AC35" s="178">
        <v>23</v>
      </c>
      <c r="AD35" s="178">
        <v>24</v>
      </c>
      <c r="AE35" s="178">
        <v>25</v>
      </c>
      <c r="AF35" s="178">
        <v>26</v>
      </c>
      <c r="AG35" s="178">
        <v>27</v>
      </c>
      <c r="AH35" s="178">
        <v>28</v>
      </c>
      <c r="AI35" s="178">
        <v>29</v>
      </c>
      <c r="AJ35" s="178">
        <v>30</v>
      </c>
      <c r="AK35" s="178">
        <v>31</v>
      </c>
    </row>
    <row r="36" spans="2:37" ht="20.100000000000001" customHeight="1" x14ac:dyDescent="0.2">
      <c r="C36" s="159"/>
      <c r="D36" s="244"/>
      <c r="E36" s="244"/>
      <c r="F36" s="179" t="s">
        <v>407</v>
      </c>
      <c r="G36" s="180">
        <v>1</v>
      </c>
      <c r="H36" s="180">
        <v>2</v>
      </c>
      <c r="I36" s="180">
        <v>3</v>
      </c>
      <c r="J36" s="180">
        <v>4</v>
      </c>
      <c r="K36" s="180">
        <v>5</v>
      </c>
      <c r="L36" s="180">
        <v>6</v>
      </c>
      <c r="M36" s="180">
        <v>7</v>
      </c>
      <c r="N36" s="180">
        <v>8</v>
      </c>
      <c r="O36" s="180">
        <v>9</v>
      </c>
      <c r="P36" s="180">
        <v>10</v>
      </c>
      <c r="Q36" s="180">
        <v>11</v>
      </c>
      <c r="R36" s="180">
        <v>12</v>
      </c>
      <c r="S36" s="180">
        <v>13</v>
      </c>
      <c r="T36" s="180">
        <v>14</v>
      </c>
      <c r="U36" s="180">
        <v>15</v>
      </c>
      <c r="V36" s="180">
        <v>16</v>
      </c>
      <c r="W36" s="180">
        <v>17</v>
      </c>
      <c r="X36" s="180">
        <v>18</v>
      </c>
      <c r="Y36" s="180">
        <v>19</v>
      </c>
      <c r="Z36" s="180">
        <v>20</v>
      </c>
      <c r="AA36" s="180">
        <v>21</v>
      </c>
      <c r="AB36" s="180">
        <v>22</v>
      </c>
      <c r="AC36" s="180">
        <v>23</v>
      </c>
      <c r="AD36" s="180">
        <v>24</v>
      </c>
      <c r="AE36" s="180">
        <v>25</v>
      </c>
      <c r="AF36" s="180">
        <v>26</v>
      </c>
      <c r="AG36" s="180">
        <v>27</v>
      </c>
      <c r="AH36" s="180">
        <v>28</v>
      </c>
      <c r="AI36" s="180">
        <v>29</v>
      </c>
      <c r="AJ36" s="180">
        <v>30</v>
      </c>
      <c r="AK36" s="180">
        <v>31</v>
      </c>
    </row>
    <row r="37" spans="2:37" ht="19.5" customHeight="1" thickBot="1" x14ac:dyDescent="0.25">
      <c r="F37" s="181" t="s">
        <v>397</v>
      </c>
      <c r="G37" s="182">
        <f>$C5</f>
        <v>99.7222222222222</v>
      </c>
      <c r="H37" s="182">
        <f t="shared" ref="H37:AK37" si="6">$C5</f>
        <v>99.7222222222222</v>
      </c>
      <c r="I37" s="182">
        <f t="shared" si="6"/>
        <v>99.7222222222222</v>
      </c>
      <c r="J37" s="182">
        <f t="shared" si="6"/>
        <v>99.7222222222222</v>
      </c>
      <c r="K37" s="182">
        <f t="shared" si="6"/>
        <v>99.7222222222222</v>
      </c>
      <c r="L37" s="182">
        <f t="shared" si="6"/>
        <v>99.7222222222222</v>
      </c>
      <c r="M37" s="182">
        <f t="shared" si="6"/>
        <v>99.7222222222222</v>
      </c>
      <c r="N37" s="182">
        <f t="shared" si="6"/>
        <v>99.7222222222222</v>
      </c>
      <c r="O37" s="182">
        <f t="shared" si="6"/>
        <v>99.7222222222222</v>
      </c>
      <c r="P37" s="182">
        <f t="shared" si="6"/>
        <v>99.7222222222222</v>
      </c>
      <c r="Q37" s="182">
        <f t="shared" si="6"/>
        <v>99.7222222222222</v>
      </c>
      <c r="R37" s="182">
        <f t="shared" si="6"/>
        <v>99.7222222222222</v>
      </c>
      <c r="S37" s="182">
        <f t="shared" si="6"/>
        <v>99.7222222222222</v>
      </c>
      <c r="T37" s="182">
        <f t="shared" si="6"/>
        <v>99.7222222222222</v>
      </c>
      <c r="U37" s="182">
        <f t="shared" si="6"/>
        <v>99.7222222222222</v>
      </c>
      <c r="V37" s="182">
        <f t="shared" si="6"/>
        <v>99.7222222222222</v>
      </c>
      <c r="W37" s="182">
        <f t="shared" si="6"/>
        <v>99.7222222222222</v>
      </c>
      <c r="X37" s="182">
        <f t="shared" si="6"/>
        <v>99.7222222222222</v>
      </c>
      <c r="Y37" s="182">
        <f t="shared" si="6"/>
        <v>99.7222222222222</v>
      </c>
      <c r="Z37" s="182">
        <f t="shared" si="6"/>
        <v>99.7222222222222</v>
      </c>
      <c r="AA37" s="182">
        <f t="shared" si="6"/>
        <v>99.7222222222222</v>
      </c>
      <c r="AB37" s="182">
        <f t="shared" si="6"/>
        <v>99.7222222222222</v>
      </c>
      <c r="AC37" s="182">
        <f t="shared" si="6"/>
        <v>99.7222222222222</v>
      </c>
      <c r="AD37" s="182">
        <f t="shared" si="6"/>
        <v>99.7222222222222</v>
      </c>
      <c r="AE37" s="182">
        <f t="shared" si="6"/>
        <v>99.7222222222222</v>
      </c>
      <c r="AF37" s="182">
        <f t="shared" si="6"/>
        <v>99.7222222222222</v>
      </c>
      <c r="AG37" s="182">
        <f t="shared" si="6"/>
        <v>99.7222222222222</v>
      </c>
      <c r="AH37" s="182">
        <f t="shared" si="6"/>
        <v>99.7222222222222</v>
      </c>
      <c r="AI37" s="182">
        <f t="shared" si="6"/>
        <v>99.7222222222222</v>
      </c>
      <c r="AJ37" s="182">
        <f t="shared" si="6"/>
        <v>99.7222222222222</v>
      </c>
      <c r="AK37" s="182">
        <f t="shared" si="6"/>
        <v>99.7222222222222</v>
      </c>
    </row>
    <row r="38" spans="2:37" ht="19.5" customHeight="1" x14ac:dyDescent="0.2">
      <c r="B38" s="537" t="s">
        <v>408</v>
      </c>
      <c r="C38" s="538"/>
      <c r="D38" s="539"/>
      <c r="F38" s="183" t="s">
        <v>398</v>
      </c>
      <c r="G38" s="182">
        <f>STATION!C15</f>
        <v>88.692635397116334</v>
      </c>
      <c r="H38" s="182">
        <f>STATION!D15</f>
        <v>86.047451636904768</v>
      </c>
      <c r="I38" s="182">
        <f>STATION!E15</f>
        <v>90.362667410714295</v>
      </c>
      <c r="J38" s="182">
        <f>STATION!F15</f>
        <v>90.213634672619037</v>
      </c>
      <c r="K38" s="182">
        <f>STATION!G15</f>
        <v>93.007217261904756</v>
      </c>
      <c r="L38" s="182">
        <f>STATION!H15</f>
        <v>97.147172619047609</v>
      </c>
      <c r="M38" s="182">
        <f>STATION!I15</f>
        <v>101.39862351190477</v>
      </c>
      <c r="N38" s="182">
        <f>STATION!J15</f>
        <v>100.90643601190477</v>
      </c>
      <c r="O38" s="182">
        <f>STATION!K15</f>
        <v>98.184765624999997</v>
      </c>
      <c r="P38" s="182">
        <f>STATION!L15</f>
        <v>101.71476934523812</v>
      </c>
      <c r="Q38" s="182">
        <f>STATION!M15</f>
        <v>103.07686011904761</v>
      </c>
      <c r="R38" s="182">
        <f>STATION!N15</f>
        <v>104.52823660714284</v>
      </c>
      <c r="S38" s="182">
        <f>STATION!O15</f>
        <v>107.32492559523808</v>
      </c>
      <c r="T38" s="182">
        <f>STATION!P15</f>
        <v>106.68147321428572</v>
      </c>
      <c r="U38" s="182">
        <f>STATION!Q15</f>
        <v>108.04270833333334</v>
      </c>
      <c r="V38" s="182">
        <f>STATION!R15</f>
        <v>107.0977306547619</v>
      </c>
      <c r="W38" s="182">
        <f>STATION!S15</f>
        <v>105.19319196428572</v>
      </c>
      <c r="X38" s="182">
        <f>STATION!T15</f>
        <v>105.87905505952381</v>
      </c>
      <c r="Y38" s="182">
        <f>STATION!U15</f>
        <v>105.19159226190479</v>
      </c>
      <c r="Z38" s="182">
        <f>STATION!V15</f>
        <v>105.84854910714286</v>
      </c>
      <c r="AA38" s="182">
        <f>STATION!W15</f>
        <v>107.66901041666669</v>
      </c>
      <c r="AB38" s="182">
        <f>STATION!X15</f>
        <v>106.84720982142858</v>
      </c>
      <c r="AC38" s="182">
        <f>STATION!Y15</f>
        <v>105.65762648809522</v>
      </c>
      <c r="AD38" s="182">
        <f>STATION!Z15</f>
        <v>105.55412946428572</v>
      </c>
      <c r="AE38" s="182">
        <f>STATION!AA15</f>
        <v>77.685453869047635</v>
      </c>
      <c r="AF38" s="182">
        <f>STATION!AB15</f>
        <v>102.9427077520461</v>
      </c>
      <c r="AG38" s="182">
        <f>STATION!AC15</f>
        <v>89.748474702380946</v>
      </c>
      <c r="AH38" s="182">
        <f>STATION!AD15</f>
        <v>85.03363095238096</v>
      </c>
      <c r="AI38" s="182">
        <f>STATION!AE15</f>
        <v>87.785974702380969</v>
      </c>
      <c r="AJ38" s="182">
        <f>STATION!AF15</f>
        <v>91.642203776041669</v>
      </c>
      <c r="AK38" s="182">
        <f>STATION!AG15</f>
        <v>96.628348214285737</v>
      </c>
    </row>
    <row r="39" spans="2:37" ht="29.25" customHeight="1" x14ac:dyDescent="0.2">
      <c r="B39" s="531" t="s">
        <v>409</v>
      </c>
      <c r="C39" s="184" t="s">
        <v>410</v>
      </c>
      <c r="D39" s="185" t="s">
        <v>411</v>
      </c>
      <c r="F39" s="183" t="s">
        <v>412</v>
      </c>
      <c r="G39" s="186">
        <v>100</v>
      </c>
      <c r="H39" s="186">
        <v>100</v>
      </c>
      <c r="I39" s="186">
        <v>100</v>
      </c>
      <c r="J39" s="186">
        <v>100</v>
      </c>
      <c r="K39" s="186">
        <v>100</v>
      </c>
      <c r="L39" s="186">
        <v>100</v>
      </c>
      <c r="M39" s="186">
        <v>100</v>
      </c>
      <c r="N39" s="186">
        <v>100</v>
      </c>
      <c r="O39" s="186">
        <v>100</v>
      </c>
      <c r="P39" s="186">
        <v>100</v>
      </c>
      <c r="Q39" s="186">
        <v>100</v>
      </c>
      <c r="R39" s="186">
        <v>100</v>
      </c>
      <c r="S39" s="186">
        <v>100</v>
      </c>
      <c r="T39" s="186">
        <v>100</v>
      </c>
      <c r="U39" s="186">
        <v>100</v>
      </c>
      <c r="V39" s="186">
        <v>100</v>
      </c>
      <c r="W39" s="186">
        <v>100</v>
      </c>
      <c r="X39" s="186">
        <v>100</v>
      </c>
      <c r="Y39" s="186">
        <v>100</v>
      </c>
      <c r="Z39" s="186">
        <v>100</v>
      </c>
      <c r="AA39" s="186">
        <v>100</v>
      </c>
      <c r="AB39" s="186">
        <v>100</v>
      </c>
      <c r="AC39" s="186">
        <v>100</v>
      </c>
      <c r="AD39" s="186">
        <v>100</v>
      </c>
      <c r="AE39" s="186">
        <v>100</v>
      </c>
      <c r="AF39" s="186">
        <v>100</v>
      </c>
      <c r="AG39" s="186">
        <v>100</v>
      </c>
      <c r="AH39" s="186">
        <v>100</v>
      </c>
      <c r="AI39" s="186">
        <v>100</v>
      </c>
      <c r="AJ39" s="186">
        <v>100</v>
      </c>
      <c r="AK39" s="186">
        <v>100</v>
      </c>
    </row>
    <row r="40" spans="2:37" ht="25.5" x14ac:dyDescent="0.2">
      <c r="B40" s="532"/>
      <c r="C40" s="184" t="s">
        <v>413</v>
      </c>
      <c r="D40" s="77" t="s">
        <v>414</v>
      </c>
      <c r="F40" s="183" t="s">
        <v>415</v>
      </c>
      <c r="G40" s="186">
        <v>85</v>
      </c>
      <c r="H40" s="186">
        <v>85</v>
      </c>
      <c r="I40" s="186">
        <v>85</v>
      </c>
      <c r="J40" s="186">
        <v>85</v>
      </c>
      <c r="K40" s="186">
        <v>85</v>
      </c>
      <c r="L40" s="186">
        <v>85</v>
      </c>
      <c r="M40" s="186">
        <v>85</v>
      </c>
      <c r="N40" s="186">
        <v>85</v>
      </c>
      <c r="O40" s="186">
        <v>85</v>
      </c>
      <c r="P40" s="186">
        <v>85</v>
      </c>
      <c r="Q40" s="186">
        <v>85</v>
      </c>
      <c r="R40" s="186">
        <v>85</v>
      </c>
      <c r="S40" s="186">
        <v>85</v>
      </c>
      <c r="T40" s="186">
        <v>85</v>
      </c>
      <c r="U40" s="186">
        <v>85</v>
      </c>
      <c r="V40" s="186">
        <v>85</v>
      </c>
      <c r="W40" s="186">
        <v>85</v>
      </c>
      <c r="X40" s="186">
        <v>85</v>
      </c>
      <c r="Y40" s="186">
        <v>85</v>
      </c>
      <c r="Z40" s="186">
        <v>85</v>
      </c>
      <c r="AA40" s="186">
        <v>85</v>
      </c>
      <c r="AB40" s="186">
        <v>85</v>
      </c>
      <c r="AC40" s="186">
        <v>85</v>
      </c>
      <c r="AD40" s="186">
        <v>85</v>
      </c>
      <c r="AE40" s="186">
        <v>85</v>
      </c>
      <c r="AF40" s="186">
        <v>85</v>
      </c>
      <c r="AG40" s="186">
        <v>85</v>
      </c>
      <c r="AH40" s="186">
        <v>85</v>
      </c>
      <c r="AI40" s="186">
        <v>85</v>
      </c>
      <c r="AJ40" s="186">
        <v>85</v>
      </c>
      <c r="AK40" s="186">
        <v>85</v>
      </c>
    </row>
    <row r="41" spans="2:37" ht="33.75" customHeight="1" thickBot="1" x14ac:dyDescent="0.25">
      <c r="B41" s="533"/>
      <c r="C41" s="184" t="s">
        <v>416</v>
      </c>
      <c r="D41" s="187" t="s">
        <v>417</v>
      </c>
      <c r="F41" s="188" t="s">
        <v>394</v>
      </c>
      <c r="G41" s="241">
        <f>G38/G37</f>
        <v>0.88939690091815837</v>
      </c>
      <c r="H41" s="241">
        <f t="shared" ref="H41:AJ41" si="7">H38/H37</f>
        <v>0.86287138131715102</v>
      </c>
      <c r="I41" s="241">
        <f t="shared" si="7"/>
        <v>0.90614374005173126</v>
      </c>
      <c r="J41" s="241">
        <f t="shared" si="7"/>
        <v>0.90464926134102674</v>
      </c>
      <c r="K41" s="241">
        <f t="shared" si="7"/>
        <v>0.93266290290489473</v>
      </c>
      <c r="L41" s="241">
        <f t="shared" si="7"/>
        <v>0.97417777556705143</v>
      </c>
      <c r="M41" s="241">
        <f t="shared" si="7"/>
        <v>1.0168107093115801</v>
      </c>
      <c r="N41" s="241">
        <f t="shared" si="7"/>
        <v>1.0118751243533628</v>
      </c>
      <c r="O41" s="241">
        <f t="shared" si="7"/>
        <v>0.98458260793871888</v>
      </c>
      <c r="P41" s="241">
        <f t="shared" si="7"/>
        <v>1.0199809739355357</v>
      </c>
      <c r="Q41" s="241">
        <f t="shared" si="7"/>
        <v>1.0336398229208119</v>
      </c>
      <c r="R41" s="241">
        <f t="shared" si="7"/>
        <v>1.0481940161161958</v>
      </c>
      <c r="S41" s="241">
        <f t="shared" si="7"/>
        <v>1.0762388081973737</v>
      </c>
      <c r="T41" s="241">
        <f t="shared" si="7"/>
        <v>1.0697863609231997</v>
      </c>
      <c r="U41" s="241">
        <f t="shared" si="7"/>
        <v>1.0834366295264626</v>
      </c>
      <c r="V41" s="241">
        <f t="shared" si="7"/>
        <v>1.073960530242738</v>
      </c>
      <c r="W41" s="241">
        <f t="shared" si="7"/>
        <v>1.0548620921209713</v>
      </c>
      <c r="X41" s="241">
        <f t="shared" si="7"/>
        <v>1.0617398278949466</v>
      </c>
      <c r="Y41" s="241">
        <f t="shared" si="7"/>
        <v>1.054846050537207</v>
      </c>
      <c r="Z41" s="241">
        <f t="shared" si="7"/>
        <v>1.0614339186231598</v>
      </c>
      <c r="AA41" s="241">
        <f t="shared" si="7"/>
        <v>1.0796892409470757</v>
      </c>
      <c r="AB41" s="241">
        <f t="shared" si="7"/>
        <v>1.0714483436132116</v>
      </c>
      <c r="AC41" s="241">
        <f t="shared" si="7"/>
        <v>1.0595193742538798</v>
      </c>
      <c r="AD41" s="241">
        <f t="shared" si="7"/>
        <v>1.0584815210903307</v>
      </c>
      <c r="AE41" s="241">
        <f t="shared" si="7"/>
        <v>0.77901847890967002</v>
      </c>
      <c r="AF41" s="241">
        <f t="shared" si="7"/>
        <v>1.0322945624160615</v>
      </c>
      <c r="AG41" s="241">
        <f t="shared" si="7"/>
        <v>0.89998470453641077</v>
      </c>
      <c r="AH41" s="241">
        <f t="shared" si="7"/>
        <v>0.85270493434142491</v>
      </c>
      <c r="AI41" s="241">
        <f t="shared" si="7"/>
        <v>0.88030503879824951</v>
      </c>
      <c r="AJ41" s="241">
        <f t="shared" si="7"/>
        <v>0.91897474538649049</v>
      </c>
      <c r="AK41" s="241">
        <f>AK38/AK37</f>
        <v>0.96897507958615248</v>
      </c>
    </row>
    <row r="42" spans="2:37" ht="20.100000000000001" customHeight="1" thickBot="1" x14ac:dyDescent="0.25">
      <c r="B42" s="534" t="s">
        <v>418</v>
      </c>
      <c r="C42" s="535"/>
      <c r="D42" s="536"/>
      <c r="F42" s="183"/>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c r="AF42" s="189"/>
      <c r="AG42" s="189"/>
      <c r="AH42" s="189"/>
      <c r="AI42" s="189"/>
      <c r="AJ42" s="189"/>
      <c r="AK42" s="189"/>
    </row>
    <row r="43" spans="2:37" ht="5.25" customHeight="1" x14ac:dyDescent="0.2">
      <c r="E43" s="190"/>
      <c r="AC43" s="191"/>
      <c r="AD43" s="191"/>
      <c r="AE43" s="191"/>
    </row>
    <row r="44" spans="2:37" ht="13.5" customHeight="1" x14ac:dyDescent="0.2">
      <c r="F44" s="192"/>
      <c r="G44" s="543"/>
      <c r="H44" s="543"/>
      <c r="I44" s="543"/>
      <c r="J44" s="543"/>
      <c r="K44" s="543"/>
      <c r="L44" s="544"/>
      <c r="M44" s="544"/>
      <c r="N44" s="544"/>
      <c r="O44" s="543"/>
      <c r="P44" s="543"/>
      <c r="Q44" s="543"/>
      <c r="R44" s="543"/>
      <c r="S44" s="545"/>
      <c r="T44" s="544"/>
      <c r="U44" s="545"/>
      <c r="V44" s="545"/>
      <c r="W44" s="545"/>
      <c r="X44" s="544"/>
      <c r="Y44" s="545"/>
      <c r="Z44" s="544"/>
      <c r="AA44" s="544"/>
      <c r="AB44" s="544"/>
    </row>
    <row r="46" spans="2:37" ht="36.75" customHeight="1" x14ac:dyDescent="0.2"/>
    <row r="47" spans="2:37" ht="48" customHeight="1" x14ac:dyDescent="0.2">
      <c r="F47" s="540"/>
      <c r="G47" s="540"/>
      <c r="H47" s="540"/>
      <c r="I47" s="540"/>
      <c r="J47" s="540"/>
      <c r="K47" s="540"/>
      <c r="L47" s="540"/>
      <c r="M47" s="540"/>
      <c r="N47" s="540"/>
      <c r="O47" s="540"/>
      <c r="P47" s="540"/>
      <c r="Q47" s="540"/>
      <c r="R47" s="540"/>
      <c r="S47" s="540"/>
      <c r="T47" s="540"/>
      <c r="U47" s="540"/>
      <c r="V47" s="540"/>
      <c r="W47" s="540"/>
    </row>
    <row r="48" spans="2:37" ht="15" customHeight="1" x14ac:dyDescent="0.2">
      <c r="B48" s="169" t="s">
        <v>404</v>
      </c>
    </row>
    <row r="49" spans="3:34" ht="55.5" customHeight="1" x14ac:dyDescent="0.2">
      <c r="AD49" s="541"/>
      <c r="AE49" s="541"/>
      <c r="AF49" s="541"/>
      <c r="AG49" s="541"/>
      <c r="AH49" s="541"/>
    </row>
    <row r="50" spans="3:34" ht="17.25" customHeight="1" x14ac:dyDescent="0.2">
      <c r="C50" s="170"/>
      <c r="D50" s="170"/>
      <c r="F50" s="169"/>
      <c r="G50" s="169"/>
      <c r="H50" s="169"/>
      <c r="I50" s="169"/>
      <c r="J50" s="169"/>
      <c r="K50" s="169"/>
      <c r="L50" s="169"/>
      <c r="M50" s="169"/>
      <c r="N50" s="169"/>
      <c r="O50" s="169"/>
      <c r="P50" s="169"/>
      <c r="Q50" s="169"/>
      <c r="R50" s="169"/>
      <c r="S50" s="169"/>
      <c r="T50" s="169"/>
      <c r="U50" s="169"/>
      <c r="V50" s="169"/>
      <c r="W50" s="169"/>
      <c r="AE50" s="542"/>
      <c r="AF50" s="542"/>
      <c r="AG50" s="542"/>
      <c r="AH50" s="542"/>
    </row>
    <row r="51" spans="3:34" x14ac:dyDescent="0.2">
      <c r="T51" s="159"/>
      <c r="U51" s="159"/>
      <c r="V51" s="159"/>
      <c r="W51" s="159"/>
      <c r="AE51" s="542"/>
      <c r="AF51" s="542"/>
      <c r="AG51" s="542"/>
      <c r="AH51" s="542"/>
    </row>
    <row r="65" spans="2:37" ht="31.5" customHeight="1" x14ac:dyDescent="0.2"/>
    <row r="66" spans="2:37" s="171" customFormat="1" ht="20.100000000000001" customHeight="1" x14ac:dyDescent="0.2">
      <c r="B66" s="172" t="s">
        <v>405</v>
      </c>
      <c r="C66" s="173" t="str">
        <f>D3</f>
        <v>Jan'24</v>
      </c>
      <c r="D66" s="173" t="e">
        <f>#REF!</f>
        <v>#REF!</v>
      </c>
      <c r="E66" s="173" t="str">
        <f>F3</f>
        <v>Feb'24</v>
      </c>
    </row>
    <row r="67" spans="2:37" ht="20.100000000000001" customHeight="1" x14ac:dyDescent="0.2">
      <c r="B67" s="174" t="s">
        <v>397</v>
      </c>
      <c r="C67" s="175">
        <v>99.46</v>
      </c>
      <c r="D67" s="175">
        <v>99.46</v>
      </c>
      <c r="E67" s="175">
        <v>99.4</v>
      </c>
    </row>
    <row r="68" spans="2:37" ht="20.100000000000001" customHeight="1" x14ac:dyDescent="0.2">
      <c r="B68" s="174" t="s">
        <v>398</v>
      </c>
      <c r="C68" s="175">
        <v>100</v>
      </c>
      <c r="D68" s="175">
        <v>100</v>
      </c>
      <c r="E68" s="175">
        <v>100</v>
      </c>
    </row>
    <row r="69" spans="2:37" ht="20.100000000000001" customHeight="1" thickBot="1" x14ac:dyDescent="0.25">
      <c r="B69" s="174"/>
      <c r="C69" s="175"/>
      <c r="D69" s="175"/>
      <c r="E69" s="175"/>
    </row>
    <row r="70" spans="2:37" ht="20.100000000000001" customHeight="1" thickBot="1" x14ac:dyDescent="0.25">
      <c r="B70" s="176" t="s">
        <v>394</v>
      </c>
      <c r="C70" s="242">
        <f>C68/C67</f>
        <v>1.0054293183189222</v>
      </c>
      <c r="D70" s="242">
        <f>D68/D67</f>
        <v>1.0054293183189222</v>
      </c>
      <c r="E70" s="243">
        <f>E68/E67</f>
        <v>1.0060362173038229</v>
      </c>
      <c r="F70" s="177" t="s">
        <v>406</v>
      </c>
      <c r="G70" s="178">
        <v>1</v>
      </c>
      <c r="H70" s="178">
        <v>2</v>
      </c>
      <c r="I70" s="178">
        <v>3</v>
      </c>
      <c r="J70" s="178">
        <v>4</v>
      </c>
      <c r="K70" s="178">
        <v>5</v>
      </c>
      <c r="L70" s="178">
        <v>6</v>
      </c>
      <c r="M70" s="178">
        <v>7</v>
      </c>
      <c r="N70" s="178">
        <v>8</v>
      </c>
      <c r="O70" s="178">
        <v>9</v>
      </c>
      <c r="P70" s="178">
        <v>10</v>
      </c>
      <c r="Q70" s="178">
        <v>11</v>
      </c>
      <c r="R70" s="178">
        <v>12</v>
      </c>
      <c r="S70" s="178">
        <v>13</v>
      </c>
      <c r="T70" s="178">
        <v>14</v>
      </c>
      <c r="U70" s="178">
        <v>15</v>
      </c>
      <c r="V70" s="178">
        <v>16</v>
      </c>
      <c r="W70" s="178">
        <v>17</v>
      </c>
      <c r="X70" s="178">
        <v>18</v>
      </c>
      <c r="Y70" s="178">
        <v>19</v>
      </c>
      <c r="Z70" s="178">
        <v>20</v>
      </c>
      <c r="AA70" s="178">
        <v>21</v>
      </c>
      <c r="AB70" s="178">
        <v>22</v>
      </c>
      <c r="AC70" s="178">
        <v>23</v>
      </c>
      <c r="AD70" s="178">
        <v>24</v>
      </c>
      <c r="AE70" s="178">
        <v>25</v>
      </c>
      <c r="AF70" s="178">
        <v>26</v>
      </c>
      <c r="AG70" s="178">
        <v>27</v>
      </c>
      <c r="AH70" s="178">
        <v>28</v>
      </c>
      <c r="AI70" s="178">
        <v>29</v>
      </c>
      <c r="AJ70" s="178">
        <v>30</v>
      </c>
      <c r="AK70" s="178">
        <v>31</v>
      </c>
    </row>
    <row r="71" spans="2:37" ht="20.100000000000001" customHeight="1" x14ac:dyDescent="0.2">
      <c r="C71" s="159"/>
      <c r="D71" s="244"/>
      <c r="E71" s="244"/>
      <c r="F71" s="179" t="s">
        <v>419</v>
      </c>
      <c r="G71" s="180">
        <v>1</v>
      </c>
      <c r="H71" s="180">
        <v>2</v>
      </c>
      <c r="I71" s="180">
        <v>3</v>
      </c>
      <c r="J71" s="180">
        <v>4</v>
      </c>
      <c r="K71" s="180">
        <v>5</v>
      </c>
      <c r="L71" s="180">
        <v>6</v>
      </c>
      <c r="M71" s="180">
        <v>7</v>
      </c>
      <c r="N71" s="180">
        <v>8</v>
      </c>
      <c r="O71" s="180">
        <v>9</v>
      </c>
      <c r="P71" s="180">
        <v>10</v>
      </c>
      <c r="Q71" s="180">
        <v>11</v>
      </c>
      <c r="R71" s="180">
        <v>12</v>
      </c>
      <c r="S71" s="180">
        <v>13</v>
      </c>
      <c r="T71" s="180">
        <v>14</v>
      </c>
      <c r="U71" s="180">
        <v>15</v>
      </c>
      <c r="V71" s="180">
        <v>16</v>
      </c>
      <c r="W71" s="180">
        <v>17</v>
      </c>
      <c r="X71" s="180">
        <v>18</v>
      </c>
      <c r="Y71" s="180">
        <v>19</v>
      </c>
      <c r="Z71" s="180">
        <v>20</v>
      </c>
      <c r="AA71" s="180">
        <v>21</v>
      </c>
      <c r="AB71" s="180">
        <v>22</v>
      </c>
      <c r="AC71" s="180">
        <v>23</v>
      </c>
      <c r="AD71" s="180">
        <v>24</v>
      </c>
      <c r="AE71" s="180">
        <v>25</v>
      </c>
      <c r="AF71" s="180">
        <v>26</v>
      </c>
      <c r="AG71" s="180">
        <v>27</v>
      </c>
      <c r="AH71" s="180">
        <v>28</v>
      </c>
      <c r="AI71" s="180">
        <v>29</v>
      </c>
      <c r="AJ71" s="180">
        <v>30</v>
      </c>
      <c r="AK71" s="180">
        <v>31</v>
      </c>
    </row>
    <row r="72" spans="2:37" ht="19.5" customHeight="1" thickBot="1" x14ac:dyDescent="0.25">
      <c r="F72" s="181" t="s">
        <v>397</v>
      </c>
      <c r="G72" s="182">
        <f>$C$6</f>
        <v>99.7222222222222</v>
      </c>
      <c r="H72" s="182">
        <f t="shared" ref="H72:AK72" si="8">$C$6</f>
        <v>99.7222222222222</v>
      </c>
      <c r="I72" s="182">
        <f t="shared" si="8"/>
        <v>99.7222222222222</v>
      </c>
      <c r="J72" s="182">
        <f t="shared" si="8"/>
        <v>99.7222222222222</v>
      </c>
      <c r="K72" s="182">
        <f t="shared" si="8"/>
        <v>99.7222222222222</v>
      </c>
      <c r="L72" s="182">
        <f t="shared" si="8"/>
        <v>99.7222222222222</v>
      </c>
      <c r="M72" s="182">
        <f t="shared" si="8"/>
        <v>99.7222222222222</v>
      </c>
      <c r="N72" s="182">
        <f t="shared" si="8"/>
        <v>99.7222222222222</v>
      </c>
      <c r="O72" s="182">
        <f t="shared" si="8"/>
        <v>99.7222222222222</v>
      </c>
      <c r="P72" s="182">
        <f t="shared" si="8"/>
        <v>99.7222222222222</v>
      </c>
      <c r="Q72" s="182">
        <f t="shared" si="8"/>
        <v>99.7222222222222</v>
      </c>
      <c r="R72" s="182">
        <f t="shared" si="8"/>
        <v>99.7222222222222</v>
      </c>
      <c r="S72" s="182">
        <f t="shared" si="8"/>
        <v>99.7222222222222</v>
      </c>
      <c r="T72" s="182">
        <f t="shared" si="8"/>
        <v>99.7222222222222</v>
      </c>
      <c r="U72" s="182">
        <f t="shared" si="8"/>
        <v>99.7222222222222</v>
      </c>
      <c r="V72" s="182">
        <f t="shared" si="8"/>
        <v>99.7222222222222</v>
      </c>
      <c r="W72" s="182">
        <f t="shared" si="8"/>
        <v>99.7222222222222</v>
      </c>
      <c r="X72" s="182">
        <f t="shared" si="8"/>
        <v>99.7222222222222</v>
      </c>
      <c r="Y72" s="182">
        <f t="shared" si="8"/>
        <v>99.7222222222222</v>
      </c>
      <c r="Z72" s="182">
        <f t="shared" si="8"/>
        <v>99.7222222222222</v>
      </c>
      <c r="AA72" s="182">
        <f t="shared" si="8"/>
        <v>99.7222222222222</v>
      </c>
      <c r="AB72" s="182">
        <f t="shared" si="8"/>
        <v>99.7222222222222</v>
      </c>
      <c r="AC72" s="182">
        <f t="shared" si="8"/>
        <v>99.7222222222222</v>
      </c>
      <c r="AD72" s="182">
        <f t="shared" si="8"/>
        <v>99.7222222222222</v>
      </c>
      <c r="AE72" s="182">
        <f t="shared" si="8"/>
        <v>99.7222222222222</v>
      </c>
      <c r="AF72" s="182">
        <f t="shared" si="8"/>
        <v>99.7222222222222</v>
      </c>
      <c r="AG72" s="182">
        <f t="shared" si="8"/>
        <v>99.7222222222222</v>
      </c>
      <c r="AH72" s="182">
        <f t="shared" si="8"/>
        <v>99.7222222222222</v>
      </c>
      <c r="AI72" s="182">
        <f t="shared" si="8"/>
        <v>99.7222222222222</v>
      </c>
      <c r="AJ72" s="182">
        <f t="shared" si="8"/>
        <v>99.7222222222222</v>
      </c>
      <c r="AK72" s="182">
        <f t="shared" si="8"/>
        <v>99.7222222222222</v>
      </c>
    </row>
    <row r="73" spans="2:37" ht="19.5" customHeight="1" x14ac:dyDescent="0.2">
      <c r="B73" s="537" t="s">
        <v>408</v>
      </c>
      <c r="C73" s="538"/>
      <c r="D73" s="539"/>
      <c r="F73" s="183" t="s">
        <v>398</v>
      </c>
      <c r="G73" s="182">
        <f>STATION!C31</f>
        <v>85.916666666666671</v>
      </c>
      <c r="H73" s="182">
        <f>STATION!D31</f>
        <v>92.18697916666666</v>
      </c>
      <c r="I73" s="182">
        <f>STATION!E31</f>
        <v>100</v>
      </c>
      <c r="J73" s="182">
        <f>STATION!F31</f>
        <v>100</v>
      </c>
      <c r="K73" s="182">
        <f>STATION!G31</f>
        <v>100</v>
      </c>
      <c r="L73" s="182">
        <f>STATION!H31</f>
        <v>100</v>
      </c>
      <c r="M73" s="182">
        <f>STATION!I31</f>
        <v>100</v>
      </c>
      <c r="N73" s="182">
        <f>STATION!J31</f>
        <v>100</v>
      </c>
      <c r="O73" s="182">
        <f>STATION!K31</f>
        <v>100</v>
      </c>
      <c r="P73" s="182">
        <f>STATION!L31</f>
        <v>100</v>
      </c>
      <c r="Q73" s="182">
        <f>STATION!M31</f>
        <v>100</v>
      </c>
      <c r="R73" s="182">
        <f>STATION!N31</f>
        <v>100</v>
      </c>
      <c r="S73" s="182">
        <f>STATION!O31</f>
        <v>100</v>
      </c>
      <c r="T73" s="182">
        <f>STATION!P31</f>
        <v>100</v>
      </c>
      <c r="U73" s="182">
        <f>STATION!Q31</f>
        <v>100</v>
      </c>
      <c r="V73" s="182">
        <f>STATION!R31</f>
        <v>100</v>
      </c>
      <c r="W73" s="182">
        <f>STATION!S31</f>
        <v>100</v>
      </c>
      <c r="X73" s="182">
        <f>STATION!T31</f>
        <v>100</v>
      </c>
      <c r="Y73" s="182">
        <f>STATION!U31</f>
        <v>100</v>
      </c>
      <c r="Z73" s="182">
        <f>STATION!V31</f>
        <v>100</v>
      </c>
      <c r="AA73" s="182">
        <f>STATION!W31</f>
        <v>100</v>
      </c>
      <c r="AB73" s="182">
        <f>STATION!X31</f>
        <v>100</v>
      </c>
      <c r="AC73" s="182">
        <f>STATION!Y31</f>
        <v>100</v>
      </c>
      <c r="AD73" s="182">
        <f>STATION!Z31</f>
        <v>100</v>
      </c>
      <c r="AE73" s="182">
        <f>STATION!AA31</f>
        <v>74.6875</v>
      </c>
      <c r="AF73" s="182">
        <f>STATION!AB31</f>
        <v>100</v>
      </c>
      <c r="AG73" s="182">
        <f>STATION!AC31</f>
        <v>100</v>
      </c>
      <c r="AH73" s="182">
        <f>STATION!AD31</f>
        <v>100</v>
      </c>
      <c r="AI73" s="182">
        <f>STATION!AE31</f>
        <v>100</v>
      </c>
      <c r="AJ73" s="182">
        <f>STATION!AF31</f>
        <v>100</v>
      </c>
      <c r="AK73" s="182">
        <f>STATION!AG31</f>
        <v>100</v>
      </c>
    </row>
    <row r="74" spans="2:37" ht="29.25" customHeight="1" x14ac:dyDescent="0.2">
      <c r="B74" s="531" t="s">
        <v>409</v>
      </c>
      <c r="C74" s="184" t="s">
        <v>410</v>
      </c>
      <c r="D74" s="185" t="s">
        <v>411</v>
      </c>
      <c r="F74" s="183" t="s">
        <v>412</v>
      </c>
      <c r="G74" s="186">
        <v>100</v>
      </c>
      <c r="H74" s="186">
        <v>100</v>
      </c>
      <c r="I74" s="186">
        <v>100</v>
      </c>
      <c r="J74" s="186">
        <v>100</v>
      </c>
      <c r="K74" s="186">
        <v>100</v>
      </c>
      <c r="L74" s="186">
        <v>100</v>
      </c>
      <c r="M74" s="186">
        <v>100</v>
      </c>
      <c r="N74" s="186">
        <v>100</v>
      </c>
      <c r="O74" s="186">
        <v>100</v>
      </c>
      <c r="P74" s="186">
        <v>100</v>
      </c>
      <c r="Q74" s="186">
        <v>100</v>
      </c>
      <c r="R74" s="186">
        <v>100</v>
      </c>
      <c r="S74" s="186">
        <v>100</v>
      </c>
      <c r="T74" s="186">
        <v>100</v>
      </c>
      <c r="U74" s="186">
        <v>100</v>
      </c>
      <c r="V74" s="186">
        <v>100</v>
      </c>
      <c r="W74" s="186">
        <v>100</v>
      </c>
      <c r="X74" s="186">
        <v>100</v>
      </c>
      <c r="Y74" s="186">
        <v>100</v>
      </c>
      <c r="Z74" s="186">
        <v>100</v>
      </c>
      <c r="AA74" s="186">
        <v>100</v>
      </c>
      <c r="AB74" s="186">
        <v>100</v>
      </c>
      <c r="AC74" s="186">
        <v>100</v>
      </c>
      <c r="AD74" s="186">
        <v>100</v>
      </c>
      <c r="AE74" s="186">
        <v>100</v>
      </c>
      <c r="AF74" s="186">
        <v>100</v>
      </c>
      <c r="AG74" s="186">
        <v>100</v>
      </c>
      <c r="AH74" s="186">
        <v>100</v>
      </c>
      <c r="AI74" s="186">
        <v>100</v>
      </c>
      <c r="AJ74" s="186">
        <v>100</v>
      </c>
      <c r="AK74" s="186">
        <v>100</v>
      </c>
    </row>
    <row r="75" spans="2:37" ht="25.5" x14ac:dyDescent="0.2">
      <c r="B75" s="532"/>
      <c r="C75" s="184" t="s">
        <v>413</v>
      </c>
      <c r="D75" s="77" t="s">
        <v>414</v>
      </c>
      <c r="F75" s="183" t="s">
        <v>415</v>
      </c>
      <c r="G75" s="186">
        <v>85</v>
      </c>
      <c r="H75" s="186">
        <v>85</v>
      </c>
      <c r="I75" s="186">
        <v>85</v>
      </c>
      <c r="J75" s="186">
        <v>85</v>
      </c>
      <c r="K75" s="186">
        <v>85</v>
      </c>
      <c r="L75" s="186">
        <v>85</v>
      </c>
      <c r="M75" s="186">
        <v>85</v>
      </c>
      <c r="N75" s="186">
        <v>85</v>
      </c>
      <c r="O75" s="186">
        <v>85</v>
      </c>
      <c r="P75" s="186">
        <v>85</v>
      </c>
      <c r="Q75" s="186">
        <v>85</v>
      </c>
      <c r="R75" s="186">
        <v>85</v>
      </c>
      <c r="S75" s="186">
        <v>85</v>
      </c>
      <c r="T75" s="186">
        <v>85</v>
      </c>
      <c r="U75" s="186">
        <v>85</v>
      </c>
      <c r="V75" s="186">
        <v>85</v>
      </c>
      <c r="W75" s="186">
        <v>85</v>
      </c>
      <c r="X75" s="186">
        <v>85</v>
      </c>
      <c r="Y75" s="186">
        <v>85</v>
      </c>
      <c r="Z75" s="186">
        <v>85</v>
      </c>
      <c r="AA75" s="186">
        <v>85</v>
      </c>
      <c r="AB75" s="186">
        <v>85</v>
      </c>
      <c r="AC75" s="186">
        <v>85</v>
      </c>
      <c r="AD75" s="186">
        <v>85</v>
      </c>
      <c r="AE75" s="186">
        <v>85</v>
      </c>
      <c r="AF75" s="186">
        <v>85</v>
      </c>
      <c r="AG75" s="186">
        <v>85</v>
      </c>
      <c r="AH75" s="186">
        <v>85</v>
      </c>
      <c r="AI75" s="186">
        <v>85</v>
      </c>
      <c r="AJ75" s="186">
        <v>85</v>
      </c>
      <c r="AK75" s="186">
        <v>85</v>
      </c>
    </row>
    <row r="76" spans="2:37" ht="33.75" customHeight="1" thickBot="1" x14ac:dyDescent="0.25">
      <c r="B76" s="533"/>
      <c r="C76" s="184" t="s">
        <v>416</v>
      </c>
      <c r="D76" s="187" t="s">
        <v>417</v>
      </c>
      <c r="F76" s="188" t="s">
        <v>394</v>
      </c>
      <c r="G76" s="242">
        <f t="shared" ref="G76:AK76" si="9">G73/G72</f>
        <v>0.86155988857938748</v>
      </c>
      <c r="H76" s="242">
        <f t="shared" si="9"/>
        <v>0.92443767409470767</v>
      </c>
      <c r="I76" s="242">
        <f t="shared" si="9"/>
        <v>1.0027855153203344</v>
      </c>
      <c r="J76" s="242">
        <f t="shared" si="9"/>
        <v>1.0027855153203344</v>
      </c>
      <c r="K76" s="242">
        <f t="shared" si="9"/>
        <v>1.0027855153203344</v>
      </c>
      <c r="L76" s="242">
        <f t="shared" si="9"/>
        <v>1.0027855153203344</v>
      </c>
      <c r="M76" s="242">
        <f t="shared" si="9"/>
        <v>1.0027855153203344</v>
      </c>
      <c r="N76" s="242">
        <f t="shared" si="9"/>
        <v>1.0027855153203344</v>
      </c>
      <c r="O76" s="242">
        <f t="shared" si="9"/>
        <v>1.0027855153203344</v>
      </c>
      <c r="P76" s="242">
        <f t="shared" si="9"/>
        <v>1.0027855153203344</v>
      </c>
      <c r="Q76" s="242">
        <f t="shared" si="9"/>
        <v>1.0027855153203344</v>
      </c>
      <c r="R76" s="242">
        <f t="shared" si="9"/>
        <v>1.0027855153203344</v>
      </c>
      <c r="S76" s="242">
        <f t="shared" si="9"/>
        <v>1.0027855153203344</v>
      </c>
      <c r="T76" s="242">
        <f t="shared" si="9"/>
        <v>1.0027855153203344</v>
      </c>
      <c r="U76" s="242">
        <f t="shared" si="9"/>
        <v>1.0027855153203344</v>
      </c>
      <c r="V76" s="242">
        <f t="shared" si="9"/>
        <v>1.0027855153203344</v>
      </c>
      <c r="W76" s="242">
        <f t="shared" si="9"/>
        <v>1.0027855153203344</v>
      </c>
      <c r="X76" s="242">
        <f t="shared" si="9"/>
        <v>1.0027855153203344</v>
      </c>
      <c r="Y76" s="242">
        <f t="shared" si="9"/>
        <v>1.0027855153203344</v>
      </c>
      <c r="Z76" s="242">
        <f t="shared" si="9"/>
        <v>1.0027855153203344</v>
      </c>
      <c r="AA76" s="242">
        <f t="shared" si="9"/>
        <v>1.0027855153203344</v>
      </c>
      <c r="AB76" s="242">
        <f t="shared" si="9"/>
        <v>1.0027855153203344</v>
      </c>
      <c r="AC76" s="242">
        <f t="shared" si="9"/>
        <v>1.0027855153203344</v>
      </c>
      <c r="AD76" s="242">
        <f t="shared" si="9"/>
        <v>1.0027855153203344</v>
      </c>
      <c r="AE76" s="242">
        <f t="shared" si="9"/>
        <v>0.74895543175487478</v>
      </c>
      <c r="AF76" s="242">
        <f t="shared" si="9"/>
        <v>1.0027855153203344</v>
      </c>
      <c r="AG76" s="242">
        <f t="shared" si="9"/>
        <v>1.0027855153203344</v>
      </c>
      <c r="AH76" s="242">
        <f t="shared" si="9"/>
        <v>1.0027855153203344</v>
      </c>
      <c r="AI76" s="242">
        <f t="shared" si="9"/>
        <v>1.0027855153203344</v>
      </c>
      <c r="AJ76" s="241">
        <f t="shared" si="9"/>
        <v>1.0027855153203344</v>
      </c>
      <c r="AK76" s="241">
        <f t="shared" si="9"/>
        <v>1.0027855153203344</v>
      </c>
    </row>
    <row r="77" spans="2:37" ht="20.100000000000001" customHeight="1" thickBot="1" x14ac:dyDescent="0.25">
      <c r="B77" s="534" t="s">
        <v>418</v>
      </c>
      <c r="C77" s="535"/>
      <c r="D77" s="536"/>
      <c r="F77" s="183"/>
      <c r="G77" s="189"/>
      <c r="H77" s="189"/>
      <c r="I77" s="189"/>
      <c r="J77" s="189"/>
      <c r="K77" s="189"/>
      <c r="L77" s="189"/>
      <c r="M77" s="189"/>
      <c r="N77" s="189"/>
      <c r="O77" s="189"/>
      <c r="P77" s="189"/>
      <c r="Q77" s="189"/>
      <c r="R77" s="189"/>
      <c r="S77" s="189"/>
      <c r="T77" s="189"/>
      <c r="U77" s="189"/>
      <c r="V77" s="189"/>
      <c r="W77" s="189"/>
      <c r="X77" s="189"/>
      <c r="Y77" s="189"/>
      <c r="Z77" s="189"/>
      <c r="AA77" s="189"/>
      <c r="AB77" s="189"/>
      <c r="AC77" s="189"/>
      <c r="AD77" s="189"/>
      <c r="AE77" s="189"/>
      <c r="AF77" s="189"/>
      <c r="AG77" s="189"/>
      <c r="AH77" s="189"/>
      <c r="AI77" s="189"/>
      <c r="AJ77" s="189"/>
      <c r="AK77" s="189"/>
    </row>
    <row r="78" spans="2:37" ht="5.25" customHeight="1" x14ac:dyDescent="0.2">
      <c r="E78" s="190"/>
      <c r="AC78" s="191"/>
      <c r="AD78" s="191"/>
      <c r="AE78" s="191"/>
    </row>
    <row r="81" spans="2:34" ht="36.75" customHeight="1" x14ac:dyDescent="0.2"/>
    <row r="82" spans="2:34" ht="48" customHeight="1" x14ac:dyDescent="0.2">
      <c r="F82" s="540"/>
      <c r="G82" s="540"/>
      <c r="H82" s="540"/>
      <c r="I82" s="540"/>
      <c r="J82" s="540"/>
      <c r="K82" s="540"/>
      <c r="L82" s="540"/>
      <c r="M82" s="540"/>
      <c r="N82" s="540"/>
      <c r="O82" s="540"/>
      <c r="P82" s="540"/>
      <c r="Q82" s="540"/>
      <c r="R82" s="540"/>
      <c r="S82" s="540"/>
      <c r="T82" s="540"/>
      <c r="U82" s="540"/>
      <c r="V82" s="540"/>
      <c r="W82" s="540"/>
    </row>
    <row r="83" spans="2:34" ht="15" customHeight="1" x14ac:dyDescent="0.2">
      <c r="B83" s="169" t="s">
        <v>404</v>
      </c>
    </row>
    <row r="84" spans="2:34" ht="55.5" customHeight="1" x14ac:dyDescent="0.2">
      <c r="AD84" s="541"/>
      <c r="AE84" s="541"/>
      <c r="AF84" s="541"/>
      <c r="AG84" s="541"/>
      <c r="AH84" s="541"/>
    </row>
    <row r="85" spans="2:34" ht="17.25" customHeight="1" x14ac:dyDescent="0.2">
      <c r="C85" s="170"/>
      <c r="D85" s="170"/>
      <c r="F85" s="169"/>
      <c r="G85" s="169"/>
      <c r="H85" s="169"/>
      <c r="I85" s="169"/>
      <c r="J85" s="169"/>
      <c r="K85" s="169"/>
      <c r="L85" s="169"/>
      <c r="M85" s="169"/>
      <c r="N85" s="169"/>
      <c r="O85" s="169"/>
      <c r="P85" s="169"/>
      <c r="Q85" s="169"/>
      <c r="R85" s="169"/>
      <c r="S85" s="169"/>
      <c r="T85" s="169"/>
      <c r="U85" s="169"/>
      <c r="V85" s="169"/>
      <c r="W85" s="169"/>
      <c r="AE85" s="542"/>
      <c r="AF85" s="542"/>
      <c r="AG85" s="542"/>
      <c r="AH85" s="542"/>
    </row>
    <row r="86" spans="2:34" x14ac:dyDescent="0.2">
      <c r="T86" s="159"/>
      <c r="U86" s="159"/>
      <c r="V86" s="159"/>
      <c r="W86" s="159"/>
      <c r="AE86" s="542"/>
      <c r="AF86" s="542"/>
      <c r="AG86" s="542"/>
      <c r="AH86" s="542"/>
    </row>
    <row r="100" spans="2:37" ht="31.5" customHeight="1" x14ac:dyDescent="0.2"/>
    <row r="101" spans="2:37" s="171" customFormat="1" ht="20.100000000000001" customHeight="1" x14ac:dyDescent="0.2">
      <c r="B101" s="172" t="s">
        <v>405</v>
      </c>
      <c r="C101" s="173" t="str">
        <f>D3</f>
        <v>Jan'24</v>
      </c>
      <c r="D101" s="173" t="str">
        <f>F3</f>
        <v>Feb'24</v>
      </c>
      <c r="E101" s="173" t="str">
        <f>H3</f>
        <v>March'24</v>
      </c>
    </row>
    <row r="102" spans="2:37" ht="20.100000000000001" customHeight="1" x14ac:dyDescent="0.2">
      <c r="B102" s="174" t="s">
        <v>397</v>
      </c>
      <c r="C102" s="193">
        <v>7.24</v>
      </c>
      <c r="D102" s="193">
        <v>7.24</v>
      </c>
      <c r="E102" s="193">
        <v>7.24</v>
      </c>
    </row>
    <row r="103" spans="2:37" ht="20.100000000000001" customHeight="1" x14ac:dyDescent="0.2">
      <c r="B103" s="174" t="s">
        <v>398</v>
      </c>
      <c r="C103" s="193">
        <v>7.52</v>
      </c>
      <c r="D103" s="193">
        <v>7.71</v>
      </c>
      <c r="E103" s="193">
        <v>7.55</v>
      </c>
    </row>
    <row r="104" spans="2:37" ht="20.100000000000001" customHeight="1" thickBot="1" x14ac:dyDescent="0.25">
      <c r="B104" s="174"/>
      <c r="C104" s="175"/>
      <c r="D104" s="175"/>
      <c r="E104" s="175"/>
    </row>
    <row r="105" spans="2:37" ht="20.100000000000001" customHeight="1" thickBot="1" x14ac:dyDescent="0.25">
      <c r="B105" s="176" t="s">
        <v>394</v>
      </c>
      <c r="C105" s="242">
        <f>C102/C103</f>
        <v>0.9627659574468086</v>
      </c>
      <c r="D105" s="242">
        <f>D102/D103</f>
        <v>0.93904020752269779</v>
      </c>
      <c r="E105" s="242">
        <f>E102/E103</f>
        <v>0.95894039735099346</v>
      </c>
      <c r="F105" s="177" t="s">
        <v>406</v>
      </c>
      <c r="G105" s="178">
        <v>1</v>
      </c>
      <c r="H105" s="178">
        <v>2</v>
      </c>
      <c r="I105" s="178">
        <v>3</v>
      </c>
      <c r="J105" s="178">
        <v>4</v>
      </c>
      <c r="K105" s="178">
        <v>5</v>
      </c>
      <c r="L105" s="178">
        <v>6</v>
      </c>
      <c r="M105" s="178">
        <v>7</v>
      </c>
      <c r="N105" s="178">
        <v>8</v>
      </c>
      <c r="O105" s="178">
        <v>9</v>
      </c>
      <c r="P105" s="178">
        <v>10</v>
      </c>
      <c r="Q105" s="178">
        <v>11</v>
      </c>
      <c r="R105" s="178">
        <v>12</v>
      </c>
      <c r="S105" s="178">
        <v>13</v>
      </c>
      <c r="T105" s="178">
        <v>14</v>
      </c>
      <c r="U105" s="178">
        <v>15</v>
      </c>
      <c r="V105" s="178">
        <v>16</v>
      </c>
      <c r="W105" s="178">
        <v>17</v>
      </c>
      <c r="X105" s="178">
        <v>18</v>
      </c>
      <c r="Y105" s="178">
        <v>19</v>
      </c>
      <c r="Z105" s="178">
        <v>20</v>
      </c>
      <c r="AA105" s="178">
        <v>21</v>
      </c>
      <c r="AB105" s="178">
        <v>22</v>
      </c>
      <c r="AC105" s="178">
        <v>23</v>
      </c>
      <c r="AD105" s="178">
        <v>24</v>
      </c>
      <c r="AE105" s="178">
        <v>25</v>
      </c>
      <c r="AF105" s="178">
        <v>26</v>
      </c>
      <c r="AG105" s="178">
        <v>27</v>
      </c>
      <c r="AH105" s="178">
        <v>28</v>
      </c>
      <c r="AI105" s="178">
        <v>29</v>
      </c>
      <c r="AJ105" s="178">
        <v>30</v>
      </c>
      <c r="AK105" s="178">
        <v>31</v>
      </c>
    </row>
    <row r="106" spans="2:37" ht="20.100000000000001" customHeight="1" x14ac:dyDescent="0.2">
      <c r="C106" s="159"/>
      <c r="D106" s="244"/>
      <c r="E106" s="244"/>
      <c r="F106" s="179" t="s">
        <v>420</v>
      </c>
      <c r="G106" s="180">
        <v>1</v>
      </c>
      <c r="H106" s="180">
        <v>2</v>
      </c>
      <c r="I106" s="180">
        <v>3</v>
      </c>
      <c r="J106" s="180">
        <v>4</v>
      </c>
      <c r="K106" s="180">
        <v>5</v>
      </c>
      <c r="L106" s="180">
        <v>6</v>
      </c>
      <c r="M106" s="180">
        <v>7</v>
      </c>
      <c r="N106" s="180">
        <v>8</v>
      </c>
      <c r="O106" s="180">
        <v>9</v>
      </c>
      <c r="P106" s="180">
        <v>10</v>
      </c>
      <c r="Q106" s="180">
        <v>11</v>
      </c>
      <c r="R106" s="180">
        <v>12</v>
      </c>
      <c r="S106" s="180">
        <v>13</v>
      </c>
      <c r="T106" s="180">
        <v>14</v>
      </c>
      <c r="U106" s="180">
        <v>15</v>
      </c>
      <c r="V106" s="180">
        <v>16</v>
      </c>
      <c r="W106" s="180">
        <v>17</v>
      </c>
      <c r="X106" s="180">
        <v>18</v>
      </c>
      <c r="Y106" s="180">
        <v>19</v>
      </c>
      <c r="Z106" s="180">
        <v>20</v>
      </c>
      <c r="AA106" s="180">
        <v>21</v>
      </c>
      <c r="AB106" s="180">
        <v>22</v>
      </c>
      <c r="AC106" s="180">
        <v>23</v>
      </c>
      <c r="AD106" s="180">
        <v>24</v>
      </c>
      <c r="AE106" s="180">
        <v>25</v>
      </c>
      <c r="AF106" s="180">
        <v>26</v>
      </c>
      <c r="AG106" s="180">
        <v>27</v>
      </c>
      <c r="AH106" s="180">
        <v>28</v>
      </c>
      <c r="AI106" s="180">
        <v>29</v>
      </c>
      <c r="AJ106" s="180">
        <v>30</v>
      </c>
      <c r="AK106" s="180">
        <v>31</v>
      </c>
    </row>
    <row r="107" spans="2:37" ht="19.5" customHeight="1" thickBot="1" x14ac:dyDescent="0.25">
      <c r="F107" s="181" t="s">
        <v>397</v>
      </c>
      <c r="G107" s="182">
        <f>$C$7</f>
        <v>7.0591666666666697</v>
      </c>
      <c r="H107" s="182">
        <f t="shared" ref="H107:AK107" si="10">$C$7</f>
        <v>7.0591666666666697</v>
      </c>
      <c r="I107" s="182">
        <f t="shared" si="10"/>
        <v>7.0591666666666697</v>
      </c>
      <c r="J107" s="182">
        <f t="shared" si="10"/>
        <v>7.0591666666666697</v>
      </c>
      <c r="K107" s="182">
        <f t="shared" si="10"/>
        <v>7.0591666666666697</v>
      </c>
      <c r="L107" s="182">
        <f t="shared" si="10"/>
        <v>7.0591666666666697</v>
      </c>
      <c r="M107" s="182">
        <f t="shared" si="10"/>
        <v>7.0591666666666697</v>
      </c>
      <c r="N107" s="182">
        <f t="shared" si="10"/>
        <v>7.0591666666666697</v>
      </c>
      <c r="O107" s="182">
        <f t="shared" si="10"/>
        <v>7.0591666666666697</v>
      </c>
      <c r="P107" s="182">
        <f t="shared" si="10"/>
        <v>7.0591666666666697</v>
      </c>
      <c r="Q107" s="182">
        <f t="shared" si="10"/>
        <v>7.0591666666666697</v>
      </c>
      <c r="R107" s="182">
        <f t="shared" si="10"/>
        <v>7.0591666666666697</v>
      </c>
      <c r="S107" s="182">
        <f t="shared" si="10"/>
        <v>7.0591666666666697</v>
      </c>
      <c r="T107" s="182">
        <f t="shared" si="10"/>
        <v>7.0591666666666697</v>
      </c>
      <c r="U107" s="182">
        <f t="shared" si="10"/>
        <v>7.0591666666666697</v>
      </c>
      <c r="V107" s="182">
        <f t="shared" si="10"/>
        <v>7.0591666666666697</v>
      </c>
      <c r="W107" s="182">
        <f t="shared" si="10"/>
        <v>7.0591666666666697</v>
      </c>
      <c r="X107" s="182">
        <f t="shared" si="10"/>
        <v>7.0591666666666697</v>
      </c>
      <c r="Y107" s="182">
        <f t="shared" si="10"/>
        <v>7.0591666666666697</v>
      </c>
      <c r="Z107" s="182">
        <f t="shared" si="10"/>
        <v>7.0591666666666697</v>
      </c>
      <c r="AA107" s="182">
        <f t="shared" si="10"/>
        <v>7.0591666666666697</v>
      </c>
      <c r="AB107" s="182">
        <f t="shared" si="10"/>
        <v>7.0591666666666697</v>
      </c>
      <c r="AC107" s="182">
        <f t="shared" si="10"/>
        <v>7.0591666666666697</v>
      </c>
      <c r="AD107" s="182">
        <f t="shared" si="10"/>
        <v>7.0591666666666697</v>
      </c>
      <c r="AE107" s="182">
        <f t="shared" si="10"/>
        <v>7.0591666666666697</v>
      </c>
      <c r="AF107" s="182">
        <f t="shared" si="10"/>
        <v>7.0591666666666697</v>
      </c>
      <c r="AG107" s="182">
        <f t="shared" si="10"/>
        <v>7.0591666666666697</v>
      </c>
      <c r="AH107" s="182">
        <f t="shared" si="10"/>
        <v>7.0591666666666697</v>
      </c>
      <c r="AI107" s="182">
        <f t="shared" si="10"/>
        <v>7.0591666666666697</v>
      </c>
      <c r="AJ107" s="182">
        <f t="shared" si="10"/>
        <v>7.0591666666666697</v>
      </c>
      <c r="AK107" s="182">
        <f t="shared" si="10"/>
        <v>7.0591666666666697</v>
      </c>
    </row>
    <row r="108" spans="2:37" ht="19.5" customHeight="1" x14ac:dyDescent="0.2">
      <c r="B108" s="537" t="s">
        <v>408</v>
      </c>
      <c r="C108" s="538"/>
      <c r="D108" s="539"/>
      <c r="F108" s="183" t="s">
        <v>398</v>
      </c>
      <c r="G108" s="182">
        <f>STATION!C21</f>
        <v>6.8603195598397368</v>
      </c>
      <c r="H108" s="182">
        <f>STATION!D21</f>
        <v>7.5416712513491957</v>
      </c>
      <c r="I108" s="182">
        <f>STATION!E21</f>
        <v>7.1021884572686487</v>
      </c>
      <c r="J108" s="182">
        <f>STATION!F21</f>
        <v>6.93717479899008</v>
      </c>
      <c r="K108" s="182">
        <f>STATION!G21</f>
        <v>6.831027098031468</v>
      </c>
      <c r="L108" s="182">
        <f>STATION!H21</f>
        <v>7.0608076540717395</v>
      </c>
      <c r="M108" s="182">
        <f>STATION!I21</f>
        <v>7.0720338128005071</v>
      </c>
      <c r="N108" s="182">
        <f>STATION!J21</f>
        <v>6.8682865322329398</v>
      </c>
      <c r="O108" s="182">
        <f>STATION!K21</f>
        <v>7.0717656992736275</v>
      </c>
      <c r="P108" s="182">
        <f>STATION!L21</f>
        <v>6.9020695345769125</v>
      </c>
      <c r="Q108" s="182">
        <f>STATION!M21</f>
        <v>6.899974230394708</v>
      </c>
      <c r="R108" s="182">
        <f>STATION!N21</f>
        <v>6.826269815593661</v>
      </c>
      <c r="S108" s="182">
        <f>STATION!O21</f>
        <v>6.8208398644802912</v>
      </c>
      <c r="T108" s="182">
        <f>STATION!P21</f>
        <v>6.7001720603794528</v>
      </c>
      <c r="U108" s="182">
        <f>STATION!Q21</f>
        <v>6.6187175210420266</v>
      </c>
      <c r="V108" s="182">
        <f>STATION!R21</f>
        <v>6.7724010147329414</v>
      </c>
      <c r="W108" s="182">
        <f>STATION!S21</f>
        <v>6.8078043763724132</v>
      </c>
      <c r="X108" s="182">
        <f>STATION!T21</f>
        <v>6.8169719985284765</v>
      </c>
      <c r="Y108" s="182">
        <f>STATION!U21</f>
        <v>6.8080847376704208</v>
      </c>
      <c r="Z108" s="182">
        <f>STATION!V21</f>
        <v>6.8446641353939217</v>
      </c>
      <c r="AA108" s="182">
        <f>STATION!W21</f>
        <v>6.6912726841762815</v>
      </c>
      <c r="AB108" s="182">
        <f>STATION!X21</f>
        <v>6.7292978228465845</v>
      </c>
      <c r="AC108" s="182">
        <f>STATION!Y21</f>
        <v>6.7887243902189986</v>
      </c>
      <c r="AD108" s="182">
        <f>STATION!Z21</f>
        <v>6.7861466643405075</v>
      </c>
      <c r="AE108" s="182">
        <f>STATION!AA21</f>
        <v>8.1483680804143308</v>
      </c>
      <c r="AF108" s="182">
        <f>STATION!AB21</f>
        <v>6.9379489522986004</v>
      </c>
      <c r="AG108" s="182">
        <f>STATION!AC21</f>
        <v>7.2636448009669881</v>
      </c>
      <c r="AH108" s="182">
        <f>STATION!AD21</f>
        <v>7.3717331727992779</v>
      </c>
      <c r="AI108" s="182">
        <f>STATION!AE21</f>
        <v>7.2921111994938297</v>
      </c>
      <c r="AJ108" s="182">
        <f>STATION!AF21</f>
        <v>7.2184213933512442</v>
      </c>
      <c r="AK108" s="182">
        <f>STATION!AG21</f>
        <v>7.1291344706376059</v>
      </c>
    </row>
    <row r="109" spans="2:37" ht="29.25" customHeight="1" x14ac:dyDescent="0.2">
      <c r="B109" s="531" t="s">
        <v>409</v>
      </c>
      <c r="C109" s="184" t="s">
        <v>410</v>
      </c>
      <c r="D109" s="185" t="s">
        <v>411</v>
      </c>
      <c r="F109" s="183" t="s">
        <v>412</v>
      </c>
      <c r="G109" s="186">
        <v>8.5</v>
      </c>
      <c r="H109" s="186">
        <v>8.5</v>
      </c>
      <c r="I109" s="186">
        <v>8.5</v>
      </c>
      <c r="J109" s="186">
        <v>8.5</v>
      </c>
      <c r="K109" s="186">
        <v>8.5</v>
      </c>
      <c r="L109" s="186">
        <v>8.5</v>
      </c>
      <c r="M109" s="186">
        <v>8.5</v>
      </c>
      <c r="N109" s="186">
        <v>8.5</v>
      </c>
      <c r="O109" s="186">
        <v>8.5</v>
      </c>
      <c r="P109" s="186">
        <v>8.5</v>
      </c>
      <c r="Q109" s="186">
        <v>8.5</v>
      </c>
      <c r="R109" s="186">
        <v>8.5</v>
      </c>
      <c r="S109" s="186">
        <v>8.5</v>
      </c>
      <c r="T109" s="186">
        <v>8.5</v>
      </c>
      <c r="U109" s="186">
        <v>8.5</v>
      </c>
      <c r="V109" s="186">
        <v>8.5</v>
      </c>
      <c r="W109" s="186">
        <v>8.5</v>
      </c>
      <c r="X109" s="186">
        <v>8.5</v>
      </c>
      <c r="Y109" s="186">
        <v>8.5</v>
      </c>
      <c r="Z109" s="186">
        <v>8.5</v>
      </c>
      <c r="AA109" s="186">
        <v>8.5</v>
      </c>
      <c r="AB109" s="186">
        <v>8.5</v>
      </c>
      <c r="AC109" s="186">
        <v>8.5</v>
      </c>
      <c r="AD109" s="186">
        <v>8.5</v>
      </c>
      <c r="AE109" s="186">
        <v>8.5</v>
      </c>
      <c r="AF109" s="186">
        <v>8.5</v>
      </c>
      <c r="AG109" s="186">
        <v>8.5</v>
      </c>
      <c r="AH109" s="186">
        <v>8.5</v>
      </c>
      <c r="AI109" s="186">
        <v>8.5</v>
      </c>
      <c r="AJ109" s="186">
        <v>8.5</v>
      </c>
      <c r="AK109" s="186">
        <v>8.5</v>
      </c>
    </row>
    <row r="110" spans="2:37" ht="25.5" x14ac:dyDescent="0.2">
      <c r="B110" s="532"/>
      <c r="C110" s="184" t="s">
        <v>413</v>
      </c>
      <c r="D110" s="77" t="s">
        <v>414</v>
      </c>
      <c r="F110" s="183" t="s">
        <v>415</v>
      </c>
      <c r="G110" s="186">
        <v>5</v>
      </c>
      <c r="H110" s="186">
        <v>5</v>
      </c>
      <c r="I110" s="186">
        <v>5</v>
      </c>
      <c r="J110" s="186">
        <v>5</v>
      </c>
      <c r="K110" s="186">
        <v>5</v>
      </c>
      <c r="L110" s="186">
        <v>5</v>
      </c>
      <c r="M110" s="186">
        <v>5</v>
      </c>
      <c r="N110" s="186">
        <v>5</v>
      </c>
      <c r="O110" s="186">
        <v>5</v>
      </c>
      <c r="P110" s="186">
        <v>5</v>
      </c>
      <c r="Q110" s="186">
        <v>5</v>
      </c>
      <c r="R110" s="186">
        <v>5</v>
      </c>
      <c r="S110" s="186">
        <v>5</v>
      </c>
      <c r="T110" s="186">
        <v>5</v>
      </c>
      <c r="U110" s="186">
        <v>5</v>
      </c>
      <c r="V110" s="186">
        <v>5</v>
      </c>
      <c r="W110" s="186">
        <v>5</v>
      </c>
      <c r="X110" s="186">
        <v>5</v>
      </c>
      <c r="Y110" s="186">
        <v>5</v>
      </c>
      <c r="Z110" s="186">
        <v>5</v>
      </c>
      <c r="AA110" s="186">
        <v>5</v>
      </c>
      <c r="AB110" s="186">
        <v>5</v>
      </c>
      <c r="AC110" s="186">
        <v>5</v>
      </c>
      <c r="AD110" s="186">
        <v>5</v>
      </c>
      <c r="AE110" s="186">
        <v>5</v>
      </c>
      <c r="AF110" s="186">
        <v>5</v>
      </c>
      <c r="AG110" s="186">
        <v>5</v>
      </c>
      <c r="AH110" s="186">
        <v>5</v>
      </c>
      <c r="AI110" s="186">
        <v>5</v>
      </c>
      <c r="AJ110" s="186">
        <v>5</v>
      </c>
      <c r="AK110" s="186">
        <v>5</v>
      </c>
    </row>
    <row r="111" spans="2:37" ht="33.75" customHeight="1" thickBot="1" x14ac:dyDescent="0.25">
      <c r="B111" s="533"/>
      <c r="C111" s="184" t="s">
        <v>416</v>
      </c>
      <c r="D111" s="187" t="s">
        <v>417</v>
      </c>
      <c r="F111" s="188" t="s">
        <v>394</v>
      </c>
      <c r="G111" s="241">
        <f>G107/G108</f>
        <v>1.0289851085058752</v>
      </c>
      <c r="H111" s="241">
        <f t="shared" ref="H111:AK111" si="11">H107/H108</f>
        <v>0.93602153042719727</v>
      </c>
      <c r="I111" s="241">
        <f t="shared" si="11"/>
        <v>0.99394246000921749</v>
      </c>
      <c r="J111" s="241">
        <f>J107/J108</f>
        <v>1.017585237681246</v>
      </c>
      <c r="K111" s="241">
        <f t="shared" si="11"/>
        <v>1.0333975499381265</v>
      </c>
      <c r="L111" s="241">
        <f t="shared" si="11"/>
        <v>0.99976759211049693</v>
      </c>
      <c r="M111" s="241">
        <f t="shared" si="11"/>
        <v>0.99818055930239646</v>
      </c>
      <c r="N111" s="241">
        <f t="shared" si="11"/>
        <v>1.0277915217336853</v>
      </c>
      <c r="O111" s="241">
        <f t="shared" si="11"/>
        <v>0.99821840355821578</v>
      </c>
      <c r="P111" s="241">
        <f t="shared" si="11"/>
        <v>1.0227608735760712</v>
      </c>
      <c r="Q111" s="241">
        <f t="shared" si="11"/>
        <v>1.0230714537411911</v>
      </c>
      <c r="R111" s="241">
        <f t="shared" si="11"/>
        <v>1.0341177330173776</v>
      </c>
      <c r="S111" s="241">
        <f t="shared" si="11"/>
        <v>1.0349409760266433</v>
      </c>
      <c r="T111" s="241">
        <f>T107/T108</f>
        <v>1.0535799085534059</v>
      </c>
      <c r="U111" s="241">
        <f t="shared" si="11"/>
        <v>1.0665459953872303</v>
      </c>
      <c r="V111" s="241">
        <f t="shared" si="11"/>
        <v>1.0423432769722123</v>
      </c>
      <c r="W111" s="241">
        <f t="shared" si="11"/>
        <v>1.03692266645714</v>
      </c>
      <c r="X111" s="241">
        <f t="shared" si="11"/>
        <v>1.0355281887897549</v>
      </c>
      <c r="Y111" s="241">
        <f t="shared" si="11"/>
        <v>1.0368799653163783</v>
      </c>
      <c r="Z111" s="241">
        <f t="shared" si="11"/>
        <v>1.031338649644407</v>
      </c>
      <c r="AA111" s="241">
        <f t="shared" si="11"/>
        <v>1.054981167238991</v>
      </c>
      <c r="AB111" s="241">
        <f t="shared" si="11"/>
        <v>1.0490198015460321</v>
      </c>
      <c r="AC111" s="241">
        <f t="shared" si="11"/>
        <v>1.0398369798068863</v>
      </c>
      <c r="AD111" s="241">
        <f t="shared" si="11"/>
        <v>1.0402319631199268</v>
      </c>
      <c r="AE111" s="241">
        <f t="shared" si="11"/>
        <v>0.86632888904887606</v>
      </c>
      <c r="AF111" s="241">
        <f t="shared" si="11"/>
        <v>1.0174716930322627</v>
      </c>
      <c r="AG111" s="241">
        <f t="shared" si="11"/>
        <v>0.97184910056820284</v>
      </c>
      <c r="AH111" s="241">
        <f t="shared" si="11"/>
        <v>0.95759931907384588</v>
      </c>
      <c r="AI111" s="241">
        <f t="shared" si="11"/>
        <v>0.96805526870691039</v>
      </c>
      <c r="AJ111" s="241">
        <f t="shared" si="11"/>
        <v>0.97793773485830837</v>
      </c>
      <c r="AK111" s="241">
        <f t="shared" si="11"/>
        <v>0.9901856523734951</v>
      </c>
    </row>
    <row r="112" spans="2:37" ht="20.100000000000001" customHeight="1" thickBot="1" x14ac:dyDescent="0.25">
      <c r="B112" s="534" t="s">
        <v>418</v>
      </c>
      <c r="C112" s="535"/>
      <c r="D112" s="536"/>
      <c r="F112" s="183"/>
      <c r="G112" s="189"/>
      <c r="H112" s="189"/>
      <c r="I112" s="189"/>
      <c r="J112" s="189"/>
      <c r="K112" s="189"/>
      <c r="L112" s="189"/>
      <c r="M112" s="189"/>
      <c r="N112" s="189"/>
      <c r="O112" s="189"/>
      <c r="P112" s="189"/>
      <c r="Q112" s="189"/>
      <c r="R112" s="189"/>
      <c r="S112" s="189"/>
      <c r="T112" s="189"/>
      <c r="U112" s="189"/>
      <c r="V112" s="189"/>
      <c r="W112" s="189"/>
      <c r="X112" s="189"/>
      <c r="Y112" s="189"/>
      <c r="Z112" s="189"/>
      <c r="AA112" s="189"/>
      <c r="AB112" s="189"/>
      <c r="AC112" s="189"/>
      <c r="AD112" s="189"/>
      <c r="AE112" s="189"/>
      <c r="AF112" s="189"/>
      <c r="AG112" s="189"/>
      <c r="AH112" s="189"/>
      <c r="AI112" s="189"/>
      <c r="AJ112" s="189"/>
      <c r="AK112" s="189"/>
    </row>
    <row r="113" spans="2:34" ht="5.25" customHeight="1" x14ac:dyDescent="0.2">
      <c r="E113" s="190"/>
      <c r="AC113" s="191"/>
      <c r="AD113" s="191"/>
      <c r="AE113" s="191"/>
    </row>
    <row r="117" spans="2:34" ht="61.5" customHeight="1" x14ac:dyDescent="0.2">
      <c r="F117" s="540"/>
      <c r="G117" s="540"/>
      <c r="H117" s="540"/>
      <c r="I117" s="540"/>
      <c r="J117" s="540"/>
      <c r="K117" s="540"/>
      <c r="L117" s="540"/>
      <c r="M117" s="540"/>
      <c r="N117" s="540"/>
      <c r="O117" s="540"/>
      <c r="P117" s="540"/>
      <c r="Q117" s="540"/>
      <c r="R117" s="540"/>
      <c r="S117" s="540"/>
      <c r="T117" s="540"/>
      <c r="U117" s="540"/>
      <c r="V117" s="540"/>
      <c r="W117" s="540"/>
    </row>
    <row r="118" spans="2:34" ht="24.95" customHeight="1" x14ac:dyDescent="0.2">
      <c r="B118" s="169" t="s">
        <v>404</v>
      </c>
    </row>
    <row r="119" spans="2:34" ht="24.95" customHeight="1" x14ac:dyDescent="0.2">
      <c r="AD119" s="541"/>
      <c r="AE119" s="541"/>
      <c r="AF119" s="541"/>
      <c r="AG119" s="541"/>
      <c r="AH119" s="541"/>
    </row>
    <row r="120" spans="2:34" ht="24.95" customHeight="1" x14ac:dyDescent="0.2">
      <c r="C120" s="170"/>
      <c r="D120" s="170"/>
      <c r="F120" s="169"/>
      <c r="G120" s="169"/>
      <c r="H120" s="169"/>
      <c r="I120" s="169"/>
      <c r="J120" s="169"/>
      <c r="K120" s="169"/>
      <c r="L120" s="169"/>
      <c r="M120" s="169"/>
      <c r="N120" s="169"/>
      <c r="O120" s="169"/>
      <c r="P120" s="169"/>
      <c r="Q120" s="169"/>
      <c r="R120" s="169"/>
      <c r="S120" s="169"/>
      <c r="T120" s="169"/>
      <c r="U120" s="169"/>
      <c r="V120" s="169"/>
      <c r="W120" s="169"/>
      <c r="AE120" s="542"/>
      <c r="AF120" s="542"/>
      <c r="AG120" s="542"/>
      <c r="AH120" s="542"/>
    </row>
    <row r="121" spans="2:34" ht="24.95" customHeight="1" x14ac:dyDescent="0.2">
      <c r="T121" s="159"/>
      <c r="U121" s="159"/>
      <c r="V121" s="159"/>
      <c r="W121" s="159"/>
      <c r="AE121" s="542"/>
      <c r="AF121" s="542"/>
      <c r="AG121" s="542"/>
      <c r="AH121" s="542"/>
    </row>
    <row r="122" spans="2:34" ht="24.95" customHeight="1" x14ac:dyDescent="0.2"/>
    <row r="123" spans="2:34" ht="24.95" customHeight="1" x14ac:dyDescent="0.2"/>
    <row r="124" spans="2:34" ht="24.95" customHeight="1" x14ac:dyDescent="0.2"/>
    <row r="125" spans="2:34" ht="24.95" customHeight="1" x14ac:dyDescent="0.2"/>
    <row r="126" spans="2:34" ht="24.95" customHeight="1" x14ac:dyDescent="0.2"/>
    <row r="127" spans="2:34" ht="24.95" customHeight="1" x14ac:dyDescent="0.2"/>
    <row r="128" spans="2:34" ht="24.95" customHeight="1" x14ac:dyDescent="0.2"/>
    <row r="129" spans="2:38" ht="24.95" customHeight="1" x14ac:dyDescent="0.2"/>
    <row r="130" spans="2:38" ht="24.95" customHeight="1" x14ac:dyDescent="0.2"/>
    <row r="131" spans="2:38" ht="24.95" customHeight="1" x14ac:dyDescent="0.2"/>
    <row r="132" spans="2:38" ht="24.95" customHeight="1" x14ac:dyDescent="0.2"/>
    <row r="133" spans="2:38" ht="24.95" customHeight="1" x14ac:dyDescent="0.2"/>
    <row r="134" spans="2:38" ht="24.95" customHeight="1" x14ac:dyDescent="0.2"/>
    <row r="135" spans="2:38" ht="24.95" customHeight="1" x14ac:dyDescent="0.2"/>
    <row r="136" spans="2:38" ht="24.95" customHeight="1" x14ac:dyDescent="0.2">
      <c r="B136" s="172" t="s">
        <v>405</v>
      </c>
      <c r="C136" s="173" t="str">
        <f>D3</f>
        <v>Jan'24</v>
      </c>
      <c r="D136" s="173" t="e">
        <f>#REF!</f>
        <v>#REF!</v>
      </c>
      <c r="E136" s="173" t="str">
        <f>F3</f>
        <v>Feb'24</v>
      </c>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row>
    <row r="137" spans="2:38" ht="24.95" customHeight="1" x14ac:dyDescent="0.2">
      <c r="B137" s="174" t="s">
        <v>397</v>
      </c>
      <c r="C137" s="193">
        <v>2.5</v>
      </c>
      <c r="D137" s="193">
        <v>2.5</v>
      </c>
      <c r="E137" s="193">
        <v>2.5</v>
      </c>
    </row>
    <row r="138" spans="2:38" ht="24.95" customHeight="1" x14ac:dyDescent="0.2">
      <c r="B138" s="174" t="s">
        <v>398</v>
      </c>
      <c r="C138" s="193">
        <v>2.9</v>
      </c>
      <c r="D138" s="193">
        <v>3.16</v>
      </c>
      <c r="E138" s="193">
        <v>3.6</v>
      </c>
    </row>
    <row r="139" spans="2:38" ht="24.95" customHeight="1" thickBot="1" x14ac:dyDescent="0.25">
      <c r="B139" s="174"/>
      <c r="C139" s="175"/>
      <c r="D139" s="175"/>
      <c r="E139" s="175"/>
    </row>
    <row r="140" spans="2:38" ht="24.95" customHeight="1" thickBot="1" x14ac:dyDescent="0.25">
      <c r="B140" s="176" t="s">
        <v>394</v>
      </c>
      <c r="C140" s="242">
        <f>C137/C138</f>
        <v>0.86206896551724144</v>
      </c>
      <c r="D140" s="242">
        <f>D137/D138</f>
        <v>0.79113924050632911</v>
      </c>
      <c r="E140" s="242">
        <f>E137/E138</f>
        <v>0.69444444444444442</v>
      </c>
      <c r="F140" s="177" t="s">
        <v>406</v>
      </c>
      <c r="G140" s="178">
        <v>1</v>
      </c>
      <c r="H140" s="178">
        <v>2</v>
      </c>
      <c r="I140" s="178">
        <v>3</v>
      </c>
      <c r="J140" s="178">
        <v>4</v>
      </c>
      <c r="K140" s="178">
        <v>5</v>
      </c>
      <c r="L140" s="178">
        <v>6</v>
      </c>
      <c r="M140" s="178">
        <v>7</v>
      </c>
      <c r="N140" s="178">
        <v>8</v>
      </c>
      <c r="O140" s="178">
        <v>9</v>
      </c>
      <c r="P140" s="178">
        <v>10</v>
      </c>
      <c r="Q140" s="178">
        <v>11</v>
      </c>
      <c r="R140" s="178">
        <v>12</v>
      </c>
      <c r="S140" s="178">
        <v>13</v>
      </c>
      <c r="T140" s="178">
        <v>14</v>
      </c>
      <c r="U140" s="178">
        <v>15</v>
      </c>
      <c r="V140" s="178">
        <v>16</v>
      </c>
      <c r="W140" s="178">
        <v>17</v>
      </c>
      <c r="X140" s="178">
        <v>18</v>
      </c>
      <c r="Y140" s="178">
        <v>19</v>
      </c>
      <c r="Z140" s="178">
        <v>20</v>
      </c>
      <c r="AA140" s="178">
        <v>21</v>
      </c>
      <c r="AB140" s="178">
        <v>22</v>
      </c>
      <c r="AC140" s="178">
        <v>23</v>
      </c>
      <c r="AD140" s="178">
        <v>24</v>
      </c>
      <c r="AE140" s="178">
        <v>25</v>
      </c>
      <c r="AF140" s="178">
        <v>26</v>
      </c>
      <c r="AG140" s="178">
        <v>27</v>
      </c>
      <c r="AH140" s="178">
        <v>28</v>
      </c>
      <c r="AI140" s="178">
        <v>29</v>
      </c>
      <c r="AJ140" s="178">
        <v>30</v>
      </c>
      <c r="AK140" s="178">
        <v>31</v>
      </c>
    </row>
    <row r="141" spans="2:38" ht="24.95" customHeight="1" x14ac:dyDescent="0.2">
      <c r="C141" s="159"/>
      <c r="D141" s="244"/>
      <c r="E141" s="244"/>
      <c r="F141" s="179" t="s">
        <v>420</v>
      </c>
      <c r="G141" s="180">
        <v>1</v>
      </c>
      <c r="H141" s="180">
        <v>2</v>
      </c>
      <c r="I141" s="180">
        <v>3</v>
      </c>
      <c r="J141" s="180">
        <v>4</v>
      </c>
      <c r="K141" s="180">
        <v>5</v>
      </c>
      <c r="L141" s="180">
        <v>6</v>
      </c>
      <c r="M141" s="180">
        <v>7</v>
      </c>
      <c r="N141" s="180">
        <v>8</v>
      </c>
      <c r="O141" s="180">
        <v>9</v>
      </c>
      <c r="P141" s="180">
        <v>10</v>
      </c>
      <c r="Q141" s="180">
        <v>11</v>
      </c>
      <c r="R141" s="180">
        <v>12</v>
      </c>
      <c r="S141" s="180">
        <v>13</v>
      </c>
      <c r="T141" s="180">
        <v>14</v>
      </c>
      <c r="U141" s="180">
        <v>15</v>
      </c>
      <c r="V141" s="180">
        <v>16</v>
      </c>
      <c r="W141" s="180">
        <v>17</v>
      </c>
      <c r="X141" s="180">
        <v>18</v>
      </c>
      <c r="Y141" s="180">
        <v>19</v>
      </c>
      <c r="Z141" s="180">
        <v>20</v>
      </c>
      <c r="AA141" s="180">
        <v>21</v>
      </c>
      <c r="AB141" s="180">
        <v>22</v>
      </c>
      <c r="AC141" s="180">
        <v>23</v>
      </c>
      <c r="AD141" s="180">
        <v>24</v>
      </c>
      <c r="AE141" s="180">
        <v>25</v>
      </c>
      <c r="AF141" s="180">
        <v>26</v>
      </c>
      <c r="AG141" s="180">
        <v>27</v>
      </c>
      <c r="AH141" s="180">
        <v>28</v>
      </c>
      <c r="AI141" s="180">
        <v>29</v>
      </c>
      <c r="AJ141" s="180">
        <v>30</v>
      </c>
      <c r="AK141" s="180">
        <v>31</v>
      </c>
    </row>
    <row r="142" spans="2:38" ht="24.95" customHeight="1" thickBot="1" x14ac:dyDescent="0.25">
      <c r="F142" s="181" t="s">
        <v>397</v>
      </c>
      <c r="G142" s="182">
        <f>$C$10</f>
        <v>3</v>
      </c>
      <c r="H142" s="182">
        <f t="shared" ref="H142:AK142" si="12">$C$10</f>
        <v>3</v>
      </c>
      <c r="I142" s="182">
        <f t="shared" si="12"/>
        <v>3</v>
      </c>
      <c r="J142" s="182">
        <f t="shared" si="12"/>
        <v>3</v>
      </c>
      <c r="K142" s="182">
        <f t="shared" si="12"/>
        <v>3</v>
      </c>
      <c r="L142" s="182">
        <f t="shared" si="12"/>
        <v>3</v>
      </c>
      <c r="M142" s="182">
        <f t="shared" si="12"/>
        <v>3</v>
      </c>
      <c r="N142" s="182">
        <f t="shared" si="12"/>
        <v>3</v>
      </c>
      <c r="O142" s="182">
        <f t="shared" si="12"/>
        <v>3</v>
      </c>
      <c r="P142" s="182">
        <f t="shared" si="12"/>
        <v>3</v>
      </c>
      <c r="Q142" s="182">
        <f t="shared" si="12"/>
        <v>3</v>
      </c>
      <c r="R142" s="182">
        <f t="shared" si="12"/>
        <v>3</v>
      </c>
      <c r="S142" s="182">
        <f t="shared" si="12"/>
        <v>3</v>
      </c>
      <c r="T142" s="182">
        <f t="shared" si="12"/>
        <v>3</v>
      </c>
      <c r="U142" s="182">
        <f t="shared" si="12"/>
        <v>3</v>
      </c>
      <c r="V142" s="182">
        <f t="shared" si="12"/>
        <v>3</v>
      </c>
      <c r="W142" s="182">
        <f t="shared" si="12"/>
        <v>3</v>
      </c>
      <c r="X142" s="182">
        <f t="shared" si="12"/>
        <v>3</v>
      </c>
      <c r="Y142" s="182">
        <f t="shared" si="12"/>
        <v>3</v>
      </c>
      <c r="Z142" s="182">
        <f t="shared" si="12"/>
        <v>3</v>
      </c>
      <c r="AA142" s="182">
        <f t="shared" si="12"/>
        <v>3</v>
      </c>
      <c r="AB142" s="182">
        <f t="shared" si="12"/>
        <v>3</v>
      </c>
      <c r="AC142" s="182">
        <f t="shared" si="12"/>
        <v>3</v>
      </c>
      <c r="AD142" s="182">
        <f t="shared" si="12"/>
        <v>3</v>
      </c>
      <c r="AE142" s="182">
        <f t="shared" si="12"/>
        <v>3</v>
      </c>
      <c r="AF142" s="182">
        <f t="shared" si="12"/>
        <v>3</v>
      </c>
      <c r="AG142" s="182">
        <f t="shared" si="12"/>
        <v>3</v>
      </c>
      <c r="AH142" s="182">
        <f t="shared" si="12"/>
        <v>3</v>
      </c>
      <c r="AI142" s="182">
        <f t="shared" si="12"/>
        <v>3</v>
      </c>
      <c r="AJ142" s="182">
        <f t="shared" si="12"/>
        <v>3</v>
      </c>
      <c r="AK142" s="182">
        <f t="shared" si="12"/>
        <v>3</v>
      </c>
    </row>
    <row r="143" spans="2:38" ht="24.95" customHeight="1" x14ac:dyDescent="0.2">
      <c r="B143" s="537" t="s">
        <v>408</v>
      </c>
      <c r="C143" s="538"/>
      <c r="D143" s="539"/>
      <c r="F143" s="183" t="s">
        <v>398</v>
      </c>
      <c r="G143" s="182">
        <f>STATION!C$51</f>
        <v>2.8440166265587399</v>
      </c>
      <c r="H143" s="182">
        <f>STATION!D$51</f>
        <v>7.8113228208497603</v>
      </c>
      <c r="I143" s="182">
        <f>STATION!E$51</f>
        <v>2.180482686253935</v>
      </c>
      <c r="J143" s="182">
        <f>STATION!F$51</f>
        <v>2.4593881856540083</v>
      </c>
      <c r="K143" s="182">
        <f>STATION!G$51</f>
        <v>2.1628239134870433</v>
      </c>
      <c r="L143" s="182">
        <f>STATION!H$51</f>
        <v>1.9342169857633775</v>
      </c>
      <c r="M143" s="182">
        <f>STATION!I$51</f>
        <v>2.1668264621284754</v>
      </c>
      <c r="N143" s="182">
        <f>STATION!J$51</f>
        <v>1.8148505303760849</v>
      </c>
      <c r="O143" s="182">
        <f>STATION!K$51</f>
        <v>2.4416446918644397</v>
      </c>
      <c r="P143" s="182">
        <f>STATION!L$51</f>
        <v>2.0993098159509205</v>
      </c>
      <c r="Q143" s="182">
        <f>STATION!M$51</f>
        <v>2.0652338572240105</v>
      </c>
      <c r="R143" s="182">
        <f>STATION!N$51</f>
        <v>2.2582731076454925</v>
      </c>
      <c r="S143" s="182">
        <f>STATION!O$51</f>
        <v>2.127857275599331</v>
      </c>
      <c r="T143" s="182">
        <f>STATION!P$51</f>
        <v>2.0603109196478742</v>
      </c>
      <c r="U143" s="182">
        <f>STATION!Q$51</f>
        <v>2.3486136783733826</v>
      </c>
      <c r="V143" s="182">
        <f>STATION!R$51</f>
        <v>1.9872423037810856</v>
      </c>
      <c r="W143" s="182">
        <f>STATION!S$51</f>
        <v>2.193801344286781</v>
      </c>
      <c r="X143" s="182">
        <f>STATION!T$51</f>
        <v>2.5619416044947956</v>
      </c>
      <c r="Y143" s="182">
        <f>STATION!U$51</f>
        <v>2.140724746526474</v>
      </c>
      <c r="Z143" s="182">
        <f>STATION!V$51</f>
        <v>2.5271433919880195</v>
      </c>
      <c r="AA143" s="182">
        <f>STATION!W$51</f>
        <v>2.1911250230160193</v>
      </c>
      <c r="AB143" s="182">
        <f>STATION!X$51</f>
        <v>2.5860465116279068</v>
      </c>
      <c r="AC143" s="182">
        <f>STATION!Y$51</f>
        <v>2.9084612504679894</v>
      </c>
      <c r="AD143" s="182">
        <f>STATION!Z$51</f>
        <v>2.2827098455239159</v>
      </c>
      <c r="AE143" s="182">
        <f>STATION!AA$51</f>
        <v>7.779148673658236</v>
      </c>
      <c r="AF143" s="182">
        <f>STATION!AB$51</f>
        <v>2.956989247311828</v>
      </c>
      <c r="AG143" s="182">
        <f>STATION!AC$51</f>
        <v>2.2467235281880589</v>
      </c>
      <c r="AH143" s="182">
        <f>STATION!AD$51</f>
        <v>2.4832435996044389</v>
      </c>
      <c r="AI143" s="182">
        <f>STATION!AE$51</f>
        <v>2.3325167749494091</v>
      </c>
      <c r="AJ143" s="182">
        <f>STATION!AF$51</f>
        <v>2.1387402223137095</v>
      </c>
      <c r="AK143" s="182">
        <f>STATION!AG$51</f>
        <v>2.0182938954066412</v>
      </c>
    </row>
    <row r="144" spans="2:38" ht="24.95" customHeight="1" x14ac:dyDescent="0.2">
      <c r="B144" s="531" t="s">
        <v>409</v>
      </c>
      <c r="C144" s="184" t="s">
        <v>410</v>
      </c>
      <c r="D144" s="185" t="s">
        <v>411</v>
      </c>
      <c r="F144" s="183" t="s">
        <v>412</v>
      </c>
      <c r="G144" s="186">
        <v>3.5</v>
      </c>
      <c r="H144" s="186">
        <v>3.5</v>
      </c>
      <c r="I144" s="186">
        <v>3.5</v>
      </c>
      <c r="J144" s="186">
        <v>3.5</v>
      </c>
      <c r="K144" s="186">
        <v>3.5</v>
      </c>
      <c r="L144" s="186">
        <v>3.5</v>
      </c>
      <c r="M144" s="186">
        <v>3.5</v>
      </c>
      <c r="N144" s="186">
        <v>3.5</v>
      </c>
      <c r="O144" s="186">
        <v>3.5</v>
      </c>
      <c r="P144" s="186">
        <v>3.5</v>
      </c>
      <c r="Q144" s="186">
        <v>3.5</v>
      </c>
      <c r="R144" s="186">
        <v>3.5</v>
      </c>
      <c r="S144" s="186">
        <v>3.5</v>
      </c>
      <c r="T144" s="186">
        <v>3.5</v>
      </c>
      <c r="U144" s="186">
        <v>3.5</v>
      </c>
      <c r="V144" s="186">
        <v>3.5</v>
      </c>
      <c r="W144" s="186">
        <v>3.5</v>
      </c>
      <c r="X144" s="186">
        <v>3.5</v>
      </c>
      <c r="Y144" s="186">
        <v>3.5</v>
      </c>
      <c r="Z144" s="186">
        <v>3.5</v>
      </c>
      <c r="AA144" s="186">
        <v>3.5</v>
      </c>
      <c r="AB144" s="186">
        <v>3.5</v>
      </c>
      <c r="AC144" s="186">
        <v>3.5</v>
      </c>
      <c r="AD144" s="186">
        <v>3.5</v>
      </c>
      <c r="AE144" s="186">
        <v>3.5</v>
      </c>
      <c r="AF144" s="186">
        <v>3.5</v>
      </c>
      <c r="AG144" s="186">
        <v>3.5</v>
      </c>
      <c r="AH144" s="186">
        <v>3.5</v>
      </c>
      <c r="AI144" s="186">
        <v>3.5</v>
      </c>
      <c r="AJ144" s="186">
        <v>3.5</v>
      </c>
      <c r="AK144" s="186">
        <v>3.5</v>
      </c>
    </row>
    <row r="145" spans="2:37" ht="24.95" customHeight="1" x14ac:dyDescent="0.2">
      <c r="B145" s="532"/>
      <c r="C145" s="184" t="s">
        <v>413</v>
      </c>
      <c r="D145" s="77" t="s">
        <v>414</v>
      </c>
      <c r="F145" s="183" t="s">
        <v>415</v>
      </c>
      <c r="G145" s="186">
        <v>2</v>
      </c>
      <c r="H145" s="186">
        <v>2</v>
      </c>
      <c r="I145" s="186">
        <v>2</v>
      </c>
      <c r="J145" s="186">
        <v>2</v>
      </c>
      <c r="K145" s="186">
        <v>2</v>
      </c>
      <c r="L145" s="186">
        <v>2</v>
      </c>
      <c r="M145" s="186">
        <v>2</v>
      </c>
      <c r="N145" s="186">
        <v>2</v>
      </c>
      <c r="O145" s="186">
        <v>2</v>
      </c>
      <c r="P145" s="186">
        <v>2</v>
      </c>
      <c r="Q145" s="186">
        <v>2</v>
      </c>
      <c r="R145" s="186">
        <v>2</v>
      </c>
      <c r="S145" s="186">
        <v>2</v>
      </c>
      <c r="T145" s="186">
        <v>2</v>
      </c>
      <c r="U145" s="186">
        <v>2</v>
      </c>
      <c r="V145" s="186">
        <v>2</v>
      </c>
      <c r="W145" s="186">
        <v>2</v>
      </c>
      <c r="X145" s="186">
        <v>2</v>
      </c>
      <c r="Y145" s="186">
        <v>2</v>
      </c>
      <c r="Z145" s="186">
        <v>2</v>
      </c>
      <c r="AA145" s="186">
        <v>2</v>
      </c>
      <c r="AB145" s="186">
        <v>2</v>
      </c>
      <c r="AC145" s="186">
        <v>2</v>
      </c>
      <c r="AD145" s="186">
        <v>2</v>
      </c>
      <c r="AE145" s="186">
        <v>2</v>
      </c>
      <c r="AF145" s="186">
        <v>2</v>
      </c>
      <c r="AG145" s="186">
        <v>2</v>
      </c>
      <c r="AH145" s="186">
        <v>2</v>
      </c>
      <c r="AI145" s="186">
        <v>2</v>
      </c>
      <c r="AJ145" s="186">
        <v>2</v>
      </c>
      <c r="AK145" s="186">
        <v>2</v>
      </c>
    </row>
    <row r="146" spans="2:37" ht="24.95" customHeight="1" thickBot="1" x14ac:dyDescent="0.25">
      <c r="B146" s="533"/>
      <c r="C146" s="184" t="s">
        <v>416</v>
      </c>
      <c r="D146" s="187" t="s">
        <v>417</v>
      </c>
      <c r="F146" s="188" t="s">
        <v>394</v>
      </c>
      <c r="G146" s="241">
        <f>G142/G143</f>
        <v>1.0548461538461538</v>
      </c>
      <c r="H146" s="241">
        <f t="shared" ref="H146:AK146" si="13">H142/H143</f>
        <v>0.38405786942929632</v>
      </c>
      <c r="I146" s="241">
        <f t="shared" si="13"/>
        <v>1.3758421559191529</v>
      </c>
      <c r="J146" s="241">
        <f t="shared" si="13"/>
        <v>1.2198155693759383</v>
      </c>
      <c r="K146" s="241">
        <f t="shared" si="13"/>
        <v>1.3870754716981133</v>
      </c>
      <c r="L146" s="241">
        <f t="shared" si="13"/>
        <v>1.5510152284263958</v>
      </c>
      <c r="M146" s="241">
        <f t="shared" si="13"/>
        <v>1.3845132743362834</v>
      </c>
      <c r="N146" s="241">
        <f>N142/N143</f>
        <v>1.6530286928799149</v>
      </c>
      <c r="O146" s="241">
        <f t="shared" si="13"/>
        <v>1.2286800000000002</v>
      </c>
      <c r="P146" s="241">
        <f t="shared" si="13"/>
        <v>1.4290410958904107</v>
      </c>
      <c r="Q146" s="241">
        <f>Q142/Q143</f>
        <v>1.4526199972493468</v>
      </c>
      <c r="R146" s="241">
        <f t="shared" si="13"/>
        <v>1.3284487114704397</v>
      </c>
      <c r="S146" s="241">
        <f t="shared" si="13"/>
        <v>1.4098689956331878</v>
      </c>
      <c r="T146" s="241">
        <f t="shared" si="13"/>
        <v>1.4560909090909091</v>
      </c>
      <c r="U146" s="241">
        <f t="shared" si="13"/>
        <v>1.2773492838029277</v>
      </c>
      <c r="V146" s="241">
        <f t="shared" si="13"/>
        <v>1.5096296985485671</v>
      </c>
      <c r="W146" s="241">
        <f t="shared" si="13"/>
        <v>1.3674893617021278</v>
      </c>
      <c r="X146" s="241">
        <f t="shared" si="13"/>
        <v>1.1709868775840375</v>
      </c>
      <c r="Y146" s="241">
        <f t="shared" si="13"/>
        <v>1.4013945533482435</v>
      </c>
      <c r="Z146" s="241">
        <f t="shared" si="13"/>
        <v>1.187111111111111</v>
      </c>
      <c r="AA146" s="241">
        <f t="shared" si="13"/>
        <v>1.3691596638655461</v>
      </c>
      <c r="AB146" s="241">
        <f t="shared" si="13"/>
        <v>1.1600719424460433</v>
      </c>
      <c r="AC146" s="241">
        <f t="shared" si="13"/>
        <v>1.0314732573855958</v>
      </c>
      <c r="AD146" s="241">
        <f t="shared" si="13"/>
        <v>1.3142274765593152</v>
      </c>
      <c r="AE146" s="241">
        <f t="shared" si="13"/>
        <v>0.38564631245043612</v>
      </c>
      <c r="AF146" s="241">
        <f t="shared" si="13"/>
        <v>1.0145454545454546</v>
      </c>
      <c r="AG146" s="241">
        <f t="shared" si="13"/>
        <v>1.335277777777778</v>
      </c>
      <c r="AH146" s="241">
        <f t="shared" si="13"/>
        <v>1.2080973451327435</v>
      </c>
      <c r="AI146" s="241">
        <f t="shared" si="13"/>
        <v>1.2861643835616436</v>
      </c>
      <c r="AJ146" s="241">
        <f t="shared" si="13"/>
        <v>1.4026948989412895</v>
      </c>
      <c r="AK146" s="241">
        <f t="shared" si="13"/>
        <v>1.4864039408866998</v>
      </c>
    </row>
    <row r="147" spans="2:37" ht="24.95" customHeight="1" thickBot="1" x14ac:dyDescent="0.25">
      <c r="B147" s="534" t="s">
        <v>418</v>
      </c>
      <c r="C147" s="535"/>
      <c r="D147" s="536"/>
      <c r="F147" s="183"/>
      <c r="G147" s="189"/>
      <c r="H147" s="189"/>
      <c r="I147" s="189"/>
      <c r="J147" s="189"/>
      <c r="K147" s="189"/>
      <c r="L147" s="189"/>
      <c r="M147" s="189"/>
      <c r="N147" s="189"/>
      <c r="O147" s="189"/>
      <c r="P147" s="189"/>
      <c r="Q147" s="189"/>
      <c r="R147" s="189"/>
      <c r="S147" s="189"/>
      <c r="T147" s="189"/>
      <c r="U147" s="189"/>
      <c r="V147" s="189"/>
      <c r="W147" s="189"/>
      <c r="X147" s="189"/>
      <c r="Y147" s="189"/>
      <c r="Z147" s="189"/>
      <c r="AA147" s="189"/>
      <c r="AB147" s="189"/>
      <c r="AC147" s="189"/>
      <c r="AD147" s="189"/>
      <c r="AE147" s="189"/>
      <c r="AF147" s="189"/>
      <c r="AG147" s="189"/>
      <c r="AH147" s="189"/>
      <c r="AI147" s="189"/>
      <c r="AJ147" s="189"/>
      <c r="AK147" s="189"/>
    </row>
    <row r="148" spans="2:37" ht="24.95" customHeight="1" x14ac:dyDescent="0.2">
      <c r="E148" s="190"/>
      <c r="AC148" s="191"/>
      <c r="AD148" s="191"/>
      <c r="AE148" s="191"/>
    </row>
    <row r="149" spans="2:37" ht="24.95" customHeight="1" x14ac:dyDescent="0.2"/>
    <row r="150" spans="2:37" ht="24.95" customHeight="1" x14ac:dyDescent="0.2"/>
    <row r="151" spans="2:37" ht="24.95" customHeight="1" x14ac:dyDescent="0.2">
      <c r="F151" s="540"/>
      <c r="G151" s="540"/>
      <c r="H151" s="540"/>
      <c r="I151" s="540"/>
      <c r="J151" s="540"/>
      <c r="K151" s="540"/>
      <c r="L151" s="540"/>
      <c r="M151" s="540"/>
      <c r="N151" s="540"/>
      <c r="O151" s="540"/>
      <c r="P151" s="540"/>
      <c r="Q151" s="540"/>
      <c r="R151" s="540"/>
      <c r="S151" s="540"/>
      <c r="T151" s="540"/>
      <c r="U151" s="540"/>
      <c r="V151" s="540"/>
      <c r="W151" s="540"/>
    </row>
    <row r="152" spans="2:37" ht="24.95" customHeight="1" x14ac:dyDescent="0.2">
      <c r="B152" s="169" t="s">
        <v>404</v>
      </c>
    </row>
    <row r="153" spans="2:37" ht="24.95" customHeight="1" x14ac:dyDescent="0.2">
      <c r="AD153" s="541"/>
      <c r="AE153" s="541"/>
      <c r="AF153" s="541"/>
      <c r="AG153" s="541"/>
      <c r="AH153" s="541"/>
    </row>
    <row r="154" spans="2:37" ht="24.95" customHeight="1" x14ac:dyDescent="0.2">
      <c r="C154" s="170"/>
      <c r="D154" s="170"/>
      <c r="F154" s="169"/>
      <c r="G154" s="169"/>
      <c r="H154" s="169"/>
      <c r="I154" s="169"/>
      <c r="J154" s="169"/>
      <c r="K154" s="169"/>
      <c r="L154" s="169"/>
      <c r="M154" s="169"/>
      <c r="N154" s="169"/>
      <c r="O154" s="169"/>
      <c r="P154" s="169"/>
      <c r="Q154" s="169"/>
      <c r="R154" s="169"/>
      <c r="S154" s="169"/>
      <c r="T154" s="169"/>
      <c r="U154" s="169"/>
      <c r="V154" s="169"/>
      <c r="W154" s="169"/>
      <c r="AE154" s="542"/>
      <c r="AF154" s="542"/>
      <c r="AG154" s="542"/>
      <c r="AH154" s="542"/>
    </row>
    <row r="155" spans="2:37" ht="24.95" customHeight="1" x14ac:dyDescent="0.2">
      <c r="T155" s="159"/>
      <c r="U155" s="159"/>
      <c r="V155" s="159"/>
      <c r="W155" s="159"/>
      <c r="AE155" s="542"/>
      <c r="AF155" s="542"/>
      <c r="AG155" s="542"/>
      <c r="AH155" s="542"/>
    </row>
    <row r="156" spans="2:37" ht="24.95" customHeight="1" x14ac:dyDescent="0.2"/>
    <row r="157" spans="2:37" ht="24.95" customHeight="1" x14ac:dyDescent="0.2"/>
    <row r="158" spans="2:37" ht="24.95" customHeight="1" x14ac:dyDescent="0.2"/>
    <row r="159" spans="2:37" ht="24.95" customHeight="1" x14ac:dyDescent="0.2"/>
    <row r="160" spans="2:37" ht="24.95" customHeight="1" x14ac:dyDescent="0.2"/>
    <row r="161" spans="2:38" ht="24.95" customHeight="1" x14ac:dyDescent="0.2"/>
    <row r="162" spans="2:38" ht="24.95" customHeight="1" x14ac:dyDescent="0.2"/>
    <row r="163" spans="2:38" ht="24.95" customHeight="1" x14ac:dyDescent="0.2"/>
    <row r="164" spans="2:38" ht="24.95" customHeight="1" x14ac:dyDescent="0.2"/>
    <row r="165" spans="2:38" ht="24.95" customHeight="1" x14ac:dyDescent="0.2"/>
    <row r="166" spans="2:38" ht="24.95" customHeight="1" x14ac:dyDescent="0.2"/>
    <row r="167" spans="2:38" ht="24.95" customHeight="1" x14ac:dyDescent="0.2"/>
    <row r="168" spans="2:38" ht="24.95" customHeight="1" x14ac:dyDescent="0.2"/>
    <row r="169" spans="2:38" ht="24.95" customHeight="1" x14ac:dyDescent="0.2"/>
    <row r="170" spans="2:38" ht="24.95" customHeight="1" x14ac:dyDescent="0.2">
      <c r="B170" s="172" t="s">
        <v>405</v>
      </c>
      <c r="C170" s="173" t="str">
        <f>D3</f>
        <v>Jan'24</v>
      </c>
      <c r="D170" s="173" t="e">
        <f>#REF!</f>
        <v>#REF!</v>
      </c>
      <c r="E170" s="173" t="str">
        <f>F3</f>
        <v>Feb'24</v>
      </c>
      <c r="F170" s="171"/>
      <c r="G170" s="171"/>
      <c r="H170" s="171"/>
      <c r="I170" s="171"/>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row>
    <row r="171" spans="2:38" ht="24.95" customHeight="1" x14ac:dyDescent="0.2">
      <c r="B171" s="174" t="s">
        <v>397</v>
      </c>
      <c r="C171" s="193">
        <v>72.66</v>
      </c>
      <c r="D171" s="193">
        <v>72.66</v>
      </c>
      <c r="E171" s="193">
        <v>65.627359456438356</v>
      </c>
    </row>
    <row r="172" spans="2:38" ht="24.95" customHeight="1" x14ac:dyDescent="0.2">
      <c r="B172" s="174" t="s">
        <v>398</v>
      </c>
      <c r="C172" s="193">
        <v>66.819999999999993</v>
      </c>
      <c r="D172" s="193">
        <v>64.06</v>
      </c>
      <c r="E172" s="193">
        <v>60.566699999999997</v>
      </c>
    </row>
    <row r="173" spans="2:38" ht="24.95" customHeight="1" thickBot="1" x14ac:dyDescent="0.25">
      <c r="B173" s="174"/>
      <c r="C173" s="175"/>
      <c r="D173" s="175"/>
      <c r="E173" s="175"/>
    </row>
    <row r="174" spans="2:38" ht="24.95" customHeight="1" thickBot="1" x14ac:dyDescent="0.25">
      <c r="B174" s="176" t="s">
        <v>394</v>
      </c>
      <c r="C174" s="242">
        <f>C172/C171</f>
        <v>0.91962565372969995</v>
      </c>
      <c r="D174" s="242">
        <f>D172/D171</f>
        <v>0.8816405174786679</v>
      </c>
      <c r="E174" s="243">
        <f>E172/E171</f>
        <v>0.92288796169229559</v>
      </c>
      <c r="F174" s="177" t="s">
        <v>406</v>
      </c>
      <c r="G174" s="178">
        <v>1</v>
      </c>
      <c r="H174" s="178">
        <v>2</v>
      </c>
      <c r="I174" s="178">
        <v>3</v>
      </c>
      <c r="J174" s="178">
        <v>4</v>
      </c>
      <c r="K174" s="178">
        <v>5</v>
      </c>
      <c r="L174" s="178">
        <v>6</v>
      </c>
      <c r="M174" s="178">
        <v>7</v>
      </c>
      <c r="N174" s="178">
        <v>8</v>
      </c>
      <c r="O174" s="178">
        <v>9</v>
      </c>
      <c r="P174" s="178">
        <v>10</v>
      </c>
      <c r="Q174" s="178">
        <v>11</v>
      </c>
      <c r="R174" s="178">
        <v>12</v>
      </c>
      <c r="S174" s="178">
        <v>13</v>
      </c>
      <c r="T174" s="178">
        <v>14</v>
      </c>
      <c r="U174" s="178">
        <v>15</v>
      </c>
      <c r="V174" s="178">
        <v>16</v>
      </c>
      <c r="W174" s="178">
        <v>17</v>
      </c>
      <c r="X174" s="178">
        <v>18</v>
      </c>
      <c r="Y174" s="178">
        <v>19</v>
      </c>
      <c r="Z174" s="178">
        <v>20</v>
      </c>
      <c r="AA174" s="178">
        <v>21</v>
      </c>
      <c r="AB174" s="178">
        <v>22</v>
      </c>
      <c r="AC174" s="178">
        <v>23</v>
      </c>
      <c r="AD174" s="178">
        <v>24</v>
      </c>
      <c r="AE174" s="178">
        <v>25</v>
      </c>
      <c r="AF174" s="178">
        <v>26</v>
      </c>
      <c r="AG174" s="178">
        <v>27</v>
      </c>
      <c r="AH174" s="178">
        <v>28</v>
      </c>
      <c r="AI174" s="178">
        <v>29</v>
      </c>
      <c r="AJ174" s="178">
        <v>30</v>
      </c>
      <c r="AK174" s="178">
        <v>31</v>
      </c>
    </row>
    <row r="175" spans="2:38" ht="24.95" customHeight="1" x14ac:dyDescent="0.2">
      <c r="C175" s="159"/>
      <c r="D175" s="244"/>
      <c r="E175" s="244"/>
      <c r="F175" s="179" t="s">
        <v>420</v>
      </c>
      <c r="G175" s="180">
        <v>1</v>
      </c>
      <c r="H175" s="180">
        <v>2</v>
      </c>
      <c r="I175" s="180">
        <v>3</v>
      </c>
      <c r="J175" s="180">
        <v>4</v>
      </c>
      <c r="K175" s="180">
        <v>5</v>
      </c>
      <c r="L175" s="180">
        <v>6</v>
      </c>
      <c r="M175" s="180">
        <v>7</v>
      </c>
      <c r="N175" s="180">
        <v>8</v>
      </c>
      <c r="O175" s="180">
        <v>9</v>
      </c>
      <c r="P175" s="180">
        <v>10</v>
      </c>
      <c r="Q175" s="180">
        <v>11</v>
      </c>
      <c r="R175" s="180">
        <v>12</v>
      </c>
      <c r="S175" s="180">
        <v>13</v>
      </c>
      <c r="T175" s="180">
        <v>14</v>
      </c>
      <c r="U175" s="180">
        <v>15</v>
      </c>
      <c r="V175" s="180">
        <v>16</v>
      </c>
      <c r="W175" s="180">
        <v>17</v>
      </c>
      <c r="X175" s="180">
        <v>18</v>
      </c>
      <c r="Y175" s="180">
        <v>19</v>
      </c>
      <c r="Z175" s="180">
        <v>20</v>
      </c>
      <c r="AA175" s="180">
        <v>21</v>
      </c>
      <c r="AB175" s="180">
        <v>22</v>
      </c>
      <c r="AC175" s="180">
        <v>23</v>
      </c>
      <c r="AD175" s="180">
        <v>24</v>
      </c>
      <c r="AE175" s="180">
        <v>25</v>
      </c>
      <c r="AF175" s="180">
        <v>26</v>
      </c>
      <c r="AG175" s="180">
        <v>27</v>
      </c>
      <c r="AH175" s="180">
        <v>28</v>
      </c>
      <c r="AI175" s="180">
        <v>29</v>
      </c>
      <c r="AJ175" s="180">
        <v>30</v>
      </c>
      <c r="AK175" s="180">
        <v>31</v>
      </c>
    </row>
    <row r="176" spans="2:38" ht="24.95" customHeight="1" thickBot="1" x14ac:dyDescent="0.25">
      <c r="F176" s="181" t="s">
        <v>397</v>
      </c>
      <c r="G176" s="182">
        <f>$C$8/31</f>
        <v>2.410945178494623</v>
      </c>
      <c r="H176" s="182">
        <f t="shared" ref="H176:AJ176" si="14">$C$8/31</f>
        <v>2.410945178494623</v>
      </c>
      <c r="I176" s="182">
        <f t="shared" si="14"/>
        <v>2.410945178494623</v>
      </c>
      <c r="J176" s="182">
        <f t="shared" si="14"/>
        <v>2.410945178494623</v>
      </c>
      <c r="K176" s="182">
        <f t="shared" si="14"/>
        <v>2.410945178494623</v>
      </c>
      <c r="L176" s="182">
        <f t="shared" si="14"/>
        <v>2.410945178494623</v>
      </c>
      <c r="M176" s="182">
        <f t="shared" si="14"/>
        <v>2.410945178494623</v>
      </c>
      <c r="N176" s="182">
        <f t="shared" si="14"/>
        <v>2.410945178494623</v>
      </c>
      <c r="O176" s="182">
        <f t="shared" si="14"/>
        <v>2.410945178494623</v>
      </c>
      <c r="P176" s="182">
        <f t="shared" si="14"/>
        <v>2.410945178494623</v>
      </c>
      <c r="Q176" s="182">
        <f t="shared" si="14"/>
        <v>2.410945178494623</v>
      </c>
      <c r="R176" s="182">
        <f t="shared" si="14"/>
        <v>2.410945178494623</v>
      </c>
      <c r="S176" s="182">
        <f t="shared" si="14"/>
        <v>2.410945178494623</v>
      </c>
      <c r="T176" s="182">
        <f t="shared" si="14"/>
        <v>2.410945178494623</v>
      </c>
      <c r="U176" s="182">
        <f t="shared" si="14"/>
        <v>2.410945178494623</v>
      </c>
      <c r="V176" s="182">
        <f t="shared" si="14"/>
        <v>2.410945178494623</v>
      </c>
      <c r="W176" s="182">
        <f t="shared" si="14"/>
        <v>2.410945178494623</v>
      </c>
      <c r="X176" s="182">
        <f t="shared" si="14"/>
        <v>2.410945178494623</v>
      </c>
      <c r="Y176" s="182">
        <f t="shared" si="14"/>
        <v>2.410945178494623</v>
      </c>
      <c r="Z176" s="182">
        <f t="shared" si="14"/>
        <v>2.410945178494623</v>
      </c>
      <c r="AA176" s="182">
        <f t="shared" si="14"/>
        <v>2.410945178494623</v>
      </c>
      <c r="AB176" s="182">
        <f t="shared" si="14"/>
        <v>2.410945178494623</v>
      </c>
      <c r="AC176" s="182">
        <f t="shared" si="14"/>
        <v>2.410945178494623</v>
      </c>
      <c r="AD176" s="182">
        <f t="shared" si="14"/>
        <v>2.410945178494623</v>
      </c>
      <c r="AE176" s="182">
        <f t="shared" si="14"/>
        <v>2.410945178494623</v>
      </c>
      <c r="AF176" s="182">
        <f t="shared" si="14"/>
        <v>2.410945178494623</v>
      </c>
      <c r="AG176" s="182">
        <f t="shared" si="14"/>
        <v>2.410945178494623</v>
      </c>
      <c r="AH176" s="182">
        <f t="shared" si="14"/>
        <v>2.410945178494623</v>
      </c>
      <c r="AI176" s="182">
        <f t="shared" si="14"/>
        <v>2.410945178494623</v>
      </c>
      <c r="AJ176" s="182">
        <f t="shared" si="14"/>
        <v>2.410945178494623</v>
      </c>
      <c r="AK176" s="182">
        <f>$C$8/31</f>
        <v>2.410945178494623</v>
      </c>
    </row>
    <row r="177" spans="2:37" ht="24.95" customHeight="1" x14ac:dyDescent="0.2">
      <c r="B177" s="537" t="s">
        <v>408</v>
      </c>
      <c r="C177" s="538"/>
      <c r="D177" s="539"/>
      <c r="F177" s="183" t="s">
        <v>398</v>
      </c>
      <c r="G177" s="182">
        <f>STATION!C$43</f>
        <v>2.5029699999999999</v>
      </c>
      <c r="H177" s="182">
        <f>STATION!D$43</f>
        <v>2.3499100000000004</v>
      </c>
      <c r="I177" s="182">
        <f>STATION!E$43</f>
        <v>2.1921300000000001</v>
      </c>
      <c r="J177" s="182">
        <f>STATION!F$43</f>
        <v>2.20112</v>
      </c>
      <c r="K177" s="182">
        <f>STATION!G$43</f>
        <v>2.26336</v>
      </c>
      <c r="L177" s="182">
        <f>STATION!H$43</f>
        <v>2.35473</v>
      </c>
      <c r="M177" s="182">
        <f>STATION!I$43</f>
        <v>2.43621</v>
      </c>
      <c r="N177" s="182">
        <f>STATION!J$43</f>
        <v>2.43947</v>
      </c>
      <c r="O177" s="182">
        <f>STATION!K$43</f>
        <v>2.3704700000000001</v>
      </c>
      <c r="P177" s="182">
        <f>STATION!L$43</f>
        <v>2.4497100000000001</v>
      </c>
      <c r="Q177" s="182">
        <f>STATION!M$43</f>
        <v>2.4946000000000002</v>
      </c>
      <c r="R177" s="182">
        <f>STATION!N$43</f>
        <v>2.5221300000000002</v>
      </c>
      <c r="S177" s="182">
        <f>STATION!O$43</f>
        <v>2.6019399999999999</v>
      </c>
      <c r="T177" s="182">
        <f>STATION!P$43</f>
        <v>2.6059800000000002</v>
      </c>
      <c r="U177" s="182">
        <f>STATION!Q$43</f>
        <v>2.6384699999999999</v>
      </c>
      <c r="V177" s="182">
        <f>STATION!R$43</f>
        <v>2.62412</v>
      </c>
      <c r="W177" s="182">
        <f>STATION!S$43</f>
        <v>2.5870500000000001</v>
      </c>
      <c r="X177" s="182">
        <f>STATION!T$43</f>
        <v>2.58684</v>
      </c>
      <c r="Y177" s="182">
        <f>STATION!U$43</f>
        <v>2.5975100000000002</v>
      </c>
      <c r="Z177" s="182">
        <f>STATION!V$43</f>
        <v>2.5658500000000002</v>
      </c>
      <c r="AA177" s="182">
        <f>STATION!W$43</f>
        <v>2.6255999999999999</v>
      </c>
      <c r="AB177" s="182">
        <f>STATION!X$43</f>
        <v>2.6351499999999999</v>
      </c>
      <c r="AC177" s="182">
        <f>STATION!Y$43</f>
        <v>2.5931500000000001</v>
      </c>
      <c r="AD177" s="182">
        <f>STATION!Z$43</f>
        <v>2.5827800000000001</v>
      </c>
      <c r="AE177" s="182">
        <f>STATION!AA$43</f>
        <v>1.84091</v>
      </c>
      <c r="AF177" s="182">
        <f>STATION!AB$43</f>
        <v>2.4996900000000002</v>
      </c>
      <c r="AG177" s="182">
        <f>STATION!AC$43</f>
        <v>2.2218200000000001</v>
      </c>
      <c r="AH177" s="182">
        <f>STATION!AD$43</f>
        <v>2.0554399999999999</v>
      </c>
      <c r="AI177" s="182">
        <f>STATION!AE$43</f>
        <v>2.1237499999999998</v>
      </c>
      <c r="AJ177" s="182">
        <f>STATION!AF$43</f>
        <v>2.24878</v>
      </c>
      <c r="AK177" s="182">
        <f>STATION!AG$43</f>
        <v>2.3387799999999999</v>
      </c>
    </row>
    <row r="178" spans="2:37" ht="24.95" customHeight="1" x14ac:dyDescent="0.2">
      <c r="B178" s="531" t="s">
        <v>409</v>
      </c>
      <c r="C178" s="184" t="s">
        <v>410</v>
      </c>
      <c r="D178" s="185" t="s">
        <v>411</v>
      </c>
      <c r="F178" s="183" t="s">
        <v>412</v>
      </c>
      <c r="G178" s="186">
        <v>2.6</v>
      </c>
      <c r="H178" s="186">
        <v>2.6</v>
      </c>
      <c r="I178" s="186">
        <v>2.6</v>
      </c>
      <c r="J178" s="186">
        <v>2.6</v>
      </c>
      <c r="K178" s="186">
        <v>2.6</v>
      </c>
      <c r="L178" s="186">
        <v>2.6</v>
      </c>
      <c r="M178" s="186">
        <v>2.6</v>
      </c>
      <c r="N178" s="186">
        <v>2.6</v>
      </c>
      <c r="O178" s="186">
        <v>2.6</v>
      </c>
      <c r="P178" s="186">
        <v>2.6</v>
      </c>
      <c r="Q178" s="186">
        <v>2.6</v>
      </c>
      <c r="R178" s="186">
        <v>2.6</v>
      </c>
      <c r="S178" s="186">
        <v>2.6</v>
      </c>
      <c r="T178" s="186">
        <v>2.6</v>
      </c>
      <c r="U178" s="186">
        <v>2.6</v>
      </c>
      <c r="V178" s="186">
        <v>2.6</v>
      </c>
      <c r="W178" s="186">
        <v>2.6</v>
      </c>
      <c r="X178" s="186">
        <v>2.6</v>
      </c>
      <c r="Y178" s="186">
        <v>2.6</v>
      </c>
      <c r="Z178" s="186">
        <v>2.6</v>
      </c>
      <c r="AA178" s="186">
        <v>2.6</v>
      </c>
      <c r="AB178" s="186">
        <v>2.6</v>
      </c>
      <c r="AC178" s="186">
        <v>2.6</v>
      </c>
      <c r="AD178" s="186">
        <v>2.6</v>
      </c>
      <c r="AE178" s="186">
        <v>2.6</v>
      </c>
      <c r="AF178" s="186">
        <v>2.6</v>
      </c>
      <c r="AG178" s="186">
        <v>2.6</v>
      </c>
      <c r="AH178" s="186">
        <v>2.6</v>
      </c>
      <c r="AI178" s="186">
        <v>2.6</v>
      </c>
      <c r="AJ178" s="186">
        <v>2.6</v>
      </c>
      <c r="AK178" s="186">
        <v>2.6</v>
      </c>
    </row>
    <row r="179" spans="2:37" ht="24.95" customHeight="1" x14ac:dyDescent="0.2">
      <c r="B179" s="532"/>
      <c r="C179" s="184" t="s">
        <v>413</v>
      </c>
      <c r="D179" s="77" t="s">
        <v>414</v>
      </c>
      <c r="F179" s="183" t="s">
        <v>415</v>
      </c>
      <c r="G179" s="186">
        <v>2</v>
      </c>
      <c r="H179" s="186">
        <v>2</v>
      </c>
      <c r="I179" s="186">
        <v>2</v>
      </c>
      <c r="J179" s="186">
        <v>2</v>
      </c>
      <c r="K179" s="186">
        <v>2</v>
      </c>
      <c r="L179" s="186">
        <v>2</v>
      </c>
      <c r="M179" s="186">
        <v>2</v>
      </c>
      <c r="N179" s="186">
        <v>2</v>
      </c>
      <c r="O179" s="186">
        <v>2</v>
      </c>
      <c r="P179" s="186">
        <v>2</v>
      </c>
      <c r="Q179" s="186">
        <v>2</v>
      </c>
      <c r="R179" s="186">
        <v>2</v>
      </c>
      <c r="S179" s="186">
        <v>2</v>
      </c>
      <c r="T179" s="186">
        <v>2</v>
      </c>
      <c r="U179" s="186">
        <v>2</v>
      </c>
      <c r="V179" s="186">
        <v>2</v>
      </c>
      <c r="W179" s="186">
        <v>2</v>
      </c>
      <c r="X179" s="186">
        <v>2</v>
      </c>
      <c r="Y179" s="186">
        <v>2</v>
      </c>
      <c r="Z179" s="186">
        <v>2</v>
      </c>
      <c r="AA179" s="186">
        <v>2</v>
      </c>
      <c r="AB179" s="186">
        <v>2</v>
      </c>
      <c r="AC179" s="186">
        <v>2</v>
      </c>
      <c r="AD179" s="186">
        <v>2</v>
      </c>
      <c r="AE179" s="186">
        <v>2</v>
      </c>
      <c r="AF179" s="186">
        <v>2</v>
      </c>
      <c r="AG179" s="186">
        <v>2</v>
      </c>
      <c r="AH179" s="186">
        <v>2</v>
      </c>
      <c r="AI179" s="186">
        <v>2</v>
      </c>
      <c r="AJ179" s="186">
        <v>2</v>
      </c>
      <c r="AK179" s="186">
        <v>2</v>
      </c>
    </row>
    <row r="180" spans="2:37" ht="24.95" customHeight="1" thickBot="1" x14ac:dyDescent="0.25">
      <c r="B180" s="533"/>
      <c r="C180" s="184" t="s">
        <v>416</v>
      </c>
      <c r="D180" s="187" t="s">
        <v>417</v>
      </c>
      <c r="F180" s="188" t="s">
        <v>394</v>
      </c>
      <c r="G180" s="242">
        <f>G177/G176</f>
        <v>1.0381696034925343</v>
      </c>
      <c r="H180" s="242">
        <f t="shared" ref="H180:AK180" si="15">H177/H176</f>
        <v>0.9746841284326786</v>
      </c>
      <c r="I180" s="242">
        <f t="shared" si="15"/>
        <v>0.90924091495466952</v>
      </c>
      <c r="J180" s="242">
        <f t="shared" si="15"/>
        <v>0.91296974300110945</v>
      </c>
      <c r="K180" s="242">
        <f t="shared" si="15"/>
        <v>0.93878534451506113</v>
      </c>
      <c r="L180" s="242">
        <f t="shared" si="15"/>
        <v>0.97668334435969073</v>
      </c>
      <c r="M180" s="242">
        <f t="shared" si="15"/>
        <v>1.0104792185781479</v>
      </c>
      <c r="N180" s="242">
        <f t="shared" si="15"/>
        <v>1.0118313853669572</v>
      </c>
      <c r="O180" s="242">
        <f t="shared" si="15"/>
        <v>0.98321190425412519</v>
      </c>
      <c r="P180" s="242">
        <f t="shared" si="15"/>
        <v>1.0160786822741368</v>
      </c>
      <c r="Q180" s="242">
        <f t="shared" si="15"/>
        <v>1.0346979360010213</v>
      </c>
      <c r="R180" s="242">
        <f t="shared" si="15"/>
        <v>1.0461166941899527</v>
      </c>
      <c r="S180" s="242">
        <f t="shared" si="15"/>
        <v>1.0792198940104614</v>
      </c>
      <c r="T180" s="242">
        <f t="shared" si="15"/>
        <v>1.0808955853683722</v>
      </c>
      <c r="U180" s="242">
        <f t="shared" si="15"/>
        <v>1.0943716279967186</v>
      </c>
      <c r="V180" s="242">
        <f t="shared" si="15"/>
        <v>1.0884196054754267</v>
      </c>
      <c r="W180" s="242">
        <f t="shared" si="15"/>
        <v>1.07304389294133</v>
      </c>
      <c r="X180" s="242">
        <f t="shared" si="15"/>
        <v>1.0729567901727257</v>
      </c>
      <c r="Y180" s="242">
        <f t="shared" si="15"/>
        <v>1.0773824403679999</v>
      </c>
      <c r="Z180" s="242">
        <f t="shared" si="15"/>
        <v>1.0642506610631846</v>
      </c>
      <c r="AA180" s="242">
        <f t="shared" si="15"/>
        <v>1.0890334726065425</v>
      </c>
      <c r="AB180" s="242">
        <f t="shared" si="15"/>
        <v>1.092994574702594</v>
      </c>
      <c r="AC180" s="242">
        <f>AC177/AC176</f>
        <v>1.0755740209817397</v>
      </c>
      <c r="AD180" s="242">
        <f t="shared" si="15"/>
        <v>1.0712728033130432</v>
      </c>
      <c r="AE180" s="242">
        <f t="shared" si="15"/>
        <v>0.76356360833946924</v>
      </c>
      <c r="AF180" s="242">
        <f t="shared" si="15"/>
        <v>1.0368091412019533</v>
      </c>
      <c r="AG180" s="242">
        <f t="shared" si="15"/>
        <v>0.92155558733495913</v>
      </c>
      <c r="AH180" s="242">
        <f t="shared" si="15"/>
        <v>0.85254530809506091</v>
      </c>
      <c r="AI180" s="242">
        <f t="shared" si="15"/>
        <v>0.88087859439676441</v>
      </c>
      <c r="AJ180" s="241">
        <f t="shared" si="15"/>
        <v>0.93273792372339315</v>
      </c>
      <c r="AK180" s="241">
        <f t="shared" si="15"/>
        <v>0.97006768169665203</v>
      </c>
    </row>
    <row r="181" spans="2:37" ht="24.95" customHeight="1" thickBot="1" x14ac:dyDescent="0.25">
      <c r="B181" s="534" t="s">
        <v>418</v>
      </c>
      <c r="C181" s="535"/>
      <c r="D181" s="536"/>
      <c r="F181" s="183"/>
      <c r="G181" s="189"/>
      <c r="H181" s="189"/>
      <c r="I181" s="189"/>
      <c r="J181" s="189"/>
      <c r="K181" s="189"/>
      <c r="L181" s="189"/>
      <c r="M181" s="189"/>
      <c r="N181" s="189"/>
      <c r="O181" s="189"/>
      <c r="P181" s="189"/>
      <c r="Q181" s="189"/>
      <c r="R181" s="189"/>
      <c r="S181" s="189"/>
      <c r="T181" s="189"/>
      <c r="U181" s="189"/>
      <c r="V181" s="189"/>
      <c r="W181" s="189"/>
      <c r="X181" s="189"/>
      <c r="Y181" s="189"/>
      <c r="Z181" s="189"/>
      <c r="AA181" s="189"/>
      <c r="AB181" s="189"/>
      <c r="AC181" s="189"/>
      <c r="AD181" s="189"/>
      <c r="AE181" s="189"/>
      <c r="AF181" s="189"/>
      <c r="AG181" s="189"/>
      <c r="AH181" s="189"/>
      <c r="AI181" s="189"/>
      <c r="AJ181" s="189"/>
      <c r="AK181" s="189"/>
    </row>
    <row r="182" spans="2:37" ht="24.95" customHeight="1" x14ac:dyDescent="0.2">
      <c r="E182" s="190"/>
      <c r="AC182" s="191"/>
      <c r="AD182" s="191"/>
      <c r="AE182" s="191"/>
    </row>
    <row r="183" spans="2:37" ht="24.95" customHeight="1" x14ac:dyDescent="0.2"/>
    <row r="184" spans="2:37" ht="24.95" customHeight="1" x14ac:dyDescent="0.2">
      <c r="F184" s="540"/>
      <c r="G184" s="540"/>
      <c r="H184" s="540"/>
      <c r="I184" s="540"/>
      <c r="J184" s="540"/>
      <c r="K184" s="540"/>
      <c r="L184" s="540"/>
      <c r="M184" s="540"/>
      <c r="N184" s="540"/>
      <c r="O184" s="540"/>
      <c r="P184" s="540"/>
      <c r="Q184" s="540"/>
      <c r="R184" s="540"/>
      <c r="S184" s="540"/>
      <c r="T184" s="540"/>
      <c r="U184" s="540"/>
      <c r="V184" s="540"/>
      <c r="W184" s="540"/>
    </row>
    <row r="185" spans="2:37" ht="24.95" customHeight="1" x14ac:dyDescent="0.2">
      <c r="B185" s="169" t="s">
        <v>404</v>
      </c>
    </row>
    <row r="186" spans="2:37" ht="24.95" customHeight="1" x14ac:dyDescent="0.2">
      <c r="AD186" s="541"/>
      <c r="AE186" s="541"/>
      <c r="AF186" s="541"/>
      <c r="AG186" s="541"/>
      <c r="AH186" s="541"/>
    </row>
    <row r="187" spans="2:37" ht="24.95" customHeight="1" x14ac:dyDescent="0.2">
      <c r="C187" s="170"/>
      <c r="D187" s="170"/>
      <c r="F187" s="169"/>
      <c r="G187" s="169"/>
      <c r="H187" s="169"/>
      <c r="I187" s="169"/>
      <c r="J187" s="169"/>
      <c r="K187" s="169"/>
      <c r="L187" s="169"/>
      <c r="M187" s="169"/>
      <c r="N187" s="169"/>
      <c r="O187" s="169"/>
      <c r="P187" s="169"/>
      <c r="Q187" s="169"/>
      <c r="R187" s="169"/>
      <c r="S187" s="169"/>
      <c r="T187" s="169"/>
      <c r="U187" s="169"/>
      <c r="V187" s="169"/>
      <c r="W187" s="169"/>
      <c r="AE187" s="542"/>
      <c r="AF187" s="542"/>
      <c r="AG187" s="542"/>
      <c r="AH187" s="542"/>
    </row>
    <row r="188" spans="2:37" ht="24.95" customHeight="1" x14ac:dyDescent="0.2">
      <c r="T188" s="159"/>
      <c r="U188" s="159"/>
      <c r="V188" s="159"/>
      <c r="W188" s="159"/>
      <c r="AE188" s="542"/>
      <c r="AF188" s="542"/>
      <c r="AG188" s="542"/>
      <c r="AH188" s="542"/>
    </row>
    <row r="189" spans="2:37" ht="24.95" customHeight="1" x14ac:dyDescent="0.2"/>
    <row r="190" spans="2:37" ht="24.95" customHeight="1" x14ac:dyDescent="0.2"/>
    <row r="191" spans="2:37" ht="24.95" customHeight="1" x14ac:dyDescent="0.2"/>
    <row r="192" spans="2:37" ht="24.95" customHeight="1" x14ac:dyDescent="0.2"/>
    <row r="193" spans="2:38" ht="24.95" customHeight="1" x14ac:dyDescent="0.2"/>
    <row r="194" spans="2:38" ht="24.95" customHeight="1" x14ac:dyDescent="0.2"/>
    <row r="195" spans="2:38" ht="24.95" customHeight="1" x14ac:dyDescent="0.2"/>
    <row r="196" spans="2:38" ht="24.95" customHeight="1" x14ac:dyDescent="0.2"/>
    <row r="197" spans="2:38" ht="24.95" customHeight="1" x14ac:dyDescent="0.2"/>
    <row r="198" spans="2:38" ht="24.95" customHeight="1" x14ac:dyDescent="0.2"/>
    <row r="199" spans="2:38" ht="24.95" customHeight="1" x14ac:dyDescent="0.2"/>
    <row r="200" spans="2:38" ht="24.95" customHeight="1" x14ac:dyDescent="0.2"/>
    <row r="201" spans="2:38" ht="24.95" customHeight="1" x14ac:dyDescent="0.2"/>
    <row r="202" spans="2:38" ht="24.95" customHeight="1" x14ac:dyDescent="0.2"/>
    <row r="203" spans="2:38" ht="24.95" customHeight="1" x14ac:dyDescent="0.2">
      <c r="B203" s="172" t="s">
        <v>405</v>
      </c>
      <c r="C203" s="173" t="str">
        <f>D3</f>
        <v>Jan'24</v>
      </c>
      <c r="D203" s="173" t="e">
        <f>#REF!</f>
        <v>#REF!</v>
      </c>
      <c r="E203" s="173" t="str">
        <f>F3</f>
        <v>Feb'24</v>
      </c>
      <c r="F203" s="171"/>
      <c r="G203" s="171"/>
      <c r="H203" s="171"/>
      <c r="I203" s="171"/>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row>
    <row r="204" spans="2:38" ht="24.95" customHeight="1" x14ac:dyDescent="0.2">
      <c r="B204" s="174" t="s">
        <v>397</v>
      </c>
      <c r="C204" s="193">
        <v>72.66</v>
      </c>
      <c r="D204" s="193">
        <v>72.66</v>
      </c>
      <c r="E204" s="193">
        <v>65.627359456438356</v>
      </c>
    </row>
    <row r="205" spans="2:38" ht="24.95" customHeight="1" x14ac:dyDescent="0.2">
      <c r="B205" s="174" t="s">
        <v>398</v>
      </c>
      <c r="C205" s="193">
        <v>66.819999999999993</v>
      </c>
      <c r="D205" s="193">
        <v>64.06</v>
      </c>
      <c r="E205" s="193">
        <v>60.566699999999997</v>
      </c>
    </row>
    <row r="206" spans="2:38" ht="24.95" customHeight="1" thickBot="1" x14ac:dyDescent="0.25">
      <c r="B206" s="174"/>
      <c r="C206" s="175"/>
      <c r="D206" s="175"/>
      <c r="E206" s="175"/>
    </row>
    <row r="207" spans="2:38" ht="24.95" customHeight="1" thickBot="1" x14ac:dyDescent="0.25">
      <c r="B207" s="176" t="s">
        <v>394</v>
      </c>
      <c r="C207" s="242">
        <f>C205/C204</f>
        <v>0.91962565372969995</v>
      </c>
      <c r="D207" s="242">
        <f>D205/D204</f>
        <v>0.8816405174786679</v>
      </c>
      <c r="E207" s="243">
        <f>E205/E204</f>
        <v>0.92288796169229559</v>
      </c>
      <c r="F207" s="177" t="s">
        <v>406</v>
      </c>
      <c r="G207" s="178">
        <v>1</v>
      </c>
      <c r="H207" s="178">
        <v>2</v>
      </c>
      <c r="I207" s="178">
        <v>3</v>
      </c>
      <c r="J207" s="178">
        <v>4</v>
      </c>
      <c r="K207" s="178">
        <v>5</v>
      </c>
      <c r="L207" s="178">
        <v>6</v>
      </c>
      <c r="M207" s="178">
        <v>7</v>
      </c>
      <c r="N207" s="178">
        <v>8</v>
      </c>
      <c r="O207" s="178">
        <v>9</v>
      </c>
      <c r="P207" s="178">
        <v>10</v>
      </c>
      <c r="Q207" s="178">
        <v>11</v>
      </c>
      <c r="R207" s="178">
        <v>12</v>
      </c>
      <c r="S207" s="178">
        <v>13</v>
      </c>
      <c r="T207" s="178">
        <v>14</v>
      </c>
      <c r="U207" s="178">
        <v>15</v>
      </c>
      <c r="V207" s="178">
        <v>16</v>
      </c>
      <c r="W207" s="178">
        <v>17</v>
      </c>
      <c r="X207" s="178">
        <v>18</v>
      </c>
      <c r="Y207" s="178">
        <v>19</v>
      </c>
      <c r="Z207" s="178">
        <v>20</v>
      </c>
      <c r="AA207" s="178">
        <v>21</v>
      </c>
      <c r="AB207" s="178">
        <v>22</v>
      </c>
      <c r="AC207" s="178">
        <v>23</v>
      </c>
      <c r="AD207" s="178">
        <v>24</v>
      </c>
      <c r="AE207" s="178">
        <v>25</v>
      </c>
      <c r="AF207" s="178">
        <v>26</v>
      </c>
      <c r="AG207" s="178">
        <v>27</v>
      </c>
      <c r="AH207" s="178">
        <v>28</v>
      </c>
      <c r="AI207" s="178">
        <v>29</v>
      </c>
      <c r="AJ207" s="178">
        <v>30</v>
      </c>
      <c r="AK207" s="178">
        <v>31</v>
      </c>
    </row>
    <row r="208" spans="2:38" ht="24.95" customHeight="1" x14ac:dyDescent="0.2">
      <c r="C208" s="159"/>
      <c r="D208" s="244"/>
      <c r="E208" s="244"/>
      <c r="F208" s="179" t="s">
        <v>421</v>
      </c>
      <c r="G208" s="180">
        <v>1</v>
      </c>
      <c r="H208" s="180">
        <v>2</v>
      </c>
      <c r="I208" s="180">
        <v>3</v>
      </c>
      <c r="J208" s="180">
        <v>4</v>
      </c>
      <c r="K208" s="180">
        <v>5</v>
      </c>
      <c r="L208" s="180">
        <v>6</v>
      </c>
      <c r="M208" s="180">
        <v>7</v>
      </c>
      <c r="N208" s="180">
        <v>8</v>
      </c>
      <c r="O208" s="180">
        <v>9</v>
      </c>
      <c r="P208" s="180">
        <v>10</v>
      </c>
      <c r="Q208" s="180">
        <v>11</v>
      </c>
      <c r="R208" s="180">
        <v>12</v>
      </c>
      <c r="S208" s="180">
        <v>13</v>
      </c>
      <c r="T208" s="180">
        <v>14</v>
      </c>
      <c r="U208" s="180">
        <v>15</v>
      </c>
      <c r="V208" s="180">
        <v>16</v>
      </c>
      <c r="W208" s="180">
        <v>17</v>
      </c>
      <c r="X208" s="180">
        <v>18</v>
      </c>
      <c r="Y208" s="180">
        <v>19</v>
      </c>
      <c r="Z208" s="180">
        <v>20</v>
      </c>
      <c r="AA208" s="180">
        <v>21</v>
      </c>
      <c r="AB208" s="180">
        <v>22</v>
      </c>
      <c r="AC208" s="180">
        <v>23</v>
      </c>
      <c r="AD208" s="180">
        <v>24</v>
      </c>
      <c r="AE208" s="180">
        <v>25</v>
      </c>
      <c r="AF208" s="180">
        <v>26</v>
      </c>
      <c r="AG208" s="180">
        <v>27</v>
      </c>
      <c r="AH208" s="180">
        <v>28</v>
      </c>
      <c r="AI208" s="180">
        <v>29</v>
      </c>
      <c r="AJ208" s="180">
        <v>30</v>
      </c>
      <c r="AK208" s="180">
        <v>31</v>
      </c>
    </row>
    <row r="209" spans="2:37" ht="24.95" customHeight="1" thickBot="1" x14ac:dyDescent="0.25">
      <c r="F209" s="181" t="s">
        <v>397</v>
      </c>
      <c r="G209" s="182">
        <f>$C$9/31</f>
        <v>2.410945178494623</v>
      </c>
      <c r="H209" s="182">
        <f t="shared" ref="H209:AK209" si="16">$C$9/31</f>
        <v>2.410945178494623</v>
      </c>
      <c r="I209" s="182">
        <f t="shared" si="16"/>
        <v>2.410945178494623</v>
      </c>
      <c r="J209" s="182">
        <f t="shared" si="16"/>
        <v>2.410945178494623</v>
      </c>
      <c r="K209" s="182">
        <f t="shared" si="16"/>
        <v>2.410945178494623</v>
      </c>
      <c r="L209" s="182">
        <f t="shared" si="16"/>
        <v>2.410945178494623</v>
      </c>
      <c r="M209" s="182">
        <f t="shared" si="16"/>
        <v>2.410945178494623</v>
      </c>
      <c r="N209" s="182">
        <f t="shared" si="16"/>
        <v>2.410945178494623</v>
      </c>
      <c r="O209" s="182">
        <f t="shared" si="16"/>
        <v>2.410945178494623</v>
      </c>
      <c r="P209" s="182">
        <f t="shared" si="16"/>
        <v>2.410945178494623</v>
      </c>
      <c r="Q209" s="182">
        <f t="shared" si="16"/>
        <v>2.410945178494623</v>
      </c>
      <c r="R209" s="182">
        <f t="shared" si="16"/>
        <v>2.410945178494623</v>
      </c>
      <c r="S209" s="182">
        <f t="shared" si="16"/>
        <v>2.410945178494623</v>
      </c>
      <c r="T209" s="182">
        <f t="shared" si="16"/>
        <v>2.410945178494623</v>
      </c>
      <c r="U209" s="182">
        <f t="shared" si="16"/>
        <v>2.410945178494623</v>
      </c>
      <c r="V209" s="182">
        <f t="shared" si="16"/>
        <v>2.410945178494623</v>
      </c>
      <c r="W209" s="182">
        <f t="shared" si="16"/>
        <v>2.410945178494623</v>
      </c>
      <c r="X209" s="182">
        <f t="shared" si="16"/>
        <v>2.410945178494623</v>
      </c>
      <c r="Y209" s="182">
        <f t="shared" si="16"/>
        <v>2.410945178494623</v>
      </c>
      <c r="Z209" s="182">
        <f t="shared" si="16"/>
        <v>2.410945178494623</v>
      </c>
      <c r="AA209" s="182">
        <f t="shared" si="16"/>
        <v>2.410945178494623</v>
      </c>
      <c r="AB209" s="182">
        <f t="shared" si="16"/>
        <v>2.410945178494623</v>
      </c>
      <c r="AC209" s="182">
        <f t="shared" si="16"/>
        <v>2.410945178494623</v>
      </c>
      <c r="AD209" s="182">
        <f t="shared" si="16"/>
        <v>2.410945178494623</v>
      </c>
      <c r="AE209" s="182">
        <f t="shared" si="16"/>
        <v>2.410945178494623</v>
      </c>
      <c r="AF209" s="182">
        <f t="shared" si="16"/>
        <v>2.410945178494623</v>
      </c>
      <c r="AG209" s="182">
        <f t="shared" si="16"/>
        <v>2.410945178494623</v>
      </c>
      <c r="AH209" s="182">
        <f t="shared" si="16"/>
        <v>2.410945178494623</v>
      </c>
      <c r="AI209" s="182">
        <f t="shared" si="16"/>
        <v>2.410945178494623</v>
      </c>
      <c r="AJ209" s="182">
        <f t="shared" si="16"/>
        <v>2.410945178494623</v>
      </c>
      <c r="AK209" s="182">
        <f t="shared" si="16"/>
        <v>2.410945178494623</v>
      </c>
    </row>
    <row r="210" spans="2:37" ht="24.95" customHeight="1" x14ac:dyDescent="0.2">
      <c r="B210" s="537" t="s">
        <v>408</v>
      </c>
      <c r="C210" s="538"/>
      <c r="D210" s="539"/>
      <c r="F210" s="183" t="s">
        <v>398</v>
      </c>
      <c r="G210" s="182">
        <f>STATION!C$40</f>
        <v>2.5029699999999999</v>
      </c>
      <c r="H210" s="182">
        <f>STATION!D$40</f>
        <v>2.3499100000000004</v>
      </c>
      <c r="I210" s="182">
        <f>STATION!E$40</f>
        <v>2.1921300000000001</v>
      </c>
      <c r="J210" s="182">
        <f>STATION!F$40</f>
        <v>2.20112</v>
      </c>
      <c r="K210" s="182">
        <f>STATION!G$40</f>
        <v>2.26336</v>
      </c>
      <c r="L210" s="182">
        <f>STATION!H$40</f>
        <v>2.35473</v>
      </c>
      <c r="M210" s="182">
        <f>STATION!I$40</f>
        <v>2.43621</v>
      </c>
      <c r="N210" s="182">
        <f>STATION!J$40</f>
        <v>2.43947</v>
      </c>
      <c r="O210" s="182">
        <f>STATION!K$40</f>
        <v>2.3704700000000001</v>
      </c>
      <c r="P210" s="182">
        <f>STATION!L$40</f>
        <v>2.4497100000000001</v>
      </c>
      <c r="Q210" s="182">
        <f>STATION!M$40</f>
        <v>2.4946000000000002</v>
      </c>
      <c r="R210" s="182">
        <f>STATION!N$40</f>
        <v>2.5221300000000002</v>
      </c>
      <c r="S210" s="182">
        <f>STATION!O$40</f>
        <v>2.6019399999999999</v>
      </c>
      <c r="T210" s="182">
        <f>STATION!P$40</f>
        <v>2.6059800000000002</v>
      </c>
      <c r="U210" s="182">
        <f>STATION!Q$40</f>
        <v>2.6384699999999999</v>
      </c>
      <c r="V210" s="182">
        <f>STATION!R$40</f>
        <v>2.62412</v>
      </c>
      <c r="W210" s="182">
        <f>STATION!S$40</f>
        <v>2.5870500000000001</v>
      </c>
      <c r="X210" s="182">
        <f>STATION!T$40</f>
        <v>2.58684</v>
      </c>
      <c r="Y210" s="182">
        <f>STATION!U$40</f>
        <v>2.5975100000000002</v>
      </c>
      <c r="Z210" s="182">
        <f>STATION!V$40</f>
        <v>2.5658500000000002</v>
      </c>
      <c r="AA210" s="182">
        <f>STATION!W$40</f>
        <v>2.6255999999999999</v>
      </c>
      <c r="AB210" s="182">
        <f>STATION!X$40</f>
        <v>2.6351499999999999</v>
      </c>
      <c r="AC210" s="182">
        <f>STATION!Y$40</f>
        <v>2.5931500000000001</v>
      </c>
      <c r="AD210" s="182">
        <f>STATION!Z$40</f>
        <v>2.5827800000000001</v>
      </c>
      <c r="AE210" s="182">
        <f>STATION!AA$40</f>
        <v>1.84091</v>
      </c>
      <c r="AF210" s="182">
        <f>STATION!AB$40</f>
        <v>2.4996900000000002</v>
      </c>
      <c r="AG210" s="182">
        <f>STATION!AC$40</f>
        <v>2.2218200000000001</v>
      </c>
      <c r="AH210" s="182">
        <f>STATION!AD$40</f>
        <v>2.0554399999999999</v>
      </c>
      <c r="AI210" s="182">
        <f>STATION!AE$40</f>
        <v>2.1237499999999998</v>
      </c>
      <c r="AJ210" s="182">
        <f>STATION!AF$40</f>
        <v>2.24878</v>
      </c>
      <c r="AK210" s="182">
        <f>STATION!AG$40</f>
        <v>2.3387799999999999</v>
      </c>
    </row>
    <row r="211" spans="2:37" ht="24.95" customHeight="1" x14ac:dyDescent="0.2">
      <c r="B211" s="531" t="s">
        <v>409</v>
      </c>
      <c r="C211" s="184" t="s">
        <v>410</v>
      </c>
      <c r="D211" s="185" t="s">
        <v>411</v>
      </c>
      <c r="F211" s="183" t="s">
        <v>412</v>
      </c>
      <c r="G211" s="186">
        <v>2.6</v>
      </c>
      <c r="H211" s="186">
        <v>2.6</v>
      </c>
      <c r="I211" s="186">
        <v>2.6</v>
      </c>
      <c r="J211" s="186">
        <v>2.6</v>
      </c>
      <c r="K211" s="186">
        <v>2.6</v>
      </c>
      <c r="L211" s="186">
        <v>2.6</v>
      </c>
      <c r="M211" s="186">
        <v>2.6</v>
      </c>
      <c r="N211" s="186">
        <v>2.6</v>
      </c>
      <c r="O211" s="186">
        <v>2.6</v>
      </c>
      <c r="P211" s="186">
        <v>2.6</v>
      </c>
      <c r="Q211" s="186">
        <v>2.6</v>
      </c>
      <c r="R211" s="186">
        <v>2.6</v>
      </c>
      <c r="S211" s="186">
        <v>2.6</v>
      </c>
      <c r="T211" s="186">
        <v>2.6</v>
      </c>
      <c r="U211" s="186">
        <v>2.6</v>
      </c>
      <c r="V211" s="186">
        <v>2.6</v>
      </c>
      <c r="W211" s="186">
        <v>2.6</v>
      </c>
      <c r="X211" s="186">
        <v>2.6</v>
      </c>
      <c r="Y211" s="186">
        <v>2.6</v>
      </c>
      <c r="Z211" s="186">
        <v>2.6</v>
      </c>
      <c r="AA211" s="186">
        <v>2.6</v>
      </c>
      <c r="AB211" s="186">
        <v>2.6</v>
      </c>
      <c r="AC211" s="186">
        <v>2.6</v>
      </c>
      <c r="AD211" s="186">
        <v>2.6</v>
      </c>
      <c r="AE211" s="186">
        <v>2.6</v>
      </c>
      <c r="AF211" s="186">
        <v>2.6</v>
      </c>
      <c r="AG211" s="186">
        <v>2.6</v>
      </c>
      <c r="AH211" s="186">
        <v>2.6</v>
      </c>
      <c r="AI211" s="186">
        <v>2.6</v>
      </c>
      <c r="AJ211" s="186">
        <v>2.6</v>
      </c>
      <c r="AK211" s="186">
        <v>2.6</v>
      </c>
    </row>
    <row r="212" spans="2:37" ht="24.95" customHeight="1" x14ac:dyDescent="0.2">
      <c r="B212" s="532"/>
      <c r="C212" s="184" t="s">
        <v>413</v>
      </c>
      <c r="D212" s="77" t="s">
        <v>414</v>
      </c>
      <c r="F212" s="183" t="s">
        <v>415</v>
      </c>
      <c r="G212" s="194">
        <f>G209*0.9</f>
        <v>2.1698506606451606</v>
      </c>
      <c r="H212" s="194">
        <f t="shared" ref="H212:AK212" si="17">H209*0.9</f>
        <v>2.1698506606451606</v>
      </c>
      <c r="I212" s="194">
        <f t="shared" si="17"/>
        <v>2.1698506606451606</v>
      </c>
      <c r="J212" s="194">
        <f t="shared" si="17"/>
        <v>2.1698506606451606</v>
      </c>
      <c r="K212" s="194">
        <f t="shared" si="17"/>
        <v>2.1698506606451606</v>
      </c>
      <c r="L212" s="194">
        <f t="shared" si="17"/>
        <v>2.1698506606451606</v>
      </c>
      <c r="M212" s="194">
        <f t="shared" si="17"/>
        <v>2.1698506606451606</v>
      </c>
      <c r="N212" s="194">
        <f t="shared" si="17"/>
        <v>2.1698506606451606</v>
      </c>
      <c r="O212" s="194">
        <f t="shared" si="17"/>
        <v>2.1698506606451606</v>
      </c>
      <c r="P212" s="194">
        <f t="shared" si="17"/>
        <v>2.1698506606451606</v>
      </c>
      <c r="Q212" s="194">
        <f t="shared" si="17"/>
        <v>2.1698506606451606</v>
      </c>
      <c r="R212" s="194">
        <f t="shared" si="17"/>
        <v>2.1698506606451606</v>
      </c>
      <c r="S212" s="194">
        <f t="shared" si="17"/>
        <v>2.1698506606451606</v>
      </c>
      <c r="T212" s="194">
        <f t="shared" si="17"/>
        <v>2.1698506606451606</v>
      </c>
      <c r="U212" s="194">
        <f t="shared" si="17"/>
        <v>2.1698506606451606</v>
      </c>
      <c r="V212" s="194">
        <f t="shared" si="17"/>
        <v>2.1698506606451606</v>
      </c>
      <c r="W212" s="194">
        <f t="shared" si="17"/>
        <v>2.1698506606451606</v>
      </c>
      <c r="X212" s="194">
        <f t="shared" si="17"/>
        <v>2.1698506606451606</v>
      </c>
      <c r="Y212" s="194">
        <f t="shared" si="17"/>
        <v>2.1698506606451606</v>
      </c>
      <c r="Z212" s="194">
        <f t="shared" si="17"/>
        <v>2.1698506606451606</v>
      </c>
      <c r="AA212" s="194">
        <f t="shared" si="17"/>
        <v>2.1698506606451606</v>
      </c>
      <c r="AB212" s="194">
        <f t="shared" si="17"/>
        <v>2.1698506606451606</v>
      </c>
      <c r="AC212" s="194">
        <f t="shared" si="17"/>
        <v>2.1698506606451606</v>
      </c>
      <c r="AD212" s="194">
        <f t="shared" si="17"/>
        <v>2.1698506606451606</v>
      </c>
      <c r="AE212" s="194">
        <f t="shared" si="17"/>
        <v>2.1698506606451606</v>
      </c>
      <c r="AF212" s="194">
        <f t="shared" si="17"/>
        <v>2.1698506606451606</v>
      </c>
      <c r="AG212" s="194">
        <f t="shared" si="17"/>
        <v>2.1698506606451606</v>
      </c>
      <c r="AH212" s="194">
        <f t="shared" si="17"/>
        <v>2.1698506606451606</v>
      </c>
      <c r="AI212" s="194">
        <f t="shared" si="17"/>
        <v>2.1698506606451606</v>
      </c>
      <c r="AJ212" s="194">
        <f t="shared" si="17"/>
        <v>2.1698506606451606</v>
      </c>
      <c r="AK212" s="194">
        <f t="shared" si="17"/>
        <v>2.1698506606451606</v>
      </c>
    </row>
    <row r="213" spans="2:37" ht="24.95" customHeight="1" thickBot="1" x14ac:dyDescent="0.25">
      <c r="B213" s="533"/>
      <c r="C213" s="184" t="s">
        <v>416</v>
      </c>
      <c r="D213" s="187" t="s">
        <v>417</v>
      </c>
      <c r="F213" s="188" t="s">
        <v>394</v>
      </c>
      <c r="G213" s="242">
        <f>G210/G209</f>
        <v>1.0381696034925343</v>
      </c>
      <c r="H213" s="242">
        <f t="shared" ref="H213:AK213" si="18">H210/H209</f>
        <v>0.9746841284326786</v>
      </c>
      <c r="I213" s="242">
        <f t="shared" si="18"/>
        <v>0.90924091495466952</v>
      </c>
      <c r="J213" s="242">
        <f t="shared" si="18"/>
        <v>0.91296974300110945</v>
      </c>
      <c r="K213" s="242">
        <f t="shared" si="18"/>
        <v>0.93878534451506113</v>
      </c>
      <c r="L213" s="242">
        <f t="shared" si="18"/>
        <v>0.97668334435969073</v>
      </c>
      <c r="M213" s="242">
        <f t="shared" si="18"/>
        <v>1.0104792185781479</v>
      </c>
      <c r="N213" s="242">
        <f t="shared" si="18"/>
        <v>1.0118313853669572</v>
      </c>
      <c r="O213" s="242">
        <f t="shared" si="18"/>
        <v>0.98321190425412519</v>
      </c>
      <c r="P213" s="242">
        <f t="shared" si="18"/>
        <v>1.0160786822741368</v>
      </c>
      <c r="Q213" s="242">
        <f t="shared" si="18"/>
        <v>1.0346979360010213</v>
      </c>
      <c r="R213" s="242">
        <f t="shared" si="18"/>
        <v>1.0461166941899527</v>
      </c>
      <c r="S213" s="242">
        <f t="shared" si="18"/>
        <v>1.0792198940104614</v>
      </c>
      <c r="T213" s="242">
        <f t="shared" si="18"/>
        <v>1.0808955853683722</v>
      </c>
      <c r="U213" s="242">
        <f t="shared" si="18"/>
        <v>1.0943716279967186</v>
      </c>
      <c r="V213" s="242">
        <f t="shared" si="18"/>
        <v>1.0884196054754267</v>
      </c>
      <c r="W213" s="242">
        <f t="shared" si="18"/>
        <v>1.07304389294133</v>
      </c>
      <c r="X213" s="242">
        <f t="shared" si="18"/>
        <v>1.0729567901727257</v>
      </c>
      <c r="Y213" s="242">
        <f t="shared" si="18"/>
        <v>1.0773824403679999</v>
      </c>
      <c r="Z213" s="242">
        <f t="shared" si="18"/>
        <v>1.0642506610631846</v>
      </c>
      <c r="AA213" s="242">
        <f t="shared" si="18"/>
        <v>1.0890334726065425</v>
      </c>
      <c r="AB213" s="242">
        <f t="shared" si="18"/>
        <v>1.092994574702594</v>
      </c>
      <c r="AC213" s="242">
        <f t="shared" si="18"/>
        <v>1.0755740209817397</v>
      </c>
      <c r="AD213" s="242">
        <f t="shared" si="18"/>
        <v>1.0712728033130432</v>
      </c>
      <c r="AE213" s="242">
        <f t="shared" si="18"/>
        <v>0.76356360833946924</v>
      </c>
      <c r="AF213" s="242">
        <f t="shared" si="18"/>
        <v>1.0368091412019533</v>
      </c>
      <c r="AG213" s="242">
        <f t="shared" si="18"/>
        <v>0.92155558733495913</v>
      </c>
      <c r="AH213" s="242">
        <f t="shared" si="18"/>
        <v>0.85254530809506091</v>
      </c>
      <c r="AI213" s="242">
        <f t="shared" si="18"/>
        <v>0.88087859439676441</v>
      </c>
      <c r="AJ213" s="242">
        <f t="shared" si="18"/>
        <v>0.93273792372339315</v>
      </c>
      <c r="AK213" s="242">
        <f t="shared" si="18"/>
        <v>0.97006768169665203</v>
      </c>
    </row>
    <row r="214" spans="2:37" ht="24.95" customHeight="1" thickBot="1" x14ac:dyDescent="0.25">
      <c r="B214" s="534" t="s">
        <v>418</v>
      </c>
      <c r="C214" s="535"/>
      <c r="D214" s="536"/>
      <c r="F214" s="183"/>
      <c r="G214" s="189"/>
      <c r="H214" s="189"/>
      <c r="I214" s="189"/>
      <c r="J214" s="189"/>
      <c r="K214" s="189"/>
      <c r="L214" s="189"/>
      <c r="M214" s="189"/>
      <c r="N214" s="189"/>
      <c r="O214" s="189"/>
      <c r="P214" s="189"/>
      <c r="Q214" s="189"/>
      <c r="R214" s="189"/>
      <c r="S214" s="189"/>
      <c r="T214" s="189"/>
      <c r="U214" s="189"/>
      <c r="V214" s="189"/>
      <c r="W214" s="189"/>
      <c r="X214" s="189"/>
      <c r="Y214" s="189"/>
      <c r="Z214" s="189"/>
      <c r="AA214" s="189"/>
      <c r="AB214" s="189"/>
      <c r="AC214" s="189"/>
      <c r="AD214" s="189"/>
      <c r="AE214" s="189"/>
      <c r="AF214" s="189"/>
      <c r="AG214" s="189"/>
      <c r="AH214" s="189"/>
      <c r="AI214" s="189"/>
      <c r="AJ214" s="189"/>
      <c r="AK214" s="189"/>
    </row>
    <row r="215" spans="2:37" ht="24.95" customHeight="1" x14ac:dyDescent="0.2">
      <c r="E215" s="190"/>
      <c r="AC215" s="191"/>
      <c r="AD215" s="191"/>
      <c r="AE215" s="191"/>
    </row>
    <row r="216" spans="2:37" ht="24.95" customHeight="1" x14ac:dyDescent="0.2"/>
    <row r="217" spans="2:37" ht="24.95" customHeight="1" x14ac:dyDescent="0.2"/>
    <row r="218" spans="2:37" ht="24.95" customHeight="1" x14ac:dyDescent="0.2"/>
  </sheetData>
  <mergeCells count="48">
    <mergeCell ref="D3:E3"/>
    <mergeCell ref="F12:W12"/>
    <mergeCell ref="M2:M7"/>
    <mergeCell ref="F3:G3"/>
    <mergeCell ref="J3:K3"/>
    <mergeCell ref="H3:I3"/>
    <mergeCell ref="B73:D73"/>
    <mergeCell ref="AD14:AH14"/>
    <mergeCell ref="AE15:AH16"/>
    <mergeCell ref="B38:D38"/>
    <mergeCell ref="B39:B41"/>
    <mergeCell ref="B42:D42"/>
    <mergeCell ref="G44:J44"/>
    <mergeCell ref="K44:N44"/>
    <mergeCell ref="O44:R44"/>
    <mergeCell ref="S44:T44"/>
    <mergeCell ref="U44:V44"/>
    <mergeCell ref="W44:X44"/>
    <mergeCell ref="Y44:AB44"/>
    <mergeCell ref="F47:W47"/>
    <mergeCell ref="AD49:AH49"/>
    <mergeCell ref="AE50:AH51"/>
    <mergeCell ref="AE187:AH188"/>
    <mergeCell ref="B210:D210"/>
    <mergeCell ref="B144:B146"/>
    <mergeCell ref="B147:D147"/>
    <mergeCell ref="F151:W151"/>
    <mergeCell ref="AD153:AH153"/>
    <mergeCell ref="AE154:AH155"/>
    <mergeCell ref="B177:D177"/>
    <mergeCell ref="B74:B76"/>
    <mergeCell ref="B77:D77"/>
    <mergeCell ref="B112:D112"/>
    <mergeCell ref="F184:W184"/>
    <mergeCell ref="AD186:AH186"/>
    <mergeCell ref="F82:W82"/>
    <mergeCell ref="AD84:AH84"/>
    <mergeCell ref="AE85:AH86"/>
    <mergeCell ref="B108:D108"/>
    <mergeCell ref="B109:B111"/>
    <mergeCell ref="F117:W117"/>
    <mergeCell ref="AD119:AH119"/>
    <mergeCell ref="AE120:AH121"/>
    <mergeCell ref="B211:B213"/>
    <mergeCell ref="B214:D214"/>
    <mergeCell ref="B178:B180"/>
    <mergeCell ref="B181:D181"/>
    <mergeCell ref="B143:D143"/>
  </mergeCells>
  <conditionalFormatting sqref="C35:E35 C70:E70 C105:E105 C140:E140 C174:E174 C207:E207">
    <cfRule type="cellIs" dxfId="19" priority="20" stopIfTrue="1" operator="greaterThanOrEqual">
      <formula>0.9</formula>
    </cfRule>
    <cfRule type="cellIs" dxfId="18" priority="21" stopIfTrue="1" operator="lessThan">
      <formula>0.9</formula>
    </cfRule>
  </conditionalFormatting>
  <conditionalFormatting sqref="G72:AK73">
    <cfRule type="cellIs" dxfId="17" priority="18" stopIfTrue="1" operator="between">
      <formula>90</formula>
      <formula>110</formula>
    </cfRule>
    <cfRule type="cellIs" dxfId="16" priority="19" stopIfTrue="1" operator="lessThan">
      <formula>90</formula>
    </cfRule>
  </conditionalFormatting>
  <conditionalFormatting sqref="G76:AK76 G111:AK111 G180:AK180 G41:AK41 G213:AK213 G146:AK146 O3:AS7">
    <cfRule type="cellIs" dxfId="15" priority="15" stopIfTrue="1" operator="between">
      <formula>12</formula>
      <formula>0.9</formula>
    </cfRule>
    <cfRule type="cellIs" dxfId="14" priority="16" stopIfTrue="1" operator="between">
      <formula>0.9</formula>
      <formula>0.8</formula>
    </cfRule>
    <cfRule type="cellIs" dxfId="13" priority="17" stopIfTrue="1" operator="lessThan">
      <formula>0.8</formula>
    </cfRule>
  </conditionalFormatting>
  <conditionalFormatting sqref="G107:AK108">
    <cfRule type="cellIs" dxfId="12" priority="13" stopIfTrue="1" operator="between">
      <formula>5</formula>
      <formula>8.5</formula>
    </cfRule>
    <cfRule type="cellIs" dxfId="11" priority="14" stopIfTrue="1" operator="greaterThan">
      <formula>8.6</formula>
    </cfRule>
  </conditionalFormatting>
  <conditionalFormatting sqref="G142:AK143">
    <cfRule type="cellIs" dxfId="10" priority="11" stopIfTrue="1" operator="between">
      <formula>2</formula>
      <formula>4</formula>
    </cfRule>
    <cfRule type="cellIs" dxfId="9" priority="12" stopIfTrue="1" operator="greaterThan">
      <formula>2.5</formula>
    </cfRule>
  </conditionalFormatting>
  <conditionalFormatting sqref="G176:AK177">
    <cfRule type="cellIs" dxfId="8" priority="9" stopIfTrue="1" operator="between">
      <formula>2</formula>
      <formula>2.5</formula>
    </cfRule>
    <cfRule type="cellIs" dxfId="7" priority="10" stopIfTrue="1" operator="lessThan">
      <formula>2</formula>
    </cfRule>
  </conditionalFormatting>
  <conditionalFormatting sqref="G209:AK210">
    <cfRule type="cellIs" dxfId="6" priority="7" stopIfTrue="1" operator="between">
      <formula>2</formula>
      <formula>2.5</formula>
    </cfRule>
    <cfRule type="cellIs" dxfId="5" priority="8" stopIfTrue="1" operator="lessThan">
      <formula>1.8</formula>
    </cfRule>
  </conditionalFormatting>
  <conditionalFormatting sqref="O2:AS6">
    <cfRule type="cellIs" dxfId="4" priority="3" stopIfTrue="1" operator="greaterThan">
      <formula>0.9</formula>
    </cfRule>
    <cfRule type="cellIs" dxfId="3" priority="4" stopIfTrue="1" operator="between">
      <formula>0.9</formula>
      <formula>0.8</formula>
    </cfRule>
    <cfRule type="cellIs" dxfId="2" priority="5" stopIfTrue="1" operator="lessThan">
      <formula>0.8</formula>
    </cfRule>
  </conditionalFormatting>
  <conditionalFormatting sqref="G37:AK38">
    <cfRule type="cellIs" dxfId="1" priority="1" stopIfTrue="1" operator="between">
      <formula>90</formula>
      <formula>110</formula>
    </cfRule>
    <cfRule type="cellIs" dxfId="0" priority="2" stopIfTrue="1" operator="lessThan">
      <formula>90</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V32"/>
  <sheetViews>
    <sheetView zoomScale="70" zoomScaleNormal="70" workbookViewId="0">
      <selection activeCell="H32" sqref="H32"/>
    </sheetView>
  </sheetViews>
  <sheetFormatPr defaultColWidth="9.140625" defaultRowHeight="12.75" x14ac:dyDescent="0.2"/>
  <cols>
    <col min="1" max="1" width="5.85546875" style="6" customWidth="1"/>
    <col min="2" max="20" width="8" style="6" customWidth="1"/>
    <col min="21" max="21" width="21.7109375" style="6" customWidth="1"/>
    <col min="22" max="22" width="91.42578125" style="6" customWidth="1"/>
    <col min="23" max="16384" width="9.140625" style="6"/>
  </cols>
  <sheetData>
    <row r="1" spans="1:22" s="29" customFormat="1" ht="29.25" customHeight="1" x14ac:dyDescent="0.2">
      <c r="A1" s="553" t="s">
        <v>531</v>
      </c>
      <c r="B1" s="554"/>
      <c r="C1" s="554"/>
      <c r="D1" s="554"/>
      <c r="E1" s="554"/>
      <c r="F1" s="554"/>
      <c r="G1" s="554"/>
      <c r="H1" s="554"/>
      <c r="I1" s="554"/>
      <c r="J1" s="554"/>
      <c r="K1" s="554"/>
      <c r="L1" s="554"/>
      <c r="M1" s="554"/>
      <c r="N1" s="554"/>
      <c r="O1" s="554"/>
      <c r="P1" s="554"/>
      <c r="Q1" s="554"/>
      <c r="R1" s="554"/>
      <c r="S1" s="554"/>
      <c r="T1" s="554"/>
      <c r="U1" s="554"/>
      <c r="V1" s="555"/>
    </row>
    <row r="2" spans="1:22" ht="59.45" customHeight="1" x14ac:dyDescent="0.2">
      <c r="A2" s="7" t="s">
        <v>422</v>
      </c>
      <c r="B2" s="550" t="s">
        <v>536</v>
      </c>
      <c r="C2" s="551"/>
      <c r="D2" s="551"/>
      <c r="E2" s="551"/>
      <c r="F2" s="551"/>
      <c r="G2" s="551"/>
      <c r="H2" s="551"/>
      <c r="I2" s="551"/>
      <c r="J2" s="551"/>
      <c r="K2" s="551"/>
      <c r="L2" s="551"/>
      <c r="M2" s="551"/>
      <c r="N2" s="551"/>
      <c r="O2" s="551"/>
      <c r="P2" s="551"/>
      <c r="Q2" s="551"/>
      <c r="R2" s="551"/>
      <c r="S2" s="551"/>
      <c r="T2" s="551"/>
      <c r="U2" s="551"/>
      <c r="V2" s="552"/>
    </row>
    <row r="3" spans="1:22" ht="69.75" customHeight="1" x14ac:dyDescent="0.2">
      <c r="A3" s="7" t="s">
        <v>423</v>
      </c>
      <c r="B3" s="550" t="s">
        <v>538</v>
      </c>
      <c r="C3" s="551"/>
      <c r="D3" s="551"/>
      <c r="E3" s="551"/>
      <c r="F3" s="551"/>
      <c r="G3" s="551"/>
      <c r="H3" s="551"/>
      <c r="I3" s="551"/>
      <c r="J3" s="551"/>
      <c r="K3" s="551"/>
      <c r="L3" s="551"/>
      <c r="M3" s="551"/>
      <c r="N3" s="551"/>
      <c r="O3" s="551"/>
      <c r="P3" s="551"/>
      <c r="Q3" s="551"/>
      <c r="R3" s="551"/>
      <c r="S3" s="551"/>
      <c r="T3" s="551"/>
      <c r="U3" s="551"/>
      <c r="V3" s="552"/>
    </row>
    <row r="4" spans="1:22" ht="83.25" customHeight="1" x14ac:dyDescent="0.2">
      <c r="A4" s="7" t="s">
        <v>453</v>
      </c>
      <c r="B4" s="550" t="s">
        <v>545</v>
      </c>
      <c r="C4" s="551"/>
      <c r="D4" s="551"/>
      <c r="E4" s="551"/>
      <c r="F4" s="551"/>
      <c r="G4" s="551"/>
      <c r="H4" s="551"/>
      <c r="I4" s="551"/>
      <c r="J4" s="551"/>
      <c r="K4" s="551"/>
      <c r="L4" s="551"/>
      <c r="M4" s="551"/>
      <c r="N4" s="551"/>
      <c r="O4" s="551"/>
      <c r="P4" s="551"/>
      <c r="Q4" s="551"/>
      <c r="R4" s="551"/>
      <c r="S4" s="551"/>
      <c r="T4" s="551"/>
      <c r="U4" s="551"/>
      <c r="V4" s="552"/>
    </row>
    <row r="5" spans="1:22" ht="77.099999999999994" customHeight="1" x14ac:dyDescent="0.2">
      <c r="A5" s="7" t="s">
        <v>454</v>
      </c>
      <c r="B5" s="550" t="s">
        <v>552</v>
      </c>
      <c r="C5" s="551"/>
      <c r="D5" s="551"/>
      <c r="E5" s="551"/>
      <c r="F5" s="551"/>
      <c r="G5" s="551"/>
      <c r="H5" s="551"/>
      <c r="I5" s="551"/>
      <c r="J5" s="551"/>
      <c r="K5" s="551"/>
      <c r="L5" s="551"/>
      <c r="M5" s="551"/>
      <c r="N5" s="551"/>
      <c r="O5" s="551"/>
      <c r="P5" s="551"/>
      <c r="Q5" s="551"/>
      <c r="R5" s="551"/>
      <c r="S5" s="551"/>
      <c r="T5" s="551"/>
      <c r="U5" s="551"/>
      <c r="V5" s="552"/>
    </row>
    <row r="6" spans="1:22" ht="65.25" customHeight="1" x14ac:dyDescent="0.2">
      <c r="A6" s="7" t="s">
        <v>455</v>
      </c>
      <c r="B6" s="550" t="s">
        <v>553</v>
      </c>
      <c r="C6" s="551"/>
      <c r="D6" s="551"/>
      <c r="E6" s="551"/>
      <c r="F6" s="551"/>
      <c r="G6" s="551"/>
      <c r="H6" s="551"/>
      <c r="I6" s="551"/>
      <c r="J6" s="551"/>
      <c r="K6" s="551"/>
      <c r="L6" s="551"/>
      <c r="M6" s="551"/>
      <c r="N6" s="551"/>
      <c r="O6" s="551"/>
      <c r="P6" s="551"/>
      <c r="Q6" s="551"/>
      <c r="R6" s="551"/>
      <c r="S6" s="551"/>
      <c r="T6" s="551"/>
      <c r="U6" s="551"/>
      <c r="V6" s="552"/>
    </row>
    <row r="7" spans="1:22" ht="81.95" customHeight="1" x14ac:dyDescent="0.2">
      <c r="A7" s="7" t="s">
        <v>456</v>
      </c>
      <c r="B7" s="550" t="s">
        <v>554</v>
      </c>
      <c r="C7" s="551"/>
      <c r="D7" s="551"/>
      <c r="E7" s="551"/>
      <c r="F7" s="551"/>
      <c r="G7" s="551"/>
      <c r="H7" s="551"/>
      <c r="I7" s="551"/>
      <c r="J7" s="551"/>
      <c r="K7" s="551"/>
      <c r="L7" s="551"/>
      <c r="M7" s="551"/>
      <c r="N7" s="551"/>
      <c r="O7" s="551"/>
      <c r="P7" s="551"/>
      <c r="Q7" s="551"/>
      <c r="R7" s="551"/>
      <c r="S7" s="551"/>
      <c r="T7" s="551"/>
      <c r="U7" s="551"/>
      <c r="V7" s="552"/>
    </row>
    <row r="8" spans="1:22" ht="66" customHeight="1" x14ac:dyDescent="0.2">
      <c r="A8" s="7" t="s">
        <v>457</v>
      </c>
      <c r="B8" s="550" t="s">
        <v>557</v>
      </c>
      <c r="C8" s="551"/>
      <c r="D8" s="551"/>
      <c r="E8" s="551"/>
      <c r="F8" s="551"/>
      <c r="G8" s="551"/>
      <c r="H8" s="551"/>
      <c r="I8" s="551"/>
      <c r="J8" s="551"/>
      <c r="K8" s="551"/>
      <c r="L8" s="551"/>
      <c r="M8" s="551"/>
      <c r="N8" s="551"/>
      <c r="O8" s="551"/>
      <c r="P8" s="551"/>
      <c r="Q8" s="551"/>
      <c r="R8" s="551"/>
      <c r="S8" s="551"/>
      <c r="T8" s="551"/>
      <c r="U8" s="551"/>
      <c r="V8" s="552"/>
    </row>
    <row r="9" spans="1:22" ht="57" customHeight="1" x14ac:dyDescent="0.2">
      <c r="A9" s="7" t="s">
        <v>458</v>
      </c>
      <c r="B9" s="550" t="s">
        <v>568</v>
      </c>
      <c r="C9" s="551"/>
      <c r="D9" s="551"/>
      <c r="E9" s="551"/>
      <c r="F9" s="551"/>
      <c r="G9" s="551"/>
      <c r="H9" s="551"/>
      <c r="I9" s="551"/>
      <c r="J9" s="551"/>
      <c r="K9" s="551"/>
      <c r="L9" s="551"/>
      <c r="M9" s="551"/>
      <c r="N9" s="551"/>
      <c r="O9" s="551"/>
      <c r="P9" s="551"/>
      <c r="Q9" s="551"/>
      <c r="R9" s="551"/>
      <c r="S9" s="551"/>
      <c r="T9" s="551"/>
      <c r="U9" s="551"/>
      <c r="V9" s="552"/>
    </row>
    <row r="10" spans="1:22" ht="60.95" customHeight="1" x14ac:dyDescent="0.2">
      <c r="A10" s="7" t="s">
        <v>459</v>
      </c>
      <c r="B10" s="550" t="s">
        <v>567</v>
      </c>
      <c r="C10" s="551"/>
      <c r="D10" s="551"/>
      <c r="E10" s="551"/>
      <c r="F10" s="551"/>
      <c r="G10" s="551"/>
      <c r="H10" s="551"/>
      <c r="I10" s="551"/>
      <c r="J10" s="551"/>
      <c r="K10" s="551"/>
      <c r="L10" s="551"/>
      <c r="M10" s="551"/>
      <c r="N10" s="551"/>
      <c r="O10" s="551"/>
      <c r="P10" s="551"/>
      <c r="Q10" s="551"/>
      <c r="R10" s="551"/>
      <c r="S10" s="551"/>
      <c r="T10" s="551"/>
      <c r="U10" s="551"/>
      <c r="V10" s="552"/>
    </row>
    <row r="11" spans="1:22" ht="62.25" customHeight="1" x14ac:dyDescent="0.2">
      <c r="A11" s="7" t="s">
        <v>460</v>
      </c>
      <c r="B11" s="550" t="s">
        <v>566</v>
      </c>
      <c r="C11" s="551"/>
      <c r="D11" s="551"/>
      <c r="E11" s="551"/>
      <c r="F11" s="551"/>
      <c r="G11" s="551"/>
      <c r="H11" s="551"/>
      <c r="I11" s="551"/>
      <c r="J11" s="551"/>
      <c r="K11" s="551"/>
      <c r="L11" s="551"/>
      <c r="M11" s="551"/>
      <c r="N11" s="551"/>
      <c r="O11" s="551"/>
      <c r="P11" s="551"/>
      <c r="Q11" s="551"/>
      <c r="R11" s="551"/>
      <c r="S11" s="551"/>
      <c r="T11" s="551"/>
      <c r="U11" s="551"/>
      <c r="V11" s="552"/>
    </row>
    <row r="12" spans="1:22" ht="66.599999999999994" customHeight="1" x14ac:dyDescent="0.2">
      <c r="A12" s="7" t="s">
        <v>461</v>
      </c>
      <c r="B12" s="550" t="s">
        <v>565</v>
      </c>
      <c r="C12" s="551"/>
      <c r="D12" s="551"/>
      <c r="E12" s="551"/>
      <c r="F12" s="551"/>
      <c r="G12" s="551"/>
      <c r="H12" s="551"/>
      <c r="I12" s="551"/>
      <c r="J12" s="551"/>
      <c r="K12" s="551"/>
      <c r="L12" s="551"/>
      <c r="M12" s="551"/>
      <c r="N12" s="551"/>
      <c r="O12" s="551"/>
      <c r="P12" s="551"/>
      <c r="Q12" s="551"/>
      <c r="R12" s="551"/>
      <c r="S12" s="551"/>
      <c r="T12" s="551"/>
      <c r="U12" s="551"/>
      <c r="V12" s="552"/>
    </row>
    <row r="13" spans="1:22" ht="57" customHeight="1" x14ac:dyDescent="0.2">
      <c r="A13" s="7" t="s">
        <v>462</v>
      </c>
      <c r="B13" s="550" t="s">
        <v>570</v>
      </c>
      <c r="C13" s="551"/>
      <c r="D13" s="551"/>
      <c r="E13" s="551"/>
      <c r="F13" s="551"/>
      <c r="G13" s="551"/>
      <c r="H13" s="551"/>
      <c r="I13" s="551"/>
      <c r="J13" s="551"/>
      <c r="K13" s="551"/>
      <c r="L13" s="551"/>
      <c r="M13" s="551"/>
      <c r="N13" s="551"/>
      <c r="O13" s="551"/>
      <c r="P13" s="551"/>
      <c r="Q13" s="551"/>
      <c r="R13" s="551"/>
      <c r="S13" s="551"/>
      <c r="T13" s="551"/>
      <c r="U13" s="551"/>
      <c r="V13" s="552"/>
    </row>
    <row r="14" spans="1:22" ht="71.45" customHeight="1" x14ac:dyDescent="0.2">
      <c r="A14" s="7" t="s">
        <v>463</v>
      </c>
      <c r="B14" s="550" t="s">
        <v>572</v>
      </c>
      <c r="C14" s="551"/>
      <c r="D14" s="551"/>
      <c r="E14" s="551"/>
      <c r="F14" s="551"/>
      <c r="G14" s="551"/>
      <c r="H14" s="551"/>
      <c r="I14" s="551"/>
      <c r="J14" s="551"/>
      <c r="K14" s="551"/>
      <c r="L14" s="551"/>
      <c r="M14" s="551"/>
      <c r="N14" s="551"/>
      <c r="O14" s="551"/>
      <c r="P14" s="551"/>
      <c r="Q14" s="551"/>
      <c r="R14" s="551"/>
      <c r="S14" s="551"/>
      <c r="T14" s="551"/>
      <c r="U14" s="551"/>
      <c r="V14" s="552"/>
    </row>
    <row r="15" spans="1:22" ht="57" customHeight="1" x14ac:dyDescent="0.2">
      <c r="A15" s="7" t="s">
        <v>464</v>
      </c>
      <c r="B15" s="550" t="s">
        <v>576</v>
      </c>
      <c r="C15" s="551"/>
      <c r="D15" s="551"/>
      <c r="E15" s="551"/>
      <c r="F15" s="551"/>
      <c r="G15" s="551"/>
      <c r="H15" s="551"/>
      <c r="I15" s="551"/>
      <c r="J15" s="551"/>
      <c r="K15" s="551"/>
      <c r="L15" s="551"/>
      <c r="M15" s="551"/>
      <c r="N15" s="551"/>
      <c r="O15" s="551"/>
      <c r="P15" s="551"/>
      <c r="Q15" s="551"/>
      <c r="R15" s="551"/>
      <c r="S15" s="551"/>
      <c r="T15" s="551"/>
      <c r="U15" s="551"/>
      <c r="V15" s="552"/>
    </row>
    <row r="16" spans="1:22" ht="52.5" customHeight="1" x14ac:dyDescent="0.2">
      <c r="A16" s="7" t="s">
        <v>465</v>
      </c>
      <c r="B16" s="550" t="s">
        <v>581</v>
      </c>
      <c r="C16" s="551"/>
      <c r="D16" s="551"/>
      <c r="E16" s="551"/>
      <c r="F16" s="551"/>
      <c r="G16" s="551"/>
      <c r="H16" s="551"/>
      <c r="I16" s="551"/>
      <c r="J16" s="551"/>
      <c r="K16" s="551"/>
      <c r="L16" s="551"/>
      <c r="M16" s="551"/>
      <c r="N16" s="551"/>
      <c r="O16" s="551"/>
      <c r="P16" s="551"/>
      <c r="Q16" s="551"/>
      <c r="R16" s="551"/>
      <c r="S16" s="551"/>
      <c r="T16" s="551"/>
      <c r="U16" s="551"/>
      <c r="V16" s="552"/>
    </row>
    <row r="17" spans="1:22" ht="66" customHeight="1" x14ac:dyDescent="0.2">
      <c r="A17" s="7" t="s">
        <v>466</v>
      </c>
      <c r="B17" s="550" t="s">
        <v>582</v>
      </c>
      <c r="C17" s="551"/>
      <c r="D17" s="551"/>
      <c r="E17" s="551"/>
      <c r="F17" s="551"/>
      <c r="G17" s="551"/>
      <c r="H17" s="551"/>
      <c r="I17" s="551"/>
      <c r="J17" s="551"/>
      <c r="K17" s="551"/>
      <c r="L17" s="551"/>
      <c r="M17" s="551"/>
      <c r="N17" s="551"/>
      <c r="O17" s="551"/>
      <c r="P17" s="551"/>
      <c r="Q17" s="551"/>
      <c r="R17" s="551"/>
      <c r="S17" s="551"/>
      <c r="T17" s="551"/>
      <c r="U17" s="551"/>
      <c r="V17" s="552"/>
    </row>
    <row r="18" spans="1:22" ht="63" customHeight="1" x14ac:dyDescent="0.2">
      <c r="A18" s="7" t="s">
        <v>467</v>
      </c>
      <c r="B18" s="550" t="s">
        <v>584</v>
      </c>
      <c r="C18" s="551"/>
      <c r="D18" s="551"/>
      <c r="E18" s="551"/>
      <c r="F18" s="551"/>
      <c r="G18" s="551"/>
      <c r="H18" s="551"/>
      <c r="I18" s="551"/>
      <c r="J18" s="551"/>
      <c r="K18" s="551"/>
      <c r="L18" s="551"/>
      <c r="M18" s="551"/>
      <c r="N18" s="551"/>
      <c r="O18" s="551"/>
      <c r="P18" s="551"/>
      <c r="Q18" s="551"/>
      <c r="R18" s="551"/>
      <c r="S18" s="551"/>
      <c r="T18" s="551"/>
      <c r="U18" s="551"/>
      <c r="V18" s="552"/>
    </row>
    <row r="19" spans="1:22" ht="67.5" customHeight="1" x14ac:dyDescent="0.2">
      <c r="A19" s="7" t="s">
        <v>468</v>
      </c>
      <c r="B19" s="550" t="s">
        <v>586</v>
      </c>
      <c r="C19" s="551"/>
      <c r="D19" s="551"/>
      <c r="E19" s="551"/>
      <c r="F19" s="551"/>
      <c r="G19" s="551"/>
      <c r="H19" s="551"/>
      <c r="I19" s="551"/>
      <c r="J19" s="551"/>
      <c r="K19" s="551"/>
      <c r="L19" s="551"/>
      <c r="M19" s="551"/>
      <c r="N19" s="551"/>
      <c r="O19" s="551"/>
      <c r="P19" s="551"/>
      <c r="Q19" s="551"/>
      <c r="R19" s="551"/>
      <c r="S19" s="551"/>
      <c r="T19" s="551"/>
      <c r="U19" s="551"/>
      <c r="V19" s="552"/>
    </row>
    <row r="20" spans="1:22" ht="61.5" customHeight="1" x14ac:dyDescent="0.2">
      <c r="A20" s="7" t="s">
        <v>469</v>
      </c>
      <c r="B20" s="550" t="s">
        <v>589</v>
      </c>
      <c r="C20" s="551"/>
      <c r="D20" s="551"/>
      <c r="E20" s="551"/>
      <c r="F20" s="551"/>
      <c r="G20" s="551"/>
      <c r="H20" s="551"/>
      <c r="I20" s="551"/>
      <c r="J20" s="551"/>
      <c r="K20" s="551"/>
      <c r="L20" s="551"/>
      <c r="M20" s="551"/>
      <c r="N20" s="551"/>
      <c r="O20" s="551"/>
      <c r="P20" s="551"/>
      <c r="Q20" s="551"/>
      <c r="R20" s="551"/>
      <c r="S20" s="551"/>
      <c r="T20" s="551"/>
      <c r="U20" s="551"/>
      <c r="V20" s="552"/>
    </row>
    <row r="21" spans="1:22" ht="73.5" customHeight="1" x14ac:dyDescent="0.2">
      <c r="A21" s="7" t="s">
        <v>470</v>
      </c>
      <c r="B21" s="550" t="s">
        <v>590</v>
      </c>
      <c r="C21" s="551"/>
      <c r="D21" s="551"/>
      <c r="E21" s="551"/>
      <c r="F21" s="551"/>
      <c r="G21" s="551"/>
      <c r="H21" s="551"/>
      <c r="I21" s="551"/>
      <c r="J21" s="551"/>
      <c r="K21" s="551"/>
      <c r="L21" s="551"/>
      <c r="M21" s="551"/>
      <c r="N21" s="551"/>
      <c r="O21" s="551"/>
      <c r="P21" s="551"/>
      <c r="Q21" s="551"/>
      <c r="R21" s="551"/>
      <c r="S21" s="551"/>
      <c r="T21" s="551"/>
      <c r="U21" s="551"/>
      <c r="V21" s="552"/>
    </row>
    <row r="22" spans="1:22" ht="59.25" customHeight="1" x14ac:dyDescent="0.2">
      <c r="A22" s="7" t="s">
        <v>471</v>
      </c>
      <c r="B22" s="550" t="s">
        <v>592</v>
      </c>
      <c r="C22" s="551"/>
      <c r="D22" s="551"/>
      <c r="E22" s="551"/>
      <c r="F22" s="551"/>
      <c r="G22" s="551"/>
      <c r="H22" s="551"/>
      <c r="I22" s="551"/>
      <c r="J22" s="551"/>
      <c r="K22" s="551"/>
      <c r="L22" s="551"/>
      <c r="M22" s="551"/>
      <c r="N22" s="551"/>
      <c r="O22" s="551"/>
      <c r="P22" s="551"/>
      <c r="Q22" s="551"/>
      <c r="R22" s="551"/>
      <c r="S22" s="551"/>
      <c r="T22" s="551"/>
      <c r="U22" s="551"/>
      <c r="V22" s="552"/>
    </row>
    <row r="23" spans="1:22" ht="68.25" customHeight="1" x14ac:dyDescent="0.2">
      <c r="A23" s="7" t="s">
        <v>472</v>
      </c>
      <c r="B23" s="550" t="s">
        <v>594</v>
      </c>
      <c r="C23" s="551"/>
      <c r="D23" s="551"/>
      <c r="E23" s="551"/>
      <c r="F23" s="551"/>
      <c r="G23" s="551"/>
      <c r="H23" s="551"/>
      <c r="I23" s="551"/>
      <c r="J23" s="551"/>
      <c r="K23" s="551"/>
      <c r="L23" s="551"/>
      <c r="M23" s="551"/>
      <c r="N23" s="551"/>
      <c r="O23" s="551"/>
      <c r="P23" s="551"/>
      <c r="Q23" s="551"/>
      <c r="R23" s="551"/>
      <c r="S23" s="551"/>
      <c r="T23" s="551"/>
      <c r="U23" s="551"/>
      <c r="V23" s="552"/>
    </row>
    <row r="24" spans="1:22" ht="54" customHeight="1" x14ac:dyDescent="0.2">
      <c r="A24" s="7" t="s">
        <v>473</v>
      </c>
      <c r="B24" s="550" t="s">
        <v>595</v>
      </c>
      <c r="C24" s="551"/>
      <c r="D24" s="551"/>
      <c r="E24" s="551"/>
      <c r="F24" s="551"/>
      <c r="G24" s="551"/>
      <c r="H24" s="551"/>
      <c r="I24" s="551"/>
      <c r="J24" s="551"/>
      <c r="K24" s="551"/>
      <c r="L24" s="551"/>
      <c r="M24" s="551"/>
      <c r="N24" s="551"/>
      <c r="O24" s="551"/>
      <c r="P24" s="551"/>
      <c r="Q24" s="551"/>
      <c r="R24" s="551"/>
      <c r="S24" s="551"/>
      <c r="T24" s="551"/>
      <c r="U24" s="551"/>
      <c r="V24" s="552"/>
    </row>
    <row r="25" spans="1:22" ht="64.5" customHeight="1" x14ac:dyDescent="0.2">
      <c r="A25" s="7" t="s">
        <v>474</v>
      </c>
      <c r="B25" s="550" t="s">
        <v>597</v>
      </c>
      <c r="C25" s="551"/>
      <c r="D25" s="551"/>
      <c r="E25" s="551"/>
      <c r="F25" s="551"/>
      <c r="G25" s="551"/>
      <c r="H25" s="551"/>
      <c r="I25" s="551"/>
      <c r="J25" s="551"/>
      <c r="K25" s="551"/>
      <c r="L25" s="551"/>
      <c r="M25" s="551"/>
      <c r="N25" s="551"/>
      <c r="O25" s="551"/>
      <c r="P25" s="551"/>
      <c r="Q25" s="551"/>
      <c r="R25" s="551"/>
      <c r="S25" s="551"/>
      <c r="T25" s="551"/>
      <c r="U25" s="551"/>
      <c r="V25" s="552"/>
    </row>
    <row r="26" spans="1:22" ht="69.75" customHeight="1" x14ac:dyDescent="0.2">
      <c r="A26" s="7" t="s">
        <v>475</v>
      </c>
      <c r="B26" s="550" t="s">
        <v>607</v>
      </c>
      <c r="C26" s="551"/>
      <c r="D26" s="551"/>
      <c r="E26" s="551"/>
      <c r="F26" s="551"/>
      <c r="G26" s="551"/>
      <c r="H26" s="551"/>
      <c r="I26" s="551"/>
      <c r="J26" s="551"/>
      <c r="K26" s="551"/>
      <c r="L26" s="551"/>
      <c r="M26" s="551"/>
      <c r="N26" s="551"/>
      <c r="O26" s="551"/>
      <c r="P26" s="551"/>
      <c r="Q26" s="551"/>
      <c r="R26" s="551"/>
      <c r="S26" s="551"/>
      <c r="T26" s="551"/>
      <c r="U26" s="551"/>
      <c r="V26" s="552"/>
    </row>
    <row r="27" spans="1:22" ht="60" customHeight="1" x14ac:dyDescent="0.2">
      <c r="A27" s="7" t="s">
        <v>476</v>
      </c>
      <c r="B27" s="550" t="s">
        <v>609</v>
      </c>
      <c r="C27" s="551"/>
      <c r="D27" s="551"/>
      <c r="E27" s="551"/>
      <c r="F27" s="551"/>
      <c r="G27" s="551"/>
      <c r="H27" s="551"/>
      <c r="I27" s="551"/>
      <c r="J27" s="551"/>
      <c r="K27" s="551"/>
      <c r="L27" s="551"/>
      <c r="M27" s="551"/>
      <c r="N27" s="551"/>
      <c r="O27" s="551"/>
      <c r="P27" s="551"/>
      <c r="Q27" s="551"/>
      <c r="R27" s="551"/>
      <c r="S27" s="551"/>
      <c r="T27" s="551"/>
      <c r="U27" s="551"/>
      <c r="V27" s="552"/>
    </row>
    <row r="28" spans="1:22" ht="62.25" customHeight="1" x14ac:dyDescent="0.2">
      <c r="A28" s="7" t="s">
        <v>477</v>
      </c>
      <c r="B28" s="550" t="s">
        <v>610</v>
      </c>
      <c r="C28" s="551"/>
      <c r="D28" s="551"/>
      <c r="E28" s="551"/>
      <c r="F28" s="551"/>
      <c r="G28" s="551"/>
      <c r="H28" s="551"/>
      <c r="I28" s="551"/>
      <c r="J28" s="551"/>
      <c r="K28" s="551"/>
      <c r="L28" s="551"/>
      <c r="M28" s="551"/>
      <c r="N28" s="551"/>
      <c r="O28" s="551"/>
      <c r="P28" s="551"/>
      <c r="Q28" s="551"/>
      <c r="R28" s="551"/>
      <c r="S28" s="551"/>
      <c r="T28" s="551"/>
      <c r="U28" s="551"/>
      <c r="V28" s="552"/>
    </row>
    <row r="29" spans="1:22" ht="54.75" customHeight="1" x14ac:dyDescent="0.2">
      <c r="A29" s="7" t="s">
        <v>478</v>
      </c>
      <c r="B29" s="550" t="s">
        <v>613</v>
      </c>
      <c r="C29" s="551"/>
      <c r="D29" s="551"/>
      <c r="E29" s="551"/>
      <c r="F29" s="551"/>
      <c r="G29" s="551"/>
      <c r="H29" s="551"/>
      <c r="I29" s="551"/>
      <c r="J29" s="551"/>
      <c r="K29" s="551"/>
      <c r="L29" s="551"/>
      <c r="M29" s="551"/>
      <c r="N29" s="551"/>
      <c r="O29" s="551"/>
      <c r="P29" s="551"/>
      <c r="Q29" s="551"/>
      <c r="R29" s="551"/>
      <c r="S29" s="551"/>
      <c r="T29" s="551"/>
      <c r="U29" s="551"/>
      <c r="V29" s="552"/>
    </row>
    <row r="30" spans="1:22" ht="54.75" customHeight="1" x14ac:dyDescent="0.2">
      <c r="A30" s="7" t="s">
        <v>479</v>
      </c>
      <c r="B30" s="550" t="s">
        <v>616</v>
      </c>
      <c r="C30" s="551"/>
      <c r="D30" s="551"/>
      <c r="E30" s="551"/>
      <c r="F30" s="551"/>
      <c r="G30" s="551"/>
      <c r="H30" s="551"/>
      <c r="I30" s="551"/>
      <c r="J30" s="551"/>
      <c r="K30" s="551"/>
      <c r="L30" s="551"/>
      <c r="M30" s="551"/>
      <c r="N30" s="551"/>
      <c r="O30" s="551"/>
      <c r="P30" s="551"/>
      <c r="Q30" s="551"/>
      <c r="R30" s="551"/>
      <c r="S30" s="551"/>
      <c r="T30" s="551"/>
      <c r="U30" s="551"/>
      <c r="V30" s="552"/>
    </row>
    <row r="31" spans="1:22" ht="62.45" customHeight="1" x14ac:dyDescent="0.2">
      <c r="A31" s="7" t="s">
        <v>480</v>
      </c>
      <c r="B31" s="550" t="s">
        <v>618</v>
      </c>
      <c r="C31" s="551"/>
      <c r="D31" s="551"/>
      <c r="E31" s="551"/>
      <c r="F31" s="551"/>
      <c r="G31" s="551"/>
      <c r="H31" s="551"/>
      <c r="I31" s="551"/>
      <c r="J31" s="551"/>
      <c r="K31" s="551"/>
      <c r="L31" s="551"/>
      <c r="M31" s="551"/>
      <c r="N31" s="551"/>
      <c r="O31" s="551"/>
      <c r="P31" s="551"/>
      <c r="Q31" s="551"/>
      <c r="R31" s="551"/>
      <c r="S31" s="551"/>
      <c r="T31" s="551"/>
      <c r="U31" s="551"/>
      <c r="V31" s="552"/>
    </row>
    <row r="32" spans="1:22" ht="65.099999999999994" customHeight="1" x14ac:dyDescent="0.2">
      <c r="A32" s="7" t="s">
        <v>481</v>
      </c>
      <c r="B32" s="550" t="s">
        <v>619</v>
      </c>
      <c r="C32" s="551"/>
      <c r="D32" s="551"/>
      <c r="E32" s="551"/>
      <c r="F32" s="551"/>
      <c r="G32" s="551"/>
      <c r="H32" s="551"/>
      <c r="I32" s="551"/>
      <c r="J32" s="551"/>
      <c r="K32" s="551"/>
      <c r="L32" s="551"/>
      <c r="M32" s="551"/>
      <c r="N32" s="551"/>
      <c r="O32" s="551"/>
      <c r="P32" s="551"/>
      <c r="Q32" s="551"/>
      <c r="R32" s="551"/>
      <c r="S32" s="551"/>
      <c r="T32" s="551"/>
      <c r="U32" s="551"/>
      <c r="V32" s="552"/>
    </row>
  </sheetData>
  <mergeCells count="32">
    <mergeCell ref="B2:V2"/>
    <mergeCell ref="B3:V3"/>
    <mergeCell ref="A1:V1"/>
    <mergeCell ref="B4:V4"/>
    <mergeCell ref="B5:V5"/>
    <mergeCell ref="B6:V6"/>
    <mergeCell ref="B7:V7"/>
    <mergeCell ref="B8:V8"/>
    <mergeCell ref="B9:V9"/>
    <mergeCell ref="B10:V10"/>
    <mergeCell ref="B11:V11"/>
    <mergeCell ref="B12:V12"/>
    <mergeCell ref="B13:V13"/>
    <mergeCell ref="B14:V14"/>
    <mergeCell ref="B15:V15"/>
    <mergeCell ref="B16:V16"/>
    <mergeCell ref="B17:V17"/>
    <mergeCell ref="B18:V18"/>
    <mergeCell ref="B19:V19"/>
    <mergeCell ref="B20:V20"/>
    <mergeCell ref="B21:V21"/>
    <mergeCell ref="B22:V22"/>
    <mergeCell ref="B23:V23"/>
    <mergeCell ref="B24:V24"/>
    <mergeCell ref="B25:V25"/>
    <mergeCell ref="B31:V31"/>
    <mergeCell ref="B32:V32"/>
    <mergeCell ref="B26:V26"/>
    <mergeCell ref="B27:V27"/>
    <mergeCell ref="B28:V28"/>
    <mergeCell ref="B29:V29"/>
    <mergeCell ref="B30:V30"/>
  </mergeCells>
  <phoneticPr fontId="24" type="noConversion"/>
  <printOptions horizontalCentered="1" verticalCentered="1"/>
  <pageMargins left="0.25" right="0.25" top="0.25" bottom="0.25" header="0.25" footer="0.25"/>
  <pageSetup scale="43"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2:CH219"/>
  <sheetViews>
    <sheetView topLeftCell="A200" workbookViewId="0">
      <selection activeCell="H32" sqref="H32"/>
    </sheetView>
  </sheetViews>
  <sheetFormatPr defaultRowHeight="12.75" x14ac:dyDescent="0.2"/>
  <cols>
    <col min="1" max="1" width="18.5703125" customWidth="1"/>
    <col min="2" max="2" width="16.28515625" customWidth="1"/>
    <col min="3" max="3" width="40.5703125" customWidth="1"/>
    <col min="4" max="4" width="49.5703125" customWidth="1"/>
    <col min="5" max="5" width="29.7109375" customWidth="1"/>
    <col min="6" max="6" width="26.7109375" customWidth="1"/>
    <col min="7" max="8" width="15.5703125" customWidth="1"/>
    <col min="9" max="9" width="28.5703125" customWidth="1"/>
  </cols>
  <sheetData>
    <row r="2" spans="1:86" s="196" customFormat="1" ht="25.5" x14ac:dyDescent="0.2">
      <c r="A2" s="347" t="s">
        <v>424</v>
      </c>
      <c r="B2" s="347" t="s">
        <v>425</v>
      </c>
      <c r="C2" s="347" t="s">
        <v>426</v>
      </c>
      <c r="D2" s="347" t="s">
        <v>427</v>
      </c>
      <c r="E2" s="347" t="s">
        <v>428</v>
      </c>
      <c r="F2" s="347" t="s">
        <v>429</v>
      </c>
      <c r="G2" s="347" t="s">
        <v>430</v>
      </c>
      <c r="H2" s="347" t="s">
        <v>431</v>
      </c>
      <c r="I2" s="239" t="s">
        <v>432</v>
      </c>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c r="AU2" s="195"/>
      <c r="AV2" s="195"/>
      <c r="AW2" s="195"/>
      <c r="AX2" s="195"/>
      <c r="AY2" s="195"/>
      <c r="AZ2" s="195"/>
      <c r="BA2" s="195"/>
      <c r="BB2" s="195"/>
      <c r="BC2" s="195"/>
      <c r="BD2" s="195"/>
      <c r="BE2" s="195"/>
      <c r="BF2" s="195"/>
      <c r="BG2" s="195"/>
      <c r="BH2" s="195"/>
      <c r="BI2" s="195"/>
      <c r="BJ2" s="195"/>
      <c r="BK2" s="195"/>
      <c r="BL2" s="195"/>
      <c r="BM2" s="195"/>
      <c r="BN2" s="195"/>
      <c r="BO2" s="195"/>
      <c r="BP2" s="195"/>
      <c r="BQ2" s="195"/>
      <c r="BR2" s="195"/>
      <c r="BS2" s="195"/>
      <c r="BT2" s="195"/>
      <c r="BU2" s="195"/>
      <c r="BV2" s="195"/>
      <c r="BW2" s="195"/>
      <c r="BX2" s="195"/>
      <c r="BY2" s="195"/>
      <c r="BZ2" s="195"/>
      <c r="CA2" s="195"/>
      <c r="CB2" s="195"/>
      <c r="CC2" s="195"/>
      <c r="CD2" s="195"/>
      <c r="CE2" s="195"/>
      <c r="CF2" s="195"/>
      <c r="CG2" s="195"/>
      <c r="CH2" s="195"/>
    </row>
    <row r="4" spans="1:86" ht="12.6" customHeight="1" x14ac:dyDescent="0.2">
      <c r="A4" s="556" t="s">
        <v>532</v>
      </c>
      <c r="B4" s="419" t="s">
        <v>395</v>
      </c>
      <c r="C4" s="556" t="s">
        <v>533</v>
      </c>
      <c r="D4" s="556" t="s">
        <v>522</v>
      </c>
      <c r="E4" s="556" t="s">
        <v>534</v>
      </c>
      <c r="F4" s="559" t="s">
        <v>442</v>
      </c>
      <c r="G4" s="559"/>
    </row>
    <row r="5" spans="1:86" x14ac:dyDescent="0.2">
      <c r="A5" s="560"/>
      <c r="B5" s="419" t="s">
        <v>396</v>
      </c>
      <c r="C5" s="560"/>
      <c r="D5" s="560"/>
      <c r="E5" s="557"/>
      <c r="F5" s="557"/>
      <c r="G5" s="557"/>
    </row>
    <row r="6" spans="1:86" x14ac:dyDescent="0.2">
      <c r="A6" s="560"/>
      <c r="B6" s="363" t="s">
        <v>402</v>
      </c>
      <c r="C6" s="560"/>
      <c r="D6" s="560"/>
      <c r="E6" s="557"/>
      <c r="F6" s="557"/>
      <c r="G6" s="557"/>
    </row>
    <row r="7" spans="1:86" x14ac:dyDescent="0.2">
      <c r="A7" s="560"/>
      <c r="B7" s="363" t="s">
        <v>400</v>
      </c>
      <c r="C7" s="560"/>
      <c r="D7" s="560"/>
      <c r="E7" s="557"/>
      <c r="F7" s="557"/>
      <c r="G7" s="557"/>
    </row>
    <row r="8" spans="1:86" x14ac:dyDescent="0.2">
      <c r="A8" s="560"/>
      <c r="B8" s="363" t="s">
        <v>401</v>
      </c>
      <c r="C8" s="560"/>
      <c r="D8" s="560"/>
      <c r="E8" s="557"/>
      <c r="F8" s="557"/>
      <c r="G8" s="557"/>
    </row>
    <row r="9" spans="1:86" x14ac:dyDescent="0.2">
      <c r="A9" s="561"/>
      <c r="B9" s="363" t="s">
        <v>403</v>
      </c>
      <c r="C9" s="561"/>
      <c r="D9" s="561"/>
      <c r="E9" s="558"/>
      <c r="F9" s="558"/>
      <c r="G9" s="558"/>
    </row>
    <row r="11" spans="1:86" ht="12.6" customHeight="1" x14ac:dyDescent="0.2">
      <c r="A11" s="556" t="s">
        <v>539</v>
      </c>
      <c r="B11" s="419" t="s">
        <v>395</v>
      </c>
      <c r="C11" s="556" t="s">
        <v>533</v>
      </c>
      <c r="D11" s="556" t="s">
        <v>522</v>
      </c>
      <c r="E11" s="556" t="s">
        <v>534</v>
      </c>
      <c r="F11" s="559" t="s">
        <v>442</v>
      </c>
      <c r="G11" s="559"/>
    </row>
    <row r="12" spans="1:86" x14ac:dyDescent="0.2">
      <c r="A12" s="560"/>
      <c r="B12" s="363" t="s">
        <v>396</v>
      </c>
      <c r="C12" s="560"/>
      <c r="D12" s="560"/>
      <c r="E12" s="557"/>
      <c r="F12" s="557"/>
      <c r="G12" s="557"/>
    </row>
    <row r="13" spans="1:86" x14ac:dyDescent="0.2">
      <c r="A13" s="560"/>
      <c r="B13" s="363" t="s">
        <v>402</v>
      </c>
      <c r="C13" s="560"/>
      <c r="D13" s="560"/>
      <c r="E13" s="557"/>
      <c r="F13" s="557"/>
      <c r="G13" s="557"/>
    </row>
    <row r="14" spans="1:86" x14ac:dyDescent="0.2">
      <c r="A14" s="560"/>
      <c r="B14" s="363" t="s">
        <v>400</v>
      </c>
      <c r="C14" s="560"/>
      <c r="D14" s="560"/>
      <c r="E14" s="557"/>
      <c r="F14" s="557"/>
      <c r="G14" s="557"/>
    </row>
    <row r="15" spans="1:86" x14ac:dyDescent="0.2">
      <c r="A15" s="560"/>
      <c r="B15" s="363" t="s">
        <v>401</v>
      </c>
      <c r="C15" s="560"/>
      <c r="D15" s="560"/>
      <c r="E15" s="557"/>
      <c r="F15" s="557"/>
      <c r="G15" s="557"/>
    </row>
    <row r="16" spans="1:86" x14ac:dyDescent="0.2">
      <c r="A16" s="561"/>
      <c r="B16" s="420" t="s">
        <v>403</v>
      </c>
      <c r="C16" s="561"/>
      <c r="D16" s="561"/>
      <c r="E16" s="558"/>
      <c r="F16" s="558"/>
      <c r="G16" s="558"/>
    </row>
    <row r="18" spans="1:7" ht="12.6" customHeight="1" x14ac:dyDescent="0.2">
      <c r="A18" s="556" t="s">
        <v>546</v>
      </c>
      <c r="B18" s="363" t="s">
        <v>395</v>
      </c>
      <c r="C18" s="556" t="s">
        <v>547</v>
      </c>
      <c r="D18" s="556" t="s">
        <v>544</v>
      </c>
      <c r="E18" s="556"/>
      <c r="F18" s="559"/>
      <c r="G18" s="559"/>
    </row>
    <row r="19" spans="1:7" x14ac:dyDescent="0.2">
      <c r="A19" s="560"/>
      <c r="B19" s="363" t="s">
        <v>396</v>
      </c>
      <c r="C19" s="560"/>
      <c r="D19" s="560"/>
      <c r="E19" s="557"/>
      <c r="F19" s="557"/>
      <c r="G19" s="557"/>
    </row>
    <row r="20" spans="1:7" x14ac:dyDescent="0.2">
      <c r="A20" s="560"/>
      <c r="B20" s="363" t="s">
        <v>402</v>
      </c>
      <c r="C20" s="560"/>
      <c r="D20" s="560"/>
      <c r="E20" s="557"/>
      <c r="F20" s="557"/>
      <c r="G20" s="557"/>
    </row>
    <row r="21" spans="1:7" x14ac:dyDescent="0.2">
      <c r="A21" s="560"/>
      <c r="B21" s="363" t="s">
        <v>400</v>
      </c>
      <c r="C21" s="560"/>
      <c r="D21" s="560"/>
      <c r="E21" s="557"/>
      <c r="F21" s="557"/>
      <c r="G21" s="557"/>
    </row>
    <row r="22" spans="1:7" x14ac:dyDescent="0.2">
      <c r="A22" s="560"/>
      <c r="B22" s="363" t="s">
        <v>401</v>
      </c>
      <c r="C22" s="560"/>
      <c r="D22" s="560"/>
      <c r="E22" s="557"/>
      <c r="F22" s="557"/>
      <c r="G22" s="557"/>
    </row>
    <row r="23" spans="1:7" x14ac:dyDescent="0.2">
      <c r="A23" s="561"/>
      <c r="B23" s="363" t="s">
        <v>403</v>
      </c>
      <c r="C23" s="561"/>
      <c r="D23" s="561"/>
      <c r="E23" s="558"/>
      <c r="F23" s="558"/>
      <c r="G23" s="558"/>
    </row>
    <row r="25" spans="1:7" ht="12.6" customHeight="1" x14ac:dyDescent="0.2">
      <c r="A25" s="556" t="s">
        <v>549</v>
      </c>
      <c r="B25" s="363" t="s">
        <v>395</v>
      </c>
      <c r="C25" s="556" t="s">
        <v>550</v>
      </c>
      <c r="D25" s="556" t="s">
        <v>550</v>
      </c>
      <c r="E25" s="556"/>
      <c r="F25" s="559"/>
      <c r="G25" s="559"/>
    </row>
    <row r="26" spans="1:7" x14ac:dyDescent="0.2">
      <c r="A26" s="560"/>
      <c r="B26" s="363" t="s">
        <v>396</v>
      </c>
      <c r="C26" s="560"/>
      <c r="D26" s="560"/>
      <c r="E26" s="557"/>
      <c r="F26" s="557"/>
      <c r="G26" s="557"/>
    </row>
    <row r="27" spans="1:7" x14ac:dyDescent="0.2">
      <c r="A27" s="560"/>
      <c r="B27" s="363" t="s">
        <v>402</v>
      </c>
      <c r="C27" s="560"/>
      <c r="D27" s="560"/>
      <c r="E27" s="557"/>
      <c r="F27" s="557"/>
      <c r="G27" s="557"/>
    </row>
    <row r="28" spans="1:7" x14ac:dyDescent="0.2">
      <c r="A28" s="560"/>
      <c r="B28" s="363" t="s">
        <v>400</v>
      </c>
      <c r="C28" s="560"/>
      <c r="D28" s="560"/>
      <c r="E28" s="557"/>
      <c r="F28" s="557"/>
      <c r="G28" s="557"/>
    </row>
    <row r="29" spans="1:7" x14ac:dyDescent="0.2">
      <c r="A29" s="560"/>
      <c r="B29" s="363" t="s">
        <v>401</v>
      </c>
      <c r="C29" s="560"/>
      <c r="D29" s="560"/>
      <c r="E29" s="557"/>
      <c r="F29" s="557"/>
      <c r="G29" s="557"/>
    </row>
    <row r="30" spans="1:7" x14ac:dyDescent="0.2">
      <c r="A30" s="561"/>
      <c r="B30" s="363" t="s">
        <v>403</v>
      </c>
      <c r="C30" s="561"/>
      <c r="D30" s="561"/>
      <c r="E30" s="558"/>
      <c r="F30" s="558"/>
      <c r="G30" s="558"/>
    </row>
    <row r="32" spans="1:7" ht="12.6" customHeight="1" x14ac:dyDescent="0.2">
      <c r="A32" s="556" t="s">
        <v>551</v>
      </c>
      <c r="B32" s="363" t="s">
        <v>395</v>
      </c>
      <c r="C32" s="556" t="s">
        <v>550</v>
      </c>
      <c r="D32" s="556" t="s">
        <v>550</v>
      </c>
      <c r="E32" s="556"/>
      <c r="F32" s="559"/>
      <c r="G32" s="559"/>
    </row>
    <row r="33" spans="1:7" x14ac:dyDescent="0.2">
      <c r="A33" s="560"/>
      <c r="B33" s="363" t="s">
        <v>396</v>
      </c>
      <c r="C33" s="560"/>
      <c r="D33" s="560"/>
      <c r="E33" s="557"/>
      <c r="F33" s="557"/>
      <c r="G33" s="557"/>
    </row>
    <row r="34" spans="1:7" x14ac:dyDescent="0.2">
      <c r="A34" s="560"/>
      <c r="B34" s="363" t="s">
        <v>402</v>
      </c>
      <c r="C34" s="560"/>
      <c r="D34" s="560"/>
      <c r="E34" s="557"/>
      <c r="F34" s="557"/>
      <c r="G34" s="557"/>
    </row>
    <row r="35" spans="1:7" x14ac:dyDescent="0.2">
      <c r="A35" s="560"/>
      <c r="B35" s="363" t="s">
        <v>400</v>
      </c>
      <c r="C35" s="560"/>
      <c r="D35" s="560"/>
      <c r="E35" s="557"/>
      <c r="F35" s="557"/>
      <c r="G35" s="557"/>
    </row>
    <row r="36" spans="1:7" x14ac:dyDescent="0.2">
      <c r="A36" s="560"/>
      <c r="B36" s="363" t="s">
        <v>401</v>
      </c>
      <c r="C36" s="560"/>
      <c r="D36" s="560"/>
      <c r="E36" s="557"/>
      <c r="F36" s="557"/>
      <c r="G36" s="557"/>
    </row>
    <row r="37" spans="1:7" x14ac:dyDescent="0.2">
      <c r="A37" s="561"/>
      <c r="B37" s="363" t="s">
        <v>403</v>
      </c>
      <c r="C37" s="561"/>
      <c r="D37" s="561"/>
      <c r="E37" s="558"/>
      <c r="F37" s="558"/>
      <c r="G37" s="558"/>
    </row>
    <row r="39" spans="1:7" ht="12.6" customHeight="1" x14ac:dyDescent="0.2">
      <c r="A39" s="556" t="s">
        <v>555</v>
      </c>
      <c r="B39" s="363" t="s">
        <v>395</v>
      </c>
      <c r="C39" s="556"/>
      <c r="D39" s="556"/>
      <c r="E39" s="556"/>
      <c r="F39" s="559"/>
      <c r="G39" s="559"/>
    </row>
    <row r="40" spans="1:7" x14ac:dyDescent="0.2">
      <c r="A40" s="560"/>
      <c r="B40" s="363" t="s">
        <v>396</v>
      </c>
      <c r="C40" s="560"/>
      <c r="D40" s="560"/>
      <c r="E40" s="557"/>
      <c r="F40" s="557"/>
      <c r="G40" s="557"/>
    </row>
    <row r="41" spans="1:7" x14ac:dyDescent="0.2">
      <c r="A41" s="560"/>
      <c r="B41" s="363" t="s">
        <v>402</v>
      </c>
      <c r="C41" s="560"/>
      <c r="D41" s="560"/>
      <c r="E41" s="557"/>
      <c r="F41" s="557"/>
      <c r="G41" s="557"/>
    </row>
    <row r="42" spans="1:7" x14ac:dyDescent="0.2">
      <c r="A42" s="560"/>
      <c r="B42" s="363" t="s">
        <v>400</v>
      </c>
      <c r="C42" s="560"/>
      <c r="D42" s="560"/>
      <c r="E42" s="557"/>
      <c r="F42" s="557"/>
      <c r="G42" s="557"/>
    </row>
    <row r="43" spans="1:7" x14ac:dyDescent="0.2">
      <c r="A43" s="560"/>
      <c r="B43" s="363" t="s">
        <v>401</v>
      </c>
      <c r="C43" s="560"/>
      <c r="D43" s="560"/>
      <c r="E43" s="557"/>
      <c r="F43" s="557"/>
      <c r="G43" s="557"/>
    </row>
    <row r="44" spans="1:7" x14ac:dyDescent="0.2">
      <c r="A44" s="561"/>
      <c r="B44" s="363" t="s">
        <v>403</v>
      </c>
      <c r="C44" s="561"/>
      <c r="D44" s="561"/>
      <c r="E44" s="558"/>
      <c r="F44" s="558"/>
      <c r="G44" s="558"/>
    </row>
    <row r="46" spans="1:7" ht="12.6" customHeight="1" x14ac:dyDescent="0.2">
      <c r="A46" s="556" t="s">
        <v>558</v>
      </c>
      <c r="B46" s="363" t="s">
        <v>395</v>
      </c>
      <c r="C46" s="556"/>
      <c r="D46" s="556"/>
      <c r="E46" s="556"/>
      <c r="F46" s="559"/>
      <c r="G46" s="559"/>
    </row>
    <row r="47" spans="1:7" x14ac:dyDescent="0.2">
      <c r="A47" s="560"/>
      <c r="B47" s="363" t="s">
        <v>396</v>
      </c>
      <c r="C47" s="560"/>
      <c r="D47" s="560"/>
      <c r="E47" s="557"/>
      <c r="F47" s="557"/>
      <c r="G47" s="557"/>
    </row>
    <row r="48" spans="1:7" x14ac:dyDescent="0.2">
      <c r="A48" s="560"/>
      <c r="B48" s="363" t="s">
        <v>402</v>
      </c>
      <c r="C48" s="560"/>
      <c r="D48" s="560"/>
      <c r="E48" s="557"/>
      <c r="F48" s="557"/>
      <c r="G48" s="557"/>
    </row>
    <row r="49" spans="1:7" x14ac:dyDescent="0.2">
      <c r="A49" s="560"/>
      <c r="B49" s="363" t="s">
        <v>400</v>
      </c>
      <c r="C49" s="560"/>
      <c r="D49" s="560"/>
      <c r="E49" s="557"/>
      <c r="F49" s="557"/>
      <c r="G49" s="557"/>
    </row>
    <row r="50" spans="1:7" x14ac:dyDescent="0.2">
      <c r="A50" s="560"/>
      <c r="B50" s="363" t="s">
        <v>401</v>
      </c>
      <c r="C50" s="560"/>
      <c r="D50" s="560"/>
      <c r="E50" s="557"/>
      <c r="F50" s="557"/>
      <c r="G50" s="557"/>
    </row>
    <row r="51" spans="1:7" x14ac:dyDescent="0.2">
      <c r="A51" s="561"/>
      <c r="B51" s="363" t="s">
        <v>403</v>
      </c>
      <c r="C51" s="561"/>
      <c r="D51" s="561"/>
      <c r="E51" s="558"/>
      <c r="F51" s="558"/>
      <c r="G51" s="558"/>
    </row>
    <row r="53" spans="1:7" ht="12.6" customHeight="1" x14ac:dyDescent="0.2">
      <c r="A53" s="556" t="s">
        <v>560</v>
      </c>
      <c r="B53" s="363" t="s">
        <v>395</v>
      </c>
      <c r="C53" s="556"/>
      <c r="D53" s="556"/>
      <c r="E53" s="556"/>
      <c r="F53" s="559"/>
      <c r="G53" s="559"/>
    </row>
    <row r="54" spans="1:7" x14ac:dyDescent="0.2">
      <c r="A54" s="560"/>
      <c r="B54" s="363" t="s">
        <v>396</v>
      </c>
      <c r="C54" s="560"/>
      <c r="D54" s="560"/>
      <c r="E54" s="557"/>
      <c r="F54" s="557"/>
      <c r="G54" s="557"/>
    </row>
    <row r="55" spans="1:7" x14ac:dyDescent="0.2">
      <c r="A55" s="560"/>
      <c r="B55" s="363" t="s">
        <v>402</v>
      </c>
      <c r="C55" s="560"/>
      <c r="D55" s="560"/>
      <c r="E55" s="557"/>
      <c r="F55" s="557"/>
      <c r="G55" s="557"/>
    </row>
    <row r="56" spans="1:7" x14ac:dyDescent="0.2">
      <c r="A56" s="560"/>
      <c r="B56" s="363" t="s">
        <v>400</v>
      </c>
      <c r="C56" s="560"/>
      <c r="D56" s="560"/>
      <c r="E56" s="557"/>
      <c r="F56" s="557"/>
      <c r="G56" s="557"/>
    </row>
    <row r="57" spans="1:7" x14ac:dyDescent="0.2">
      <c r="A57" s="560"/>
      <c r="B57" s="363" t="s">
        <v>401</v>
      </c>
      <c r="C57" s="560"/>
      <c r="D57" s="560"/>
      <c r="E57" s="557"/>
      <c r="F57" s="557"/>
      <c r="G57" s="557"/>
    </row>
    <row r="58" spans="1:7" x14ac:dyDescent="0.2">
      <c r="A58" s="561"/>
      <c r="B58" s="363" t="s">
        <v>403</v>
      </c>
      <c r="C58" s="561"/>
      <c r="D58" s="561"/>
      <c r="E58" s="558"/>
      <c r="F58" s="558"/>
      <c r="G58" s="558"/>
    </row>
    <row r="60" spans="1:7" ht="12.6" customHeight="1" x14ac:dyDescent="0.2">
      <c r="A60" s="556" t="s">
        <v>562</v>
      </c>
      <c r="B60" s="363" t="s">
        <v>395</v>
      </c>
      <c r="C60" s="556"/>
      <c r="D60" s="556"/>
      <c r="E60" s="556"/>
      <c r="F60" s="559"/>
      <c r="G60" s="559"/>
    </row>
    <row r="61" spans="1:7" x14ac:dyDescent="0.2">
      <c r="A61" s="560"/>
      <c r="B61" s="363" t="s">
        <v>396</v>
      </c>
      <c r="C61" s="560"/>
      <c r="D61" s="560"/>
      <c r="E61" s="557"/>
      <c r="F61" s="557"/>
      <c r="G61" s="557"/>
    </row>
    <row r="62" spans="1:7" x14ac:dyDescent="0.2">
      <c r="A62" s="560"/>
      <c r="B62" s="363" t="s">
        <v>402</v>
      </c>
      <c r="C62" s="560"/>
      <c r="D62" s="560"/>
      <c r="E62" s="557"/>
      <c r="F62" s="557"/>
      <c r="G62" s="557"/>
    </row>
    <row r="63" spans="1:7" x14ac:dyDescent="0.2">
      <c r="A63" s="560"/>
      <c r="B63" s="363" t="s">
        <v>400</v>
      </c>
      <c r="C63" s="560"/>
      <c r="D63" s="560"/>
      <c r="E63" s="557"/>
      <c r="F63" s="557"/>
      <c r="G63" s="557"/>
    </row>
    <row r="64" spans="1:7" x14ac:dyDescent="0.2">
      <c r="A64" s="560"/>
      <c r="B64" s="363" t="s">
        <v>401</v>
      </c>
      <c r="C64" s="560"/>
      <c r="D64" s="560"/>
      <c r="E64" s="557"/>
      <c r="F64" s="557"/>
      <c r="G64" s="557"/>
    </row>
    <row r="65" spans="1:7" x14ac:dyDescent="0.2">
      <c r="A65" s="561"/>
      <c r="B65" s="363" t="s">
        <v>403</v>
      </c>
      <c r="C65" s="561"/>
      <c r="D65" s="561"/>
      <c r="E65" s="558"/>
      <c r="F65" s="558"/>
      <c r="G65" s="558"/>
    </row>
    <row r="67" spans="1:7" x14ac:dyDescent="0.2">
      <c r="A67" s="556" t="s">
        <v>563</v>
      </c>
      <c r="B67" s="363" t="s">
        <v>395</v>
      </c>
      <c r="C67" s="556"/>
      <c r="D67" s="556"/>
      <c r="E67" s="556"/>
      <c r="F67" s="559"/>
      <c r="G67" s="559"/>
    </row>
    <row r="68" spans="1:7" x14ac:dyDescent="0.2">
      <c r="A68" s="560"/>
      <c r="B68" s="363" t="s">
        <v>396</v>
      </c>
      <c r="C68" s="560"/>
      <c r="D68" s="560"/>
      <c r="E68" s="557"/>
      <c r="F68" s="557"/>
      <c r="G68" s="557"/>
    </row>
    <row r="69" spans="1:7" x14ac:dyDescent="0.2">
      <c r="A69" s="560"/>
      <c r="B69" s="363" t="s">
        <v>402</v>
      </c>
      <c r="C69" s="560"/>
      <c r="D69" s="560"/>
      <c r="E69" s="557"/>
      <c r="F69" s="557"/>
      <c r="G69" s="557"/>
    </row>
    <row r="70" spans="1:7" x14ac:dyDescent="0.2">
      <c r="A70" s="560"/>
      <c r="B70" s="363" t="s">
        <v>400</v>
      </c>
      <c r="C70" s="560"/>
      <c r="D70" s="560"/>
      <c r="E70" s="557"/>
      <c r="F70" s="557"/>
      <c r="G70" s="557"/>
    </row>
    <row r="71" spans="1:7" x14ac:dyDescent="0.2">
      <c r="A71" s="560"/>
      <c r="B71" s="363" t="s">
        <v>401</v>
      </c>
      <c r="C71" s="560"/>
      <c r="D71" s="560"/>
      <c r="E71" s="557"/>
      <c r="F71" s="557"/>
      <c r="G71" s="557"/>
    </row>
    <row r="72" spans="1:7" x14ac:dyDescent="0.2">
      <c r="A72" s="561"/>
      <c r="B72" s="363" t="s">
        <v>403</v>
      </c>
      <c r="C72" s="561"/>
      <c r="D72" s="561"/>
      <c r="E72" s="558"/>
      <c r="F72" s="558"/>
      <c r="G72" s="558"/>
    </row>
    <row r="74" spans="1:7" x14ac:dyDescent="0.2">
      <c r="A74" s="556" t="s">
        <v>564</v>
      </c>
      <c r="B74" s="363" t="s">
        <v>395</v>
      </c>
      <c r="C74" s="556"/>
      <c r="D74" s="556"/>
      <c r="E74" s="556"/>
      <c r="F74" s="559"/>
      <c r="G74" s="559"/>
    </row>
    <row r="75" spans="1:7" x14ac:dyDescent="0.2">
      <c r="A75" s="560"/>
      <c r="B75" s="363" t="s">
        <v>396</v>
      </c>
      <c r="C75" s="560"/>
      <c r="D75" s="560"/>
      <c r="E75" s="557"/>
      <c r="F75" s="557"/>
      <c r="G75" s="557"/>
    </row>
    <row r="76" spans="1:7" x14ac:dyDescent="0.2">
      <c r="A76" s="560"/>
      <c r="B76" s="363" t="s">
        <v>402</v>
      </c>
      <c r="C76" s="560"/>
      <c r="D76" s="560"/>
      <c r="E76" s="557"/>
      <c r="F76" s="557"/>
      <c r="G76" s="557"/>
    </row>
    <row r="77" spans="1:7" x14ac:dyDescent="0.2">
      <c r="A77" s="560"/>
      <c r="B77" s="363" t="s">
        <v>400</v>
      </c>
      <c r="C77" s="560"/>
      <c r="D77" s="560"/>
      <c r="E77" s="557"/>
      <c r="F77" s="557"/>
      <c r="G77" s="557"/>
    </row>
    <row r="78" spans="1:7" x14ac:dyDescent="0.2">
      <c r="A78" s="560"/>
      <c r="B78" s="363" t="s">
        <v>401</v>
      </c>
      <c r="C78" s="560"/>
      <c r="D78" s="560"/>
      <c r="E78" s="557"/>
      <c r="F78" s="557"/>
      <c r="G78" s="557"/>
    </row>
    <row r="79" spans="1:7" x14ac:dyDescent="0.2">
      <c r="A79" s="561"/>
      <c r="B79" s="363" t="s">
        <v>403</v>
      </c>
      <c r="C79" s="561"/>
      <c r="D79" s="561"/>
      <c r="E79" s="558"/>
      <c r="F79" s="558"/>
      <c r="G79" s="558"/>
    </row>
    <row r="81" spans="1:7" x14ac:dyDescent="0.2">
      <c r="A81" s="556" t="s">
        <v>569</v>
      </c>
      <c r="B81" s="363" t="s">
        <v>395</v>
      </c>
      <c r="C81" s="556"/>
      <c r="D81" s="556"/>
      <c r="E81" s="556"/>
      <c r="F81" s="559"/>
      <c r="G81" s="559"/>
    </row>
    <row r="82" spans="1:7" x14ac:dyDescent="0.2">
      <c r="A82" s="560"/>
      <c r="B82" s="363" t="s">
        <v>396</v>
      </c>
      <c r="C82" s="560"/>
      <c r="D82" s="560"/>
      <c r="E82" s="557"/>
      <c r="F82" s="557"/>
      <c r="G82" s="557"/>
    </row>
    <row r="83" spans="1:7" x14ac:dyDescent="0.2">
      <c r="A83" s="560"/>
      <c r="B83" s="363" t="s">
        <v>402</v>
      </c>
      <c r="C83" s="560"/>
      <c r="D83" s="560"/>
      <c r="E83" s="557"/>
      <c r="F83" s="557"/>
      <c r="G83" s="557"/>
    </row>
    <row r="84" spans="1:7" x14ac:dyDescent="0.2">
      <c r="A84" s="560"/>
      <c r="B84" s="363" t="s">
        <v>400</v>
      </c>
      <c r="C84" s="560"/>
      <c r="D84" s="560"/>
      <c r="E84" s="557"/>
      <c r="F84" s="557"/>
      <c r="G84" s="557"/>
    </row>
    <row r="85" spans="1:7" x14ac:dyDescent="0.2">
      <c r="A85" s="560"/>
      <c r="B85" s="363" t="s">
        <v>401</v>
      </c>
      <c r="C85" s="560"/>
      <c r="D85" s="560"/>
      <c r="E85" s="557"/>
      <c r="F85" s="557"/>
      <c r="G85" s="557"/>
    </row>
    <row r="86" spans="1:7" x14ac:dyDescent="0.2">
      <c r="A86" s="561"/>
      <c r="B86" s="363" t="s">
        <v>403</v>
      </c>
      <c r="C86" s="561"/>
      <c r="D86" s="561"/>
      <c r="E86" s="558"/>
      <c r="F86" s="558"/>
      <c r="G86" s="558"/>
    </row>
    <row r="88" spans="1:7" x14ac:dyDescent="0.2">
      <c r="A88" s="559" t="s">
        <v>571</v>
      </c>
      <c r="B88" s="363" t="s">
        <v>395</v>
      </c>
      <c r="C88" s="559"/>
      <c r="D88" s="559"/>
      <c r="E88" s="559"/>
      <c r="F88" s="559"/>
      <c r="G88" s="559"/>
    </row>
    <row r="89" spans="1:7" x14ac:dyDescent="0.2">
      <c r="A89" s="557"/>
      <c r="B89" s="363" t="s">
        <v>396</v>
      </c>
      <c r="C89" s="557"/>
      <c r="D89" s="557"/>
      <c r="E89" s="557"/>
      <c r="F89" s="557"/>
      <c r="G89" s="557"/>
    </row>
    <row r="90" spans="1:7" x14ac:dyDescent="0.2">
      <c r="A90" s="557"/>
      <c r="B90" s="363" t="s">
        <v>402</v>
      </c>
      <c r="C90" s="557"/>
      <c r="D90" s="557"/>
      <c r="E90" s="557"/>
      <c r="F90" s="557"/>
      <c r="G90" s="557"/>
    </row>
    <row r="91" spans="1:7" x14ac:dyDescent="0.2">
      <c r="A91" s="557"/>
      <c r="B91" s="363" t="s">
        <v>400</v>
      </c>
      <c r="C91" s="557"/>
      <c r="D91" s="557"/>
      <c r="E91" s="557"/>
      <c r="F91" s="557"/>
      <c r="G91" s="557"/>
    </row>
    <row r="92" spans="1:7" x14ac:dyDescent="0.2">
      <c r="A92" s="557"/>
      <c r="B92" s="363" t="s">
        <v>401</v>
      </c>
      <c r="C92" s="557"/>
      <c r="D92" s="557"/>
      <c r="E92" s="557"/>
      <c r="F92" s="557"/>
      <c r="G92" s="557"/>
    </row>
    <row r="93" spans="1:7" x14ac:dyDescent="0.2">
      <c r="A93" s="558"/>
      <c r="B93" s="363" t="s">
        <v>403</v>
      </c>
      <c r="C93" s="558"/>
      <c r="D93" s="558"/>
      <c r="E93" s="558"/>
      <c r="F93" s="558"/>
      <c r="G93" s="558"/>
    </row>
    <row r="95" spans="1:7" x14ac:dyDescent="0.2">
      <c r="A95" s="559" t="s">
        <v>574</v>
      </c>
      <c r="B95" s="363" t="s">
        <v>395</v>
      </c>
      <c r="C95" s="559"/>
      <c r="D95" s="559"/>
      <c r="E95" s="559"/>
      <c r="F95" s="559"/>
      <c r="G95" s="559"/>
    </row>
    <row r="96" spans="1:7" x14ac:dyDescent="0.2">
      <c r="A96" s="557"/>
      <c r="B96" s="363" t="s">
        <v>396</v>
      </c>
      <c r="C96" s="557"/>
      <c r="D96" s="557"/>
      <c r="E96" s="557"/>
      <c r="F96" s="557"/>
      <c r="G96" s="557"/>
    </row>
    <row r="97" spans="1:7" x14ac:dyDescent="0.2">
      <c r="A97" s="557"/>
      <c r="B97" s="363" t="s">
        <v>402</v>
      </c>
      <c r="C97" s="557"/>
      <c r="D97" s="557"/>
      <c r="E97" s="557"/>
      <c r="F97" s="557"/>
      <c r="G97" s="557"/>
    </row>
    <row r="98" spans="1:7" x14ac:dyDescent="0.2">
      <c r="A98" s="557"/>
      <c r="B98" s="363" t="s">
        <v>400</v>
      </c>
      <c r="C98" s="557"/>
      <c r="D98" s="557"/>
      <c r="E98" s="557"/>
      <c r="F98" s="557"/>
      <c r="G98" s="557"/>
    </row>
    <row r="99" spans="1:7" x14ac:dyDescent="0.2">
      <c r="A99" s="557"/>
      <c r="B99" s="363" t="s">
        <v>401</v>
      </c>
      <c r="C99" s="557"/>
      <c r="D99" s="557"/>
      <c r="E99" s="557"/>
      <c r="F99" s="557"/>
      <c r="G99" s="557"/>
    </row>
    <row r="100" spans="1:7" x14ac:dyDescent="0.2">
      <c r="A100" s="558"/>
      <c r="B100" s="363" t="s">
        <v>403</v>
      </c>
      <c r="C100" s="558"/>
      <c r="D100" s="558"/>
      <c r="E100" s="558"/>
      <c r="F100" s="558"/>
      <c r="G100" s="558"/>
    </row>
    <row r="102" spans="1:7" x14ac:dyDescent="0.2">
      <c r="A102" s="559" t="s">
        <v>575</v>
      </c>
      <c r="B102" s="363" t="s">
        <v>395</v>
      </c>
      <c r="C102" s="559"/>
      <c r="D102" s="559"/>
      <c r="E102" s="559"/>
      <c r="F102" s="559"/>
      <c r="G102" s="559"/>
    </row>
    <row r="103" spans="1:7" x14ac:dyDescent="0.2">
      <c r="A103" s="557"/>
      <c r="B103" s="363" t="s">
        <v>396</v>
      </c>
      <c r="C103" s="557"/>
      <c r="D103" s="557"/>
      <c r="E103" s="557"/>
      <c r="F103" s="557"/>
      <c r="G103" s="557"/>
    </row>
    <row r="104" spans="1:7" x14ac:dyDescent="0.2">
      <c r="A104" s="557"/>
      <c r="B104" s="363" t="s">
        <v>402</v>
      </c>
      <c r="C104" s="557"/>
      <c r="D104" s="557"/>
      <c r="E104" s="557"/>
      <c r="F104" s="557"/>
      <c r="G104" s="557"/>
    </row>
    <row r="105" spans="1:7" x14ac:dyDescent="0.2">
      <c r="A105" s="557"/>
      <c r="B105" s="363" t="s">
        <v>400</v>
      </c>
      <c r="C105" s="557"/>
      <c r="D105" s="557"/>
      <c r="E105" s="557"/>
      <c r="F105" s="557"/>
      <c r="G105" s="557"/>
    </row>
    <row r="106" spans="1:7" x14ac:dyDescent="0.2">
      <c r="A106" s="557"/>
      <c r="B106" s="363" t="s">
        <v>401</v>
      </c>
      <c r="C106" s="557"/>
      <c r="D106" s="557"/>
      <c r="E106" s="557"/>
      <c r="F106" s="557"/>
      <c r="G106" s="557"/>
    </row>
    <row r="107" spans="1:7" x14ac:dyDescent="0.2">
      <c r="A107" s="558"/>
      <c r="B107" s="363" t="s">
        <v>403</v>
      </c>
      <c r="C107" s="558"/>
      <c r="D107" s="558"/>
      <c r="E107" s="558"/>
      <c r="F107" s="558"/>
      <c r="G107" s="558"/>
    </row>
    <row r="109" spans="1:7" x14ac:dyDescent="0.2">
      <c r="A109" s="559" t="s">
        <v>578</v>
      </c>
      <c r="B109" s="363" t="s">
        <v>395</v>
      </c>
      <c r="C109" s="559"/>
      <c r="D109" s="559"/>
      <c r="E109" s="559"/>
      <c r="F109" s="559"/>
      <c r="G109" s="559"/>
    </row>
    <row r="110" spans="1:7" x14ac:dyDescent="0.2">
      <c r="A110" s="557"/>
      <c r="B110" s="363" t="s">
        <v>396</v>
      </c>
      <c r="C110" s="557"/>
      <c r="D110" s="557"/>
      <c r="E110" s="557"/>
      <c r="F110" s="557"/>
      <c r="G110" s="557"/>
    </row>
    <row r="111" spans="1:7" x14ac:dyDescent="0.2">
      <c r="A111" s="557"/>
      <c r="B111" s="363" t="s">
        <v>402</v>
      </c>
      <c r="C111" s="557"/>
      <c r="D111" s="557"/>
      <c r="E111" s="557"/>
      <c r="F111" s="557"/>
      <c r="G111" s="557"/>
    </row>
    <row r="112" spans="1:7" x14ac:dyDescent="0.2">
      <c r="A112" s="557"/>
      <c r="B112" s="363" t="s">
        <v>400</v>
      </c>
      <c r="C112" s="557"/>
      <c r="D112" s="557"/>
      <c r="E112" s="557"/>
      <c r="F112" s="557"/>
      <c r="G112" s="557"/>
    </row>
    <row r="113" spans="1:7" x14ac:dyDescent="0.2">
      <c r="A113" s="557"/>
      <c r="B113" s="363" t="s">
        <v>401</v>
      </c>
      <c r="C113" s="557"/>
      <c r="D113" s="557"/>
      <c r="E113" s="557"/>
      <c r="F113" s="557"/>
      <c r="G113" s="557"/>
    </row>
    <row r="114" spans="1:7" x14ac:dyDescent="0.2">
      <c r="A114" s="558"/>
      <c r="B114" s="363" t="s">
        <v>403</v>
      </c>
      <c r="C114" s="558"/>
      <c r="D114" s="558"/>
      <c r="E114" s="558"/>
      <c r="F114" s="558"/>
      <c r="G114" s="558"/>
    </row>
    <row r="116" spans="1:7" x14ac:dyDescent="0.2">
      <c r="A116" s="559" t="s">
        <v>583</v>
      </c>
      <c r="B116" s="363" t="s">
        <v>395</v>
      </c>
      <c r="C116" s="559"/>
      <c r="D116" s="559"/>
      <c r="E116" s="559"/>
      <c r="F116" s="559"/>
      <c r="G116" s="559"/>
    </row>
    <row r="117" spans="1:7" x14ac:dyDescent="0.2">
      <c r="A117" s="557"/>
      <c r="B117" s="363" t="s">
        <v>396</v>
      </c>
      <c r="C117" s="557"/>
      <c r="D117" s="557"/>
      <c r="E117" s="557"/>
      <c r="F117" s="557"/>
      <c r="G117" s="557"/>
    </row>
    <row r="118" spans="1:7" x14ac:dyDescent="0.2">
      <c r="A118" s="557"/>
      <c r="B118" s="363" t="s">
        <v>402</v>
      </c>
      <c r="C118" s="557"/>
      <c r="D118" s="557"/>
      <c r="E118" s="557"/>
      <c r="F118" s="557"/>
      <c r="G118" s="557"/>
    </row>
    <row r="119" spans="1:7" x14ac:dyDescent="0.2">
      <c r="A119" s="557"/>
      <c r="B119" s="363" t="s">
        <v>400</v>
      </c>
      <c r="C119" s="557"/>
      <c r="D119" s="557"/>
      <c r="E119" s="557"/>
      <c r="F119" s="557"/>
      <c r="G119" s="557"/>
    </row>
    <row r="120" spans="1:7" x14ac:dyDescent="0.2">
      <c r="A120" s="557"/>
      <c r="B120" s="363" t="s">
        <v>401</v>
      </c>
      <c r="C120" s="557"/>
      <c r="D120" s="557"/>
      <c r="E120" s="557"/>
      <c r="F120" s="557"/>
      <c r="G120" s="557"/>
    </row>
    <row r="121" spans="1:7" x14ac:dyDescent="0.2">
      <c r="A121" s="558"/>
      <c r="B121" s="363" t="s">
        <v>403</v>
      </c>
      <c r="C121" s="558"/>
      <c r="D121" s="558"/>
      <c r="E121" s="558"/>
      <c r="F121" s="558"/>
      <c r="G121" s="558"/>
    </row>
    <row r="123" spans="1:7" x14ac:dyDescent="0.2">
      <c r="A123" s="559" t="s">
        <v>585</v>
      </c>
      <c r="B123" s="363" t="s">
        <v>395</v>
      </c>
      <c r="C123" s="559"/>
      <c r="D123" s="559"/>
      <c r="E123" s="559"/>
      <c r="F123" s="559"/>
      <c r="G123" s="559"/>
    </row>
    <row r="124" spans="1:7" x14ac:dyDescent="0.2">
      <c r="A124" s="557"/>
      <c r="B124" s="363" t="s">
        <v>396</v>
      </c>
      <c r="C124" s="557"/>
      <c r="D124" s="557"/>
      <c r="E124" s="557"/>
      <c r="F124" s="557"/>
      <c r="G124" s="557"/>
    </row>
    <row r="125" spans="1:7" x14ac:dyDescent="0.2">
      <c r="A125" s="557"/>
      <c r="B125" s="363" t="s">
        <v>402</v>
      </c>
      <c r="C125" s="557"/>
      <c r="D125" s="557"/>
      <c r="E125" s="557"/>
      <c r="F125" s="557"/>
      <c r="G125" s="557"/>
    </row>
    <row r="126" spans="1:7" x14ac:dyDescent="0.2">
      <c r="A126" s="557"/>
      <c r="B126" s="363" t="s">
        <v>400</v>
      </c>
      <c r="C126" s="557"/>
      <c r="D126" s="557"/>
      <c r="E126" s="557"/>
      <c r="F126" s="557"/>
      <c r="G126" s="557"/>
    </row>
    <row r="127" spans="1:7" x14ac:dyDescent="0.2">
      <c r="A127" s="557"/>
      <c r="B127" s="363" t="s">
        <v>401</v>
      </c>
      <c r="C127" s="557"/>
      <c r="D127" s="557"/>
      <c r="E127" s="557"/>
      <c r="F127" s="557"/>
      <c r="G127" s="557"/>
    </row>
    <row r="128" spans="1:7" x14ac:dyDescent="0.2">
      <c r="A128" s="558"/>
      <c r="B128" s="363" t="s">
        <v>403</v>
      </c>
      <c r="C128" s="558"/>
      <c r="D128" s="558"/>
      <c r="E128" s="558"/>
      <c r="F128" s="558"/>
      <c r="G128" s="558"/>
    </row>
    <row r="130" spans="1:7" x14ac:dyDescent="0.2">
      <c r="A130" s="559" t="s">
        <v>587</v>
      </c>
      <c r="B130" s="363" t="s">
        <v>395</v>
      </c>
      <c r="C130" s="559"/>
      <c r="D130" s="559"/>
      <c r="E130" s="559"/>
      <c r="F130" s="559"/>
      <c r="G130" s="559"/>
    </row>
    <row r="131" spans="1:7" x14ac:dyDescent="0.2">
      <c r="A131" s="557"/>
      <c r="B131" s="363" t="s">
        <v>396</v>
      </c>
      <c r="C131" s="557"/>
      <c r="D131" s="557"/>
      <c r="E131" s="557"/>
      <c r="F131" s="557"/>
      <c r="G131" s="557"/>
    </row>
    <row r="132" spans="1:7" x14ac:dyDescent="0.2">
      <c r="A132" s="557"/>
      <c r="B132" s="363" t="s">
        <v>402</v>
      </c>
      <c r="C132" s="557"/>
      <c r="D132" s="557"/>
      <c r="E132" s="557"/>
      <c r="F132" s="557"/>
      <c r="G132" s="557"/>
    </row>
    <row r="133" spans="1:7" x14ac:dyDescent="0.2">
      <c r="A133" s="557"/>
      <c r="B133" s="363" t="s">
        <v>400</v>
      </c>
      <c r="C133" s="557"/>
      <c r="D133" s="557"/>
      <c r="E133" s="557"/>
      <c r="F133" s="557"/>
      <c r="G133" s="557"/>
    </row>
    <row r="134" spans="1:7" x14ac:dyDescent="0.2">
      <c r="A134" s="557"/>
      <c r="B134" s="363" t="s">
        <v>401</v>
      </c>
      <c r="C134" s="557"/>
      <c r="D134" s="557"/>
      <c r="E134" s="557"/>
      <c r="F134" s="557"/>
      <c r="G134" s="557"/>
    </row>
    <row r="135" spans="1:7" x14ac:dyDescent="0.2">
      <c r="A135" s="558"/>
      <c r="B135" s="363" t="s">
        <v>403</v>
      </c>
      <c r="C135" s="558"/>
      <c r="D135" s="558"/>
      <c r="E135" s="558"/>
      <c r="F135" s="558"/>
      <c r="G135" s="558"/>
    </row>
    <row r="137" spans="1:7" x14ac:dyDescent="0.2">
      <c r="A137" s="559" t="s">
        <v>588</v>
      </c>
      <c r="B137" s="363" t="s">
        <v>395</v>
      </c>
      <c r="C137" s="559"/>
      <c r="D137" s="559"/>
      <c r="E137" s="559"/>
      <c r="F137" s="559"/>
      <c r="G137" s="559"/>
    </row>
    <row r="138" spans="1:7" x14ac:dyDescent="0.2">
      <c r="A138" s="557"/>
      <c r="B138" s="363" t="s">
        <v>396</v>
      </c>
      <c r="C138" s="557"/>
      <c r="D138" s="557"/>
      <c r="E138" s="557"/>
      <c r="F138" s="557"/>
      <c r="G138" s="557"/>
    </row>
    <row r="139" spans="1:7" x14ac:dyDescent="0.2">
      <c r="A139" s="557"/>
      <c r="B139" s="363" t="s">
        <v>402</v>
      </c>
      <c r="C139" s="557"/>
      <c r="D139" s="557"/>
      <c r="E139" s="557"/>
      <c r="F139" s="557"/>
      <c r="G139" s="557"/>
    </row>
    <row r="140" spans="1:7" x14ac:dyDescent="0.2">
      <c r="A140" s="557"/>
      <c r="B140" s="363" t="s">
        <v>400</v>
      </c>
      <c r="C140" s="557"/>
      <c r="D140" s="557"/>
      <c r="E140" s="557"/>
      <c r="F140" s="557"/>
      <c r="G140" s="557"/>
    </row>
    <row r="141" spans="1:7" x14ac:dyDescent="0.2">
      <c r="A141" s="557"/>
      <c r="B141" s="363" t="s">
        <v>401</v>
      </c>
      <c r="C141" s="557"/>
      <c r="D141" s="557"/>
      <c r="E141" s="557"/>
      <c r="F141" s="557"/>
      <c r="G141" s="557"/>
    </row>
    <row r="142" spans="1:7" x14ac:dyDescent="0.2">
      <c r="A142" s="558"/>
      <c r="B142" s="363" t="s">
        <v>403</v>
      </c>
      <c r="C142" s="558"/>
      <c r="D142" s="558"/>
      <c r="E142" s="558"/>
      <c r="F142" s="558"/>
      <c r="G142" s="558"/>
    </row>
    <row r="144" spans="1:7" x14ac:dyDescent="0.2">
      <c r="A144" s="559" t="s">
        <v>591</v>
      </c>
      <c r="B144" s="363" t="s">
        <v>395</v>
      </c>
      <c r="C144" s="559"/>
      <c r="D144" s="559"/>
      <c r="E144" s="559"/>
      <c r="F144" s="559"/>
      <c r="G144" s="559"/>
    </row>
    <row r="145" spans="1:7" x14ac:dyDescent="0.2">
      <c r="A145" s="557"/>
      <c r="B145" s="363" t="s">
        <v>396</v>
      </c>
      <c r="C145" s="557"/>
      <c r="D145" s="557"/>
      <c r="E145" s="557"/>
      <c r="F145" s="557"/>
      <c r="G145" s="557"/>
    </row>
    <row r="146" spans="1:7" x14ac:dyDescent="0.2">
      <c r="A146" s="557"/>
      <c r="B146" s="363" t="s">
        <v>402</v>
      </c>
      <c r="C146" s="557"/>
      <c r="D146" s="557"/>
      <c r="E146" s="557"/>
      <c r="F146" s="557"/>
      <c r="G146" s="557"/>
    </row>
    <row r="147" spans="1:7" x14ac:dyDescent="0.2">
      <c r="A147" s="557"/>
      <c r="B147" s="363" t="s">
        <v>400</v>
      </c>
      <c r="C147" s="557"/>
      <c r="D147" s="557"/>
      <c r="E147" s="557"/>
      <c r="F147" s="557"/>
      <c r="G147" s="557"/>
    </row>
    <row r="148" spans="1:7" x14ac:dyDescent="0.2">
      <c r="A148" s="557"/>
      <c r="B148" s="363" t="s">
        <v>401</v>
      </c>
      <c r="C148" s="557"/>
      <c r="D148" s="557"/>
      <c r="E148" s="557"/>
      <c r="F148" s="557"/>
      <c r="G148" s="557"/>
    </row>
    <row r="149" spans="1:7" x14ac:dyDescent="0.2">
      <c r="A149" s="558"/>
      <c r="B149" s="363" t="s">
        <v>403</v>
      </c>
      <c r="C149" s="558"/>
      <c r="D149" s="558"/>
      <c r="E149" s="558"/>
      <c r="F149" s="558"/>
      <c r="G149" s="558"/>
    </row>
    <row r="151" spans="1:7" x14ac:dyDescent="0.2">
      <c r="A151" s="556" t="s">
        <v>593</v>
      </c>
      <c r="B151" s="363" t="s">
        <v>395</v>
      </c>
      <c r="C151" s="559"/>
      <c r="D151" s="559"/>
      <c r="E151" s="559"/>
      <c r="F151" s="559"/>
      <c r="G151" s="559"/>
    </row>
    <row r="152" spans="1:7" x14ac:dyDescent="0.2">
      <c r="A152" s="557"/>
      <c r="B152" s="363" t="s">
        <v>396</v>
      </c>
      <c r="C152" s="557"/>
      <c r="D152" s="557"/>
      <c r="E152" s="557"/>
      <c r="F152" s="557"/>
      <c r="G152" s="557"/>
    </row>
    <row r="153" spans="1:7" x14ac:dyDescent="0.2">
      <c r="A153" s="557"/>
      <c r="B153" s="363" t="s">
        <v>402</v>
      </c>
      <c r="C153" s="557"/>
      <c r="D153" s="557"/>
      <c r="E153" s="557"/>
      <c r="F153" s="557"/>
      <c r="G153" s="557"/>
    </row>
    <row r="154" spans="1:7" x14ac:dyDescent="0.2">
      <c r="A154" s="557"/>
      <c r="B154" s="363" t="s">
        <v>400</v>
      </c>
      <c r="C154" s="557"/>
      <c r="D154" s="557"/>
      <c r="E154" s="557"/>
      <c r="F154" s="557"/>
      <c r="G154" s="557"/>
    </row>
    <row r="155" spans="1:7" x14ac:dyDescent="0.2">
      <c r="A155" s="557"/>
      <c r="B155" s="363" t="s">
        <v>401</v>
      </c>
      <c r="C155" s="557"/>
      <c r="D155" s="557"/>
      <c r="E155" s="557"/>
      <c r="F155" s="557"/>
      <c r="G155" s="557"/>
    </row>
    <row r="156" spans="1:7" x14ac:dyDescent="0.2">
      <c r="A156" s="558"/>
      <c r="B156" s="363" t="s">
        <v>403</v>
      </c>
      <c r="C156" s="558"/>
      <c r="D156" s="558"/>
      <c r="E156" s="558"/>
      <c r="F156" s="558"/>
      <c r="G156" s="558"/>
    </row>
    <row r="158" spans="1:7" x14ac:dyDescent="0.2">
      <c r="A158" s="556" t="s">
        <v>596</v>
      </c>
      <c r="B158" s="363" t="s">
        <v>395</v>
      </c>
      <c r="C158" s="559"/>
      <c r="D158" s="559"/>
      <c r="E158" s="559"/>
      <c r="F158" s="559"/>
      <c r="G158" s="559"/>
    </row>
    <row r="159" spans="1:7" x14ac:dyDescent="0.2">
      <c r="A159" s="557"/>
      <c r="B159" s="363" t="s">
        <v>396</v>
      </c>
      <c r="C159" s="557"/>
      <c r="D159" s="557"/>
      <c r="E159" s="557"/>
      <c r="F159" s="557"/>
      <c r="G159" s="557"/>
    </row>
    <row r="160" spans="1:7" x14ac:dyDescent="0.2">
      <c r="A160" s="557"/>
      <c r="B160" s="363" t="s">
        <v>402</v>
      </c>
      <c r="C160" s="557"/>
      <c r="D160" s="557"/>
      <c r="E160" s="557"/>
      <c r="F160" s="557"/>
      <c r="G160" s="557"/>
    </row>
    <row r="161" spans="1:7" x14ac:dyDescent="0.2">
      <c r="A161" s="557"/>
      <c r="B161" s="363" t="s">
        <v>400</v>
      </c>
      <c r="C161" s="557"/>
      <c r="D161" s="557"/>
      <c r="E161" s="557"/>
      <c r="F161" s="557"/>
      <c r="G161" s="557"/>
    </row>
    <row r="162" spans="1:7" x14ac:dyDescent="0.2">
      <c r="A162" s="557"/>
      <c r="B162" s="363" t="s">
        <v>401</v>
      </c>
      <c r="C162" s="557"/>
      <c r="D162" s="557"/>
      <c r="E162" s="557"/>
      <c r="F162" s="557"/>
      <c r="G162" s="557"/>
    </row>
    <row r="163" spans="1:7" x14ac:dyDescent="0.2">
      <c r="A163" s="558"/>
      <c r="B163" s="363" t="s">
        <v>403</v>
      </c>
      <c r="C163" s="558"/>
      <c r="D163" s="558"/>
      <c r="E163" s="558"/>
      <c r="F163" s="558"/>
      <c r="G163" s="558"/>
    </row>
    <row r="165" spans="1:7" x14ac:dyDescent="0.2">
      <c r="A165" s="556" t="s">
        <v>598</v>
      </c>
      <c r="B165" s="363" t="s">
        <v>395</v>
      </c>
      <c r="C165" s="559"/>
      <c r="D165" s="559"/>
      <c r="E165" s="559"/>
      <c r="F165" s="559"/>
      <c r="G165" s="559"/>
    </row>
    <row r="166" spans="1:7" x14ac:dyDescent="0.2">
      <c r="A166" s="557"/>
      <c r="B166" s="363" t="s">
        <v>396</v>
      </c>
      <c r="C166" s="557"/>
      <c r="D166" s="557"/>
      <c r="E166" s="557"/>
      <c r="F166" s="557"/>
      <c r="G166" s="557"/>
    </row>
    <row r="167" spans="1:7" x14ac:dyDescent="0.2">
      <c r="A167" s="557"/>
      <c r="B167" s="363" t="s">
        <v>402</v>
      </c>
      <c r="C167" s="557"/>
      <c r="D167" s="557"/>
      <c r="E167" s="557"/>
      <c r="F167" s="557"/>
      <c r="G167" s="557"/>
    </row>
    <row r="168" spans="1:7" x14ac:dyDescent="0.2">
      <c r="A168" s="557"/>
      <c r="B168" s="363" t="s">
        <v>400</v>
      </c>
      <c r="C168" s="557"/>
      <c r="D168" s="557"/>
      <c r="E168" s="557"/>
      <c r="F168" s="557"/>
      <c r="G168" s="557"/>
    </row>
    <row r="169" spans="1:7" x14ac:dyDescent="0.2">
      <c r="A169" s="557"/>
      <c r="B169" s="363" t="s">
        <v>401</v>
      </c>
      <c r="C169" s="557"/>
      <c r="D169" s="557"/>
      <c r="E169" s="557"/>
      <c r="F169" s="557"/>
      <c r="G169" s="557"/>
    </row>
    <row r="170" spans="1:7" x14ac:dyDescent="0.2">
      <c r="A170" s="558"/>
      <c r="B170" s="363" t="s">
        <v>403</v>
      </c>
      <c r="C170" s="558"/>
      <c r="D170" s="558"/>
      <c r="E170" s="558"/>
      <c r="F170" s="558"/>
      <c r="G170" s="558"/>
    </row>
    <row r="172" spans="1:7" x14ac:dyDescent="0.2">
      <c r="A172" s="556" t="s">
        <v>604</v>
      </c>
      <c r="B172" s="363" t="s">
        <v>395</v>
      </c>
      <c r="C172" s="559" t="s">
        <v>606</v>
      </c>
      <c r="D172" s="559" t="s">
        <v>605</v>
      </c>
      <c r="E172" s="559"/>
      <c r="F172" s="559"/>
      <c r="G172" s="559"/>
    </row>
    <row r="173" spans="1:7" x14ac:dyDescent="0.2">
      <c r="A173" s="557"/>
      <c r="B173" s="363" t="s">
        <v>396</v>
      </c>
      <c r="C173" s="557"/>
      <c r="D173" s="557"/>
      <c r="E173" s="557"/>
      <c r="F173" s="557"/>
      <c r="G173" s="557"/>
    </row>
    <row r="174" spans="1:7" x14ac:dyDescent="0.2">
      <c r="A174" s="557"/>
      <c r="B174" s="363" t="s">
        <v>402</v>
      </c>
      <c r="C174" s="557"/>
      <c r="D174" s="557"/>
      <c r="E174" s="557"/>
      <c r="F174" s="557"/>
      <c r="G174" s="557"/>
    </row>
    <row r="175" spans="1:7" x14ac:dyDescent="0.2">
      <c r="A175" s="557"/>
      <c r="B175" s="363" t="s">
        <v>400</v>
      </c>
      <c r="C175" s="557"/>
      <c r="D175" s="557"/>
      <c r="E175" s="557"/>
      <c r="F175" s="557"/>
      <c r="G175" s="557"/>
    </row>
    <row r="176" spans="1:7" x14ac:dyDescent="0.2">
      <c r="A176" s="557"/>
      <c r="B176" s="363" t="s">
        <v>401</v>
      </c>
      <c r="C176" s="557"/>
      <c r="D176" s="557"/>
      <c r="E176" s="557"/>
      <c r="F176" s="557"/>
      <c r="G176" s="557"/>
    </row>
    <row r="177" spans="1:7" x14ac:dyDescent="0.2">
      <c r="A177" s="558"/>
      <c r="B177" s="363" t="s">
        <v>403</v>
      </c>
      <c r="C177" s="558"/>
      <c r="D177" s="558"/>
      <c r="E177" s="558"/>
      <c r="F177" s="558"/>
      <c r="G177" s="558"/>
    </row>
    <row r="179" spans="1:7" x14ac:dyDescent="0.2">
      <c r="A179" s="556" t="s">
        <v>608</v>
      </c>
      <c r="B179" s="363" t="s">
        <v>395</v>
      </c>
      <c r="C179" s="559"/>
      <c r="D179" s="559"/>
      <c r="E179" s="559"/>
      <c r="F179" s="559"/>
      <c r="G179" s="559"/>
    </row>
    <row r="180" spans="1:7" x14ac:dyDescent="0.2">
      <c r="A180" s="557"/>
      <c r="B180" s="363" t="s">
        <v>396</v>
      </c>
      <c r="C180" s="557"/>
      <c r="D180" s="557"/>
      <c r="E180" s="557"/>
      <c r="F180" s="557"/>
      <c r="G180" s="557"/>
    </row>
    <row r="181" spans="1:7" x14ac:dyDescent="0.2">
      <c r="A181" s="557"/>
      <c r="B181" s="363" t="s">
        <v>402</v>
      </c>
      <c r="C181" s="557"/>
      <c r="D181" s="557"/>
      <c r="E181" s="557"/>
      <c r="F181" s="557"/>
      <c r="G181" s="557"/>
    </row>
    <row r="182" spans="1:7" x14ac:dyDescent="0.2">
      <c r="A182" s="557"/>
      <c r="B182" s="363" t="s">
        <v>400</v>
      </c>
      <c r="C182" s="557"/>
      <c r="D182" s="557"/>
      <c r="E182" s="557"/>
      <c r="F182" s="557"/>
      <c r="G182" s="557"/>
    </row>
    <row r="183" spans="1:7" x14ac:dyDescent="0.2">
      <c r="A183" s="557"/>
      <c r="B183" s="363" t="s">
        <v>401</v>
      </c>
      <c r="C183" s="557"/>
      <c r="D183" s="557"/>
      <c r="E183" s="557"/>
      <c r="F183" s="557"/>
      <c r="G183" s="557"/>
    </row>
    <row r="184" spans="1:7" x14ac:dyDescent="0.2">
      <c r="A184" s="558"/>
      <c r="B184" s="363" t="s">
        <v>403</v>
      </c>
      <c r="C184" s="558"/>
      <c r="D184" s="558"/>
      <c r="E184" s="558"/>
      <c r="F184" s="558"/>
      <c r="G184" s="558"/>
    </row>
    <row r="186" spans="1:7" x14ac:dyDescent="0.2">
      <c r="A186" s="556" t="s">
        <v>611</v>
      </c>
      <c r="B186" s="363" t="s">
        <v>395</v>
      </c>
      <c r="C186" s="559"/>
      <c r="D186" s="559"/>
      <c r="E186" s="559"/>
      <c r="F186" s="559"/>
      <c r="G186" s="559"/>
    </row>
    <row r="187" spans="1:7" x14ac:dyDescent="0.2">
      <c r="A187" s="557"/>
      <c r="B187" s="363" t="s">
        <v>396</v>
      </c>
      <c r="C187" s="557"/>
      <c r="D187" s="557"/>
      <c r="E187" s="557"/>
      <c r="F187" s="557"/>
      <c r="G187" s="557"/>
    </row>
    <row r="188" spans="1:7" x14ac:dyDescent="0.2">
      <c r="A188" s="557"/>
      <c r="B188" s="363" t="s">
        <v>402</v>
      </c>
      <c r="C188" s="557"/>
      <c r="D188" s="557"/>
      <c r="E188" s="557"/>
      <c r="F188" s="557"/>
      <c r="G188" s="557"/>
    </row>
    <row r="189" spans="1:7" x14ac:dyDescent="0.2">
      <c r="A189" s="557"/>
      <c r="B189" s="363" t="s">
        <v>400</v>
      </c>
      <c r="C189" s="557"/>
      <c r="D189" s="557"/>
      <c r="E189" s="557"/>
      <c r="F189" s="557"/>
      <c r="G189" s="557"/>
    </row>
    <row r="190" spans="1:7" x14ac:dyDescent="0.2">
      <c r="A190" s="557"/>
      <c r="B190" s="363" t="s">
        <v>401</v>
      </c>
      <c r="C190" s="557"/>
      <c r="D190" s="557"/>
      <c r="E190" s="557"/>
      <c r="F190" s="557"/>
      <c r="G190" s="557"/>
    </row>
    <row r="191" spans="1:7" x14ac:dyDescent="0.2">
      <c r="A191" s="558"/>
      <c r="B191" s="363" t="s">
        <v>403</v>
      </c>
      <c r="C191" s="558"/>
      <c r="D191" s="558"/>
      <c r="E191" s="558"/>
      <c r="F191" s="558"/>
      <c r="G191" s="558"/>
    </row>
    <row r="193" spans="1:7" x14ac:dyDescent="0.2">
      <c r="A193" s="556" t="s">
        <v>612</v>
      </c>
      <c r="B193" s="363" t="s">
        <v>395</v>
      </c>
      <c r="C193" s="559"/>
      <c r="D193" s="559"/>
      <c r="E193" s="559"/>
      <c r="F193" s="559"/>
      <c r="G193" s="559"/>
    </row>
    <row r="194" spans="1:7" x14ac:dyDescent="0.2">
      <c r="A194" s="557"/>
      <c r="B194" s="363" t="s">
        <v>396</v>
      </c>
      <c r="C194" s="557"/>
      <c r="D194" s="557"/>
      <c r="E194" s="557"/>
      <c r="F194" s="557"/>
      <c r="G194" s="557"/>
    </row>
    <row r="195" spans="1:7" x14ac:dyDescent="0.2">
      <c r="A195" s="557"/>
      <c r="B195" s="363" t="s">
        <v>402</v>
      </c>
      <c r="C195" s="557"/>
      <c r="D195" s="557"/>
      <c r="E195" s="557"/>
      <c r="F195" s="557"/>
      <c r="G195" s="557"/>
    </row>
    <row r="196" spans="1:7" x14ac:dyDescent="0.2">
      <c r="A196" s="557"/>
      <c r="B196" s="363" t="s">
        <v>400</v>
      </c>
      <c r="C196" s="557"/>
      <c r="D196" s="557"/>
      <c r="E196" s="557"/>
      <c r="F196" s="557"/>
      <c r="G196" s="557"/>
    </row>
    <row r="197" spans="1:7" x14ac:dyDescent="0.2">
      <c r="A197" s="557"/>
      <c r="B197" s="363" t="s">
        <v>401</v>
      </c>
      <c r="C197" s="557"/>
      <c r="D197" s="557"/>
      <c r="E197" s="557"/>
      <c r="F197" s="557"/>
      <c r="G197" s="557"/>
    </row>
    <row r="198" spans="1:7" x14ac:dyDescent="0.2">
      <c r="A198" s="558"/>
      <c r="B198" s="363" t="s">
        <v>403</v>
      </c>
      <c r="C198" s="558"/>
      <c r="D198" s="558"/>
      <c r="E198" s="558"/>
      <c r="F198" s="558"/>
      <c r="G198" s="558"/>
    </row>
    <row r="200" spans="1:7" x14ac:dyDescent="0.2">
      <c r="A200" s="556" t="s">
        <v>615</v>
      </c>
      <c r="B200" s="363" t="s">
        <v>395</v>
      </c>
      <c r="C200" s="559"/>
      <c r="D200" s="559"/>
      <c r="E200" s="559"/>
      <c r="F200" s="559"/>
      <c r="G200" s="559"/>
    </row>
    <row r="201" spans="1:7" x14ac:dyDescent="0.2">
      <c r="A201" s="557"/>
      <c r="B201" s="363" t="s">
        <v>396</v>
      </c>
      <c r="C201" s="557"/>
      <c r="D201" s="557"/>
      <c r="E201" s="557"/>
      <c r="F201" s="557"/>
      <c r="G201" s="557"/>
    </row>
    <row r="202" spans="1:7" x14ac:dyDescent="0.2">
      <c r="A202" s="557"/>
      <c r="B202" s="363" t="s">
        <v>402</v>
      </c>
      <c r="C202" s="557"/>
      <c r="D202" s="557"/>
      <c r="E202" s="557"/>
      <c r="F202" s="557"/>
      <c r="G202" s="557"/>
    </row>
    <row r="203" spans="1:7" x14ac:dyDescent="0.2">
      <c r="A203" s="557"/>
      <c r="B203" s="363" t="s">
        <v>400</v>
      </c>
      <c r="C203" s="557"/>
      <c r="D203" s="557"/>
      <c r="E203" s="557"/>
      <c r="F203" s="557"/>
      <c r="G203" s="557"/>
    </row>
    <row r="204" spans="1:7" x14ac:dyDescent="0.2">
      <c r="A204" s="557"/>
      <c r="B204" s="363" t="s">
        <v>401</v>
      </c>
      <c r="C204" s="557"/>
      <c r="D204" s="557"/>
      <c r="E204" s="557"/>
      <c r="F204" s="557"/>
      <c r="G204" s="557"/>
    </row>
    <row r="205" spans="1:7" x14ac:dyDescent="0.2">
      <c r="A205" s="558"/>
      <c r="B205" s="363" t="s">
        <v>403</v>
      </c>
      <c r="C205" s="558"/>
      <c r="D205" s="558"/>
      <c r="E205" s="558"/>
      <c r="F205" s="558"/>
      <c r="G205" s="558"/>
    </row>
    <row r="207" spans="1:7" x14ac:dyDescent="0.2">
      <c r="A207" s="556" t="s">
        <v>617</v>
      </c>
      <c r="B207" s="363" t="s">
        <v>395</v>
      </c>
      <c r="C207" s="559"/>
      <c r="D207" s="559"/>
      <c r="E207" s="559"/>
      <c r="F207" s="559"/>
      <c r="G207" s="559"/>
    </row>
    <row r="208" spans="1:7" x14ac:dyDescent="0.2">
      <c r="A208" s="557"/>
      <c r="B208" s="363" t="s">
        <v>396</v>
      </c>
      <c r="C208" s="557"/>
      <c r="D208" s="557"/>
      <c r="E208" s="557"/>
      <c r="F208" s="557"/>
      <c r="G208" s="557"/>
    </row>
    <row r="209" spans="1:7" x14ac:dyDescent="0.2">
      <c r="A209" s="557"/>
      <c r="B209" s="363" t="s">
        <v>402</v>
      </c>
      <c r="C209" s="557"/>
      <c r="D209" s="557"/>
      <c r="E209" s="557"/>
      <c r="F209" s="557"/>
      <c r="G209" s="557"/>
    </row>
    <row r="210" spans="1:7" x14ac:dyDescent="0.2">
      <c r="A210" s="557"/>
      <c r="B210" s="363" t="s">
        <v>400</v>
      </c>
      <c r="C210" s="557"/>
      <c r="D210" s="557"/>
      <c r="E210" s="557"/>
      <c r="F210" s="557"/>
      <c r="G210" s="557"/>
    </row>
    <row r="211" spans="1:7" x14ac:dyDescent="0.2">
      <c r="A211" s="557"/>
      <c r="B211" s="363" t="s">
        <v>401</v>
      </c>
      <c r="C211" s="557"/>
      <c r="D211" s="557"/>
      <c r="E211" s="557"/>
      <c r="F211" s="557"/>
      <c r="G211" s="557"/>
    </row>
    <row r="212" spans="1:7" x14ac:dyDescent="0.2">
      <c r="A212" s="558"/>
      <c r="B212" s="363" t="s">
        <v>403</v>
      </c>
      <c r="C212" s="558"/>
      <c r="D212" s="558"/>
      <c r="E212" s="558"/>
      <c r="F212" s="558"/>
      <c r="G212" s="558"/>
    </row>
    <row r="214" spans="1:7" x14ac:dyDescent="0.2">
      <c r="A214" s="556" t="s">
        <v>620</v>
      </c>
      <c r="B214" s="363" t="s">
        <v>395</v>
      </c>
      <c r="C214" s="559"/>
      <c r="D214" s="559"/>
      <c r="E214" s="559"/>
      <c r="F214" s="559"/>
      <c r="G214" s="559"/>
    </row>
    <row r="215" spans="1:7" x14ac:dyDescent="0.2">
      <c r="A215" s="557"/>
      <c r="B215" s="363" t="s">
        <v>396</v>
      </c>
      <c r="C215" s="557"/>
      <c r="D215" s="557"/>
      <c r="E215" s="557"/>
      <c r="F215" s="557"/>
      <c r="G215" s="557"/>
    </row>
    <row r="216" spans="1:7" x14ac:dyDescent="0.2">
      <c r="A216" s="557"/>
      <c r="B216" s="363" t="s">
        <v>402</v>
      </c>
      <c r="C216" s="557"/>
      <c r="D216" s="557"/>
      <c r="E216" s="557"/>
      <c r="F216" s="557"/>
      <c r="G216" s="557"/>
    </row>
    <row r="217" spans="1:7" x14ac:dyDescent="0.2">
      <c r="A217" s="557"/>
      <c r="B217" s="363" t="s">
        <v>400</v>
      </c>
      <c r="C217" s="557"/>
      <c r="D217" s="557"/>
      <c r="E217" s="557"/>
      <c r="F217" s="557"/>
      <c r="G217" s="557"/>
    </row>
    <row r="218" spans="1:7" x14ac:dyDescent="0.2">
      <c r="A218" s="557"/>
      <c r="B218" s="363" t="s">
        <v>401</v>
      </c>
      <c r="C218" s="557"/>
      <c r="D218" s="557"/>
      <c r="E218" s="557"/>
      <c r="F218" s="557"/>
      <c r="G218" s="557"/>
    </row>
    <row r="219" spans="1:7" x14ac:dyDescent="0.2">
      <c r="A219" s="558"/>
      <c r="B219" s="363" t="s">
        <v>403</v>
      </c>
      <c r="C219" s="558"/>
      <c r="D219" s="558"/>
      <c r="E219" s="558"/>
      <c r="F219" s="558"/>
      <c r="G219" s="558"/>
    </row>
  </sheetData>
  <mergeCells count="186">
    <mergeCell ref="G60:G65"/>
    <mergeCell ref="A60:A65"/>
    <mergeCell ref="C60:C65"/>
    <mergeCell ref="D60:D65"/>
    <mergeCell ref="E60:E65"/>
    <mergeCell ref="F60:F65"/>
    <mergeCell ref="G81:G86"/>
    <mergeCell ref="A81:A86"/>
    <mergeCell ref="C81:C86"/>
    <mergeCell ref="D81:D86"/>
    <mergeCell ref="E81:E86"/>
    <mergeCell ref="F81:F86"/>
    <mergeCell ref="G74:G79"/>
    <mergeCell ref="A74:A79"/>
    <mergeCell ref="C74:C79"/>
    <mergeCell ref="D74:D79"/>
    <mergeCell ref="E74:E79"/>
    <mergeCell ref="F74:F79"/>
    <mergeCell ref="G67:G72"/>
    <mergeCell ref="A67:A72"/>
    <mergeCell ref="C67:C72"/>
    <mergeCell ref="D67:D72"/>
    <mergeCell ref="E67:E72"/>
    <mergeCell ref="F67:F72"/>
    <mergeCell ref="G4:G9"/>
    <mergeCell ref="A4:A9"/>
    <mergeCell ref="C4:C9"/>
    <mergeCell ref="D4:D9"/>
    <mergeCell ref="E4:E9"/>
    <mergeCell ref="F4:F9"/>
    <mergeCell ref="G11:G16"/>
    <mergeCell ref="A11:A16"/>
    <mergeCell ref="C11:C16"/>
    <mergeCell ref="D11:D16"/>
    <mergeCell ref="E11:E16"/>
    <mergeCell ref="F11:F16"/>
    <mergeCell ref="G39:G44"/>
    <mergeCell ref="A39:A44"/>
    <mergeCell ref="C39:C44"/>
    <mergeCell ref="D39:D44"/>
    <mergeCell ref="E39:E44"/>
    <mergeCell ref="F39:F44"/>
    <mergeCell ref="G18:G23"/>
    <mergeCell ref="A18:A23"/>
    <mergeCell ref="C18:C23"/>
    <mergeCell ref="D18:D23"/>
    <mergeCell ref="E18:E23"/>
    <mergeCell ref="F18:F23"/>
    <mergeCell ref="G25:G30"/>
    <mergeCell ref="A25:A30"/>
    <mergeCell ref="C25:C30"/>
    <mergeCell ref="D25:D30"/>
    <mergeCell ref="E25:E30"/>
    <mergeCell ref="F25:F30"/>
    <mergeCell ref="G32:G37"/>
    <mergeCell ref="A32:A37"/>
    <mergeCell ref="C32:C37"/>
    <mergeCell ref="D32:D37"/>
    <mergeCell ref="E32:E37"/>
    <mergeCell ref="F32:F37"/>
    <mergeCell ref="G53:G58"/>
    <mergeCell ref="A53:A58"/>
    <mergeCell ref="C53:C58"/>
    <mergeCell ref="D53:D58"/>
    <mergeCell ref="E53:E58"/>
    <mergeCell ref="F53:F58"/>
    <mergeCell ref="G46:G51"/>
    <mergeCell ref="A46:A51"/>
    <mergeCell ref="C46:C51"/>
    <mergeCell ref="D46:D51"/>
    <mergeCell ref="E46:E51"/>
    <mergeCell ref="F46:F51"/>
    <mergeCell ref="G88:G93"/>
    <mergeCell ref="A95:A100"/>
    <mergeCell ref="C95:C100"/>
    <mergeCell ref="D95:D100"/>
    <mergeCell ref="E95:E100"/>
    <mergeCell ref="F95:F100"/>
    <mergeCell ref="G95:G100"/>
    <mergeCell ref="A88:A93"/>
    <mergeCell ref="C88:C93"/>
    <mergeCell ref="D88:D93"/>
    <mergeCell ref="E88:E93"/>
    <mergeCell ref="F88:F93"/>
    <mergeCell ref="G102:G107"/>
    <mergeCell ref="A102:A107"/>
    <mergeCell ref="C102:C107"/>
    <mergeCell ref="D102:D107"/>
    <mergeCell ref="E102:E107"/>
    <mergeCell ref="F102:F107"/>
    <mergeCell ref="G109:G114"/>
    <mergeCell ref="A109:A114"/>
    <mergeCell ref="C109:C114"/>
    <mergeCell ref="D109:D114"/>
    <mergeCell ref="E109:E114"/>
    <mergeCell ref="F109:F114"/>
    <mergeCell ref="A123:A128"/>
    <mergeCell ref="C123:C128"/>
    <mergeCell ref="D123:D128"/>
    <mergeCell ref="E123:E128"/>
    <mergeCell ref="F123:F128"/>
    <mergeCell ref="G123:G128"/>
    <mergeCell ref="G116:G121"/>
    <mergeCell ref="A116:A121"/>
    <mergeCell ref="C116:C121"/>
    <mergeCell ref="D116:D121"/>
    <mergeCell ref="E116:E121"/>
    <mergeCell ref="F116:F121"/>
    <mergeCell ref="A137:A142"/>
    <mergeCell ref="C137:C142"/>
    <mergeCell ref="D137:D142"/>
    <mergeCell ref="E137:E142"/>
    <mergeCell ref="F137:F142"/>
    <mergeCell ref="G137:G142"/>
    <mergeCell ref="A130:A135"/>
    <mergeCell ref="C130:C135"/>
    <mergeCell ref="D130:D135"/>
    <mergeCell ref="E130:E135"/>
    <mergeCell ref="F130:F135"/>
    <mergeCell ref="G130:G135"/>
    <mergeCell ref="A158:A163"/>
    <mergeCell ref="C158:C163"/>
    <mergeCell ref="D158:D163"/>
    <mergeCell ref="E158:E163"/>
    <mergeCell ref="F158:F163"/>
    <mergeCell ref="G158:G163"/>
    <mergeCell ref="A144:A149"/>
    <mergeCell ref="C144:C149"/>
    <mergeCell ref="D144:D149"/>
    <mergeCell ref="E144:E149"/>
    <mergeCell ref="F144:F149"/>
    <mergeCell ref="G144:G149"/>
    <mergeCell ref="A151:A156"/>
    <mergeCell ref="C151:C156"/>
    <mergeCell ref="D151:D156"/>
    <mergeCell ref="E151:E156"/>
    <mergeCell ref="F151:F156"/>
    <mergeCell ref="G151:G156"/>
    <mergeCell ref="A186:A191"/>
    <mergeCell ref="C186:C191"/>
    <mergeCell ref="D186:D191"/>
    <mergeCell ref="E186:E191"/>
    <mergeCell ref="F186:F191"/>
    <mergeCell ref="G186:G191"/>
    <mergeCell ref="A165:A170"/>
    <mergeCell ref="C165:C170"/>
    <mergeCell ref="D165:D170"/>
    <mergeCell ref="E165:E170"/>
    <mergeCell ref="F165:F170"/>
    <mergeCell ref="G165:G170"/>
    <mergeCell ref="A172:A177"/>
    <mergeCell ref="C172:C177"/>
    <mergeCell ref="D172:D177"/>
    <mergeCell ref="E172:E177"/>
    <mergeCell ref="F172:F177"/>
    <mergeCell ref="G172:G177"/>
    <mergeCell ref="A179:A184"/>
    <mergeCell ref="C179:C184"/>
    <mergeCell ref="D179:D184"/>
    <mergeCell ref="E179:E184"/>
    <mergeCell ref="F179:F184"/>
    <mergeCell ref="G179:G184"/>
    <mergeCell ref="A200:A205"/>
    <mergeCell ref="C200:C205"/>
    <mergeCell ref="D200:D205"/>
    <mergeCell ref="E200:E205"/>
    <mergeCell ref="F200:F205"/>
    <mergeCell ref="G200:G205"/>
    <mergeCell ref="A193:A198"/>
    <mergeCell ref="C193:C198"/>
    <mergeCell ref="D193:D198"/>
    <mergeCell ref="E193:E198"/>
    <mergeCell ref="F193:F198"/>
    <mergeCell ref="G193:G198"/>
    <mergeCell ref="A214:A219"/>
    <mergeCell ref="C214:C219"/>
    <mergeCell ref="D214:D219"/>
    <mergeCell ref="E214:E219"/>
    <mergeCell ref="F214:F219"/>
    <mergeCell ref="G214:G219"/>
    <mergeCell ref="A207:A212"/>
    <mergeCell ref="C207:C212"/>
    <mergeCell ref="D207:D212"/>
    <mergeCell ref="E207:E212"/>
    <mergeCell ref="F207:F212"/>
    <mergeCell ref="G207:G212"/>
  </mergeCells>
  <phoneticPr fontId="24"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63F6-472F-479D-930E-6344CF3CC417}">
  <sheetPr codeName="Sheet13"/>
  <dimension ref="B2:I14"/>
  <sheetViews>
    <sheetView workbookViewId="0">
      <selection activeCell="H32" sqref="H32"/>
    </sheetView>
  </sheetViews>
  <sheetFormatPr defaultRowHeight="12.75" x14ac:dyDescent="0.2"/>
  <cols>
    <col min="2" max="2" width="31.28515625" customWidth="1"/>
    <col min="3" max="5" width="24" customWidth="1"/>
    <col min="6" max="6" width="23.85546875" customWidth="1"/>
    <col min="7" max="7" width="18.42578125" customWidth="1"/>
    <col min="8" max="8" width="23.7109375" bestFit="1" customWidth="1"/>
    <col min="9" max="9" width="20.7109375" bestFit="1" customWidth="1"/>
  </cols>
  <sheetData>
    <row r="2" spans="2:9" ht="18" x14ac:dyDescent="0.25">
      <c r="B2" s="356" t="s">
        <v>433</v>
      </c>
      <c r="C2" s="357" t="s">
        <v>434</v>
      </c>
      <c r="D2" s="357" t="s">
        <v>435</v>
      </c>
      <c r="E2" s="357" t="s">
        <v>443</v>
      </c>
      <c r="F2" s="357" t="s">
        <v>508</v>
      </c>
    </row>
    <row r="3" spans="2:9" x14ac:dyDescent="0.2">
      <c r="B3" s="358" t="s">
        <v>436</v>
      </c>
      <c r="C3" s="362" t="s">
        <v>483</v>
      </c>
      <c r="D3" s="359" t="s">
        <v>437</v>
      </c>
      <c r="E3" s="362" t="s">
        <v>483</v>
      </c>
      <c r="F3" s="362">
        <f>MAX(STATION!C5:AG5)</f>
        <v>2.904188</v>
      </c>
    </row>
    <row r="4" spans="2:9" ht="13.5" thickBot="1" x14ac:dyDescent="0.25">
      <c r="B4" s="358" t="s">
        <v>438</v>
      </c>
      <c r="C4" s="364" t="s">
        <v>507</v>
      </c>
      <c r="D4" s="359" t="s">
        <v>439</v>
      </c>
      <c r="E4" s="393" t="s">
        <v>451</v>
      </c>
      <c r="F4" s="413">
        <f>MIN(STATION!C21:AG21)</f>
        <v>6.6187175210420266</v>
      </c>
    </row>
    <row r="5" spans="2:9" x14ac:dyDescent="0.2">
      <c r="B5" s="358" t="s">
        <v>446</v>
      </c>
      <c r="C5" s="360" t="s">
        <v>444</v>
      </c>
      <c r="D5" s="359" t="s">
        <v>440</v>
      </c>
      <c r="E5" s="360" t="s">
        <v>444</v>
      </c>
      <c r="F5" s="360">
        <f>MIN(STATION!C58:AG58)</f>
        <v>2.4017925038950563</v>
      </c>
    </row>
    <row r="6" spans="2:9" x14ac:dyDescent="0.2">
      <c r="B6" s="358" t="s">
        <v>441</v>
      </c>
      <c r="C6" s="361" t="s">
        <v>445</v>
      </c>
      <c r="D6" s="359"/>
      <c r="E6" s="361" t="s">
        <v>445</v>
      </c>
      <c r="F6" s="361">
        <f>MIN(STATION!C57:AG57)</f>
        <v>5933</v>
      </c>
    </row>
    <row r="7" spans="2:9" x14ac:dyDescent="0.2">
      <c r="B7" s="355"/>
      <c r="C7" s="355"/>
      <c r="D7" s="355"/>
      <c r="E7" s="355"/>
    </row>
    <row r="10" spans="2:9" ht="13.5" thickBot="1" x14ac:dyDescent="0.25"/>
    <row r="11" spans="2:9" ht="18" x14ac:dyDescent="0.25">
      <c r="B11" s="562" t="s">
        <v>434</v>
      </c>
      <c r="C11" s="563"/>
      <c r="D11" s="564" t="s">
        <v>435</v>
      </c>
      <c r="E11" s="565"/>
      <c r="F11" s="566" t="s">
        <v>448</v>
      </c>
      <c r="G11" s="567"/>
      <c r="H11" s="568" t="s">
        <v>509</v>
      </c>
      <c r="I11" s="569"/>
    </row>
    <row r="12" spans="2:9" x14ac:dyDescent="0.2">
      <c r="B12" s="383" t="s">
        <v>436</v>
      </c>
      <c r="C12" s="384" t="s">
        <v>438</v>
      </c>
      <c r="D12" s="383" t="s">
        <v>436</v>
      </c>
      <c r="E12" s="384" t="s">
        <v>438</v>
      </c>
      <c r="F12" s="383" t="s">
        <v>436</v>
      </c>
      <c r="G12" s="384" t="s">
        <v>438</v>
      </c>
      <c r="H12" s="383" t="s">
        <v>436</v>
      </c>
      <c r="I12" s="384" t="s">
        <v>438</v>
      </c>
    </row>
    <row r="13" spans="2:9" ht="13.5" thickBot="1" x14ac:dyDescent="0.25">
      <c r="B13" s="385" t="s">
        <v>482</v>
      </c>
      <c r="C13" s="386">
        <v>6.56</v>
      </c>
      <c r="D13" s="385" t="s">
        <v>449</v>
      </c>
      <c r="E13" s="386">
        <v>6.91</v>
      </c>
      <c r="F13" s="392" t="s">
        <v>483</v>
      </c>
      <c r="G13" s="386">
        <v>6.56</v>
      </c>
      <c r="H13" s="392" t="s">
        <v>579</v>
      </c>
      <c r="I13" s="414" t="s">
        <v>580</v>
      </c>
    </row>
    <row r="14" spans="2:9" ht="13.5" thickBot="1" x14ac:dyDescent="0.25">
      <c r="B14" s="415">
        <v>2879</v>
      </c>
      <c r="C14" s="387" t="s">
        <v>451</v>
      </c>
      <c r="D14" s="385">
        <v>2.7130000000000001</v>
      </c>
      <c r="E14" s="387" t="s">
        <v>450</v>
      </c>
      <c r="F14" s="385">
        <v>2.879</v>
      </c>
      <c r="G14" s="388" t="s">
        <v>451</v>
      </c>
      <c r="H14" s="385"/>
      <c r="I14" s="386"/>
    </row>
  </sheetData>
  <mergeCells count="4">
    <mergeCell ref="B11:C11"/>
    <mergeCell ref="D11:E11"/>
    <mergeCell ref="F11:G11"/>
    <mergeCell ref="H11:I11"/>
  </mergeCells>
  <phoneticPr fontId="68"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DX106"/>
  <sheetViews>
    <sheetView zoomScale="90" zoomScaleNormal="90" workbookViewId="0">
      <pane xSplit="2" ySplit="1" topLeftCell="V32" activePane="bottomRight" state="frozen"/>
      <selection pane="topRight" activeCell="C1" sqref="C1"/>
      <selection pane="bottomLeft" activeCell="A2" sqref="A2"/>
      <selection pane="bottomRight" activeCell="AE82" sqref="AE82"/>
    </sheetView>
  </sheetViews>
  <sheetFormatPr defaultRowHeight="12.75" x14ac:dyDescent="0.2"/>
  <cols>
    <col min="1" max="1" width="34.85546875" customWidth="1"/>
    <col min="2" max="2" width="10.140625" customWidth="1"/>
    <col min="3" max="3" width="11.140625" bestFit="1" customWidth="1"/>
    <col min="4" max="4" width="10.42578125" customWidth="1"/>
    <col min="5" max="20" width="10.7109375" customWidth="1"/>
    <col min="21" max="21" width="10.7109375" style="5" customWidth="1"/>
    <col min="22" max="22" width="10.85546875" style="5" customWidth="1"/>
    <col min="23" max="32" width="10.7109375" customWidth="1"/>
    <col min="33" max="33" width="10" customWidth="1"/>
    <col min="34" max="34" width="14.28515625" customWidth="1"/>
    <col min="35" max="35" width="7.7109375" customWidth="1"/>
  </cols>
  <sheetData>
    <row r="1" spans="1:34" ht="17.100000000000001" customHeight="1" x14ac:dyDescent="0.2">
      <c r="A1" s="64">
        <v>45413</v>
      </c>
      <c r="B1" s="442" t="s">
        <v>490</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row>
    <row r="2" spans="1:34" s="30" customFormat="1" ht="15.6" customHeight="1" x14ac:dyDescent="0.2">
      <c r="A2" s="459" t="s">
        <v>0</v>
      </c>
      <c r="B2" s="460"/>
      <c r="C2" s="65">
        <v>1</v>
      </c>
      <c r="D2" s="65">
        <v>2</v>
      </c>
      <c r="E2" s="65">
        <v>3</v>
      </c>
      <c r="F2" s="65">
        <v>4</v>
      </c>
      <c r="G2" s="65">
        <v>5</v>
      </c>
      <c r="H2" s="65">
        <v>6</v>
      </c>
      <c r="I2" s="65">
        <v>7</v>
      </c>
      <c r="J2" s="65">
        <v>8</v>
      </c>
      <c r="K2" s="65">
        <v>9</v>
      </c>
      <c r="L2" s="65">
        <v>10</v>
      </c>
      <c r="M2" s="65">
        <v>11</v>
      </c>
      <c r="N2" s="65">
        <v>12</v>
      </c>
      <c r="O2" s="65">
        <v>13</v>
      </c>
      <c r="P2" s="65">
        <v>14</v>
      </c>
      <c r="Q2" s="65">
        <v>15</v>
      </c>
      <c r="R2" s="65">
        <v>16</v>
      </c>
      <c r="S2" s="65">
        <v>17</v>
      </c>
      <c r="T2" s="65">
        <v>18</v>
      </c>
      <c r="U2" s="65">
        <v>19</v>
      </c>
      <c r="V2" s="65">
        <v>20</v>
      </c>
      <c r="W2" s="65">
        <v>21</v>
      </c>
      <c r="X2" s="65">
        <v>22</v>
      </c>
      <c r="Y2" s="65">
        <v>23</v>
      </c>
      <c r="Z2" s="65">
        <v>24</v>
      </c>
      <c r="AA2" s="65">
        <v>25</v>
      </c>
      <c r="AB2" s="65">
        <v>26</v>
      </c>
      <c r="AC2" s="65">
        <v>27</v>
      </c>
      <c r="AD2" s="65">
        <v>28</v>
      </c>
      <c r="AE2" s="65">
        <v>29</v>
      </c>
      <c r="AF2" s="65">
        <v>30</v>
      </c>
      <c r="AG2" s="65">
        <v>31</v>
      </c>
    </row>
    <row r="3" spans="1:34" ht="18" customHeight="1" x14ac:dyDescent="0.2">
      <c r="A3" s="198" t="s">
        <v>56</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row>
    <row r="4" spans="1:34" ht="21" customHeight="1" x14ac:dyDescent="0.2">
      <c r="A4" s="461" t="s">
        <v>57</v>
      </c>
      <c r="B4" s="462"/>
      <c r="C4" s="444"/>
      <c r="D4" s="445"/>
      <c r="E4" s="445"/>
      <c r="F4" s="445"/>
      <c r="G4" s="445"/>
      <c r="H4" s="445"/>
      <c r="I4" s="445"/>
      <c r="J4" s="445"/>
      <c r="K4" s="445"/>
      <c r="L4" s="445"/>
      <c r="M4" s="445"/>
      <c r="N4" s="445"/>
      <c r="O4" s="445"/>
      <c r="P4" s="445"/>
      <c r="Q4" s="445"/>
      <c r="R4" s="445"/>
      <c r="S4" s="445"/>
      <c r="T4" s="445"/>
      <c r="U4" s="445"/>
      <c r="V4" s="445"/>
      <c r="W4" s="445"/>
      <c r="X4" s="445"/>
      <c r="Y4" s="445"/>
      <c r="Z4" s="445"/>
      <c r="AA4" s="445"/>
      <c r="AB4" s="445"/>
      <c r="AC4" s="445"/>
      <c r="AD4" s="445"/>
      <c r="AE4" s="445"/>
      <c r="AF4" s="445"/>
      <c r="AG4" s="445"/>
    </row>
    <row r="5" spans="1:34" ht="20.45" customHeight="1" x14ac:dyDescent="0.2">
      <c r="A5" s="9" t="s">
        <v>3</v>
      </c>
      <c r="B5" s="16"/>
      <c r="C5" s="436" t="s">
        <v>516</v>
      </c>
      <c r="D5" s="437"/>
      <c r="E5" s="437"/>
      <c r="F5" s="437"/>
      <c r="G5" s="437"/>
      <c r="H5" s="437"/>
      <c r="I5" s="437"/>
      <c r="J5" s="437"/>
      <c r="K5" s="437"/>
      <c r="L5" s="437"/>
      <c r="M5" s="437"/>
      <c r="N5" s="437"/>
      <c r="O5" s="437"/>
      <c r="P5" s="437"/>
      <c r="Q5" s="437"/>
      <c r="R5" s="437"/>
      <c r="S5" s="437"/>
      <c r="T5" s="437"/>
      <c r="U5" s="437"/>
      <c r="V5" s="437"/>
      <c r="W5" s="437"/>
      <c r="X5" s="437"/>
      <c r="Y5" s="437"/>
      <c r="Z5" s="437"/>
      <c r="AA5" s="437"/>
      <c r="AB5" s="437"/>
      <c r="AC5" s="437"/>
      <c r="AD5" s="437"/>
      <c r="AE5" s="437"/>
      <c r="AF5" s="437"/>
      <c r="AG5" s="437"/>
    </row>
    <row r="6" spans="1:34" ht="30" customHeight="1" x14ac:dyDescent="0.2">
      <c r="A6" s="2" t="s">
        <v>58</v>
      </c>
      <c r="B6" s="36" t="s">
        <v>5</v>
      </c>
      <c r="C6" s="326">
        <v>0.90859547541523467</v>
      </c>
      <c r="D6" s="326">
        <v>0.9038905557967869</v>
      </c>
      <c r="E6" s="326">
        <v>0.94921999565783777</v>
      </c>
      <c r="F6" s="326">
        <v>0.95811368262852392</v>
      </c>
      <c r="G6" s="326">
        <v>0.87149779598393562</v>
      </c>
      <c r="H6" s="326">
        <v>0.96069152380952383</v>
      </c>
      <c r="I6" s="326">
        <v>1.0288471221570066</v>
      </c>
      <c r="J6" s="326">
        <v>1.0287935268022181</v>
      </c>
      <c r="K6" s="326">
        <v>0.99721156069802719</v>
      </c>
      <c r="L6" s="326">
        <v>1.055580227838828</v>
      </c>
      <c r="M6" s="326">
        <v>1.0514422551649147</v>
      </c>
      <c r="N6" s="326">
        <v>1.0667917058823526</v>
      </c>
      <c r="O6" s="326">
        <v>1.079212164877035</v>
      </c>
      <c r="P6" s="328">
        <v>1.0848744881118884</v>
      </c>
      <c r="Q6" s="328">
        <v>1.0909540532687652</v>
      </c>
      <c r="R6" s="328">
        <v>1.075040764255911</v>
      </c>
      <c r="S6" s="328">
        <v>1.0481854150407945</v>
      </c>
      <c r="T6" s="328">
        <v>1.0606194723494191</v>
      </c>
      <c r="U6" s="328">
        <v>1.0577020191285866</v>
      </c>
      <c r="V6" s="328">
        <v>1.0655763379091869</v>
      </c>
      <c r="W6" s="328">
        <v>1.0904448668977471</v>
      </c>
      <c r="X6" s="328">
        <v>1.0817865597484277</v>
      </c>
      <c r="Y6" s="328">
        <v>1.0750573954802258</v>
      </c>
      <c r="Z6" s="328">
        <v>1.0665925201260065</v>
      </c>
      <c r="AA6" s="328">
        <v>1.10473037579307</v>
      </c>
      <c r="AB6" s="328">
        <v>1.054324224397863</v>
      </c>
      <c r="AC6" s="328">
        <v>0.89063881686046509</v>
      </c>
      <c r="AD6" s="328">
        <v>0.85437484608619174</v>
      </c>
      <c r="AE6" s="328">
        <v>0.88965220510638321</v>
      </c>
      <c r="AF6" s="328">
        <v>0.93478629957247561</v>
      </c>
      <c r="AG6" s="328">
        <v>1.01142752900232</v>
      </c>
      <c r="AH6" s="201"/>
    </row>
    <row r="7" spans="1:34" ht="30" customHeight="1" x14ac:dyDescent="0.2">
      <c r="A7" s="2" t="s">
        <v>59</v>
      </c>
      <c r="B7" s="36" t="s">
        <v>5</v>
      </c>
      <c r="C7" s="8">
        <v>0.90400000000000003</v>
      </c>
      <c r="D7" s="8">
        <v>0.9</v>
      </c>
      <c r="E7" s="8">
        <v>0.9</v>
      </c>
      <c r="F7" s="8">
        <v>0.95299999999999996</v>
      </c>
      <c r="G7" s="8">
        <v>0.86799999999999999</v>
      </c>
      <c r="H7" s="8">
        <v>0.95799999999999996</v>
      </c>
      <c r="I7" s="8">
        <v>1.0289999999999999</v>
      </c>
      <c r="J7" s="8">
        <v>1.026</v>
      </c>
      <c r="K7" s="8">
        <v>0.996</v>
      </c>
      <c r="L7" s="8">
        <v>1.054</v>
      </c>
      <c r="M7" s="8">
        <v>1.0469999999999999</v>
      </c>
      <c r="N7" s="8">
        <v>1.0649999999999999</v>
      </c>
      <c r="O7" s="8">
        <v>1.08</v>
      </c>
      <c r="P7" s="8">
        <v>1.0820000000000001</v>
      </c>
      <c r="Q7" s="8">
        <v>1.0860000000000001</v>
      </c>
      <c r="R7" s="8">
        <v>1.0740000000000001</v>
      </c>
      <c r="S7" s="8">
        <v>1.0449999999999999</v>
      </c>
      <c r="T7" s="8">
        <v>1.0580000000000001</v>
      </c>
      <c r="U7" s="8">
        <v>1.056</v>
      </c>
      <c r="V7" s="8">
        <v>1.0640000000000001</v>
      </c>
      <c r="W7" s="8">
        <v>1.087</v>
      </c>
      <c r="X7" s="8">
        <v>1.0780000000000001</v>
      </c>
      <c r="Y7" s="8">
        <v>1.0720000000000001</v>
      </c>
      <c r="Z7" s="8">
        <v>1.0740000000000001</v>
      </c>
      <c r="AA7" s="8">
        <v>1.0840000000000001</v>
      </c>
      <c r="AB7" s="8">
        <v>1.052</v>
      </c>
      <c r="AC7" s="8">
        <v>0.88900000000000001</v>
      </c>
      <c r="AD7" s="8">
        <v>0.85</v>
      </c>
      <c r="AE7" s="8">
        <v>0.88600000000000001</v>
      </c>
      <c r="AF7" s="8">
        <v>0.93200000000000005</v>
      </c>
      <c r="AG7" s="8">
        <v>1.0069999999999999</v>
      </c>
      <c r="AH7" s="201"/>
    </row>
    <row r="8" spans="1:34" ht="30" customHeight="1" x14ac:dyDescent="0.2">
      <c r="A8" s="2" t="s">
        <v>60</v>
      </c>
      <c r="B8" s="36" t="s">
        <v>5</v>
      </c>
      <c r="C8" s="8">
        <f>C6</f>
        <v>0.90859547541523467</v>
      </c>
      <c r="D8" s="8">
        <f t="shared" ref="D8:N8" si="0">D7+C8</f>
        <v>1.8085954754152347</v>
      </c>
      <c r="E8" s="8">
        <f t="shared" si="0"/>
        <v>2.7085954754152346</v>
      </c>
      <c r="F8" s="8">
        <f t="shared" si="0"/>
        <v>3.6615954754152344</v>
      </c>
      <c r="G8" s="8">
        <f t="shared" si="0"/>
        <v>4.5295954754152348</v>
      </c>
      <c r="H8" s="8">
        <f t="shared" si="0"/>
        <v>5.487595475415235</v>
      </c>
      <c r="I8" s="8">
        <f t="shared" si="0"/>
        <v>6.5165954754152349</v>
      </c>
      <c r="J8" s="8">
        <f t="shared" si="0"/>
        <v>7.5425954754152347</v>
      </c>
      <c r="K8" s="8">
        <f t="shared" si="0"/>
        <v>8.5385954754152351</v>
      </c>
      <c r="L8" s="8">
        <f t="shared" si="0"/>
        <v>9.5925954754152354</v>
      </c>
      <c r="M8" s="8">
        <f t="shared" si="0"/>
        <v>10.639595475415236</v>
      </c>
      <c r="N8" s="8">
        <f t="shared" si="0"/>
        <v>11.704595475415235</v>
      </c>
      <c r="O8" s="8">
        <f t="shared" ref="O8:AG8" si="1">O7+N8</f>
        <v>12.784595475415236</v>
      </c>
      <c r="P8" s="8">
        <f t="shared" si="1"/>
        <v>13.866595475415236</v>
      </c>
      <c r="Q8" s="8">
        <f t="shared" si="1"/>
        <v>14.952595475415237</v>
      </c>
      <c r="R8" s="8">
        <f t="shared" si="1"/>
        <v>16.026595475415238</v>
      </c>
      <c r="S8" s="8">
        <f t="shared" si="1"/>
        <v>17.071595475415236</v>
      </c>
      <c r="T8" s="8">
        <f t="shared" si="1"/>
        <v>18.129595475415236</v>
      </c>
      <c r="U8" s="8">
        <f t="shared" si="1"/>
        <v>19.185595475415237</v>
      </c>
      <c r="V8" s="8">
        <f t="shared" si="1"/>
        <v>20.249595475415237</v>
      </c>
      <c r="W8" s="8">
        <f t="shared" si="1"/>
        <v>21.336595475415237</v>
      </c>
      <c r="X8" s="8">
        <f t="shared" si="1"/>
        <v>22.414595475415236</v>
      </c>
      <c r="Y8" s="8">
        <f t="shared" si="1"/>
        <v>23.486595475415236</v>
      </c>
      <c r="Z8" s="8">
        <f t="shared" si="1"/>
        <v>24.560595475415237</v>
      </c>
      <c r="AA8" s="8">
        <f t="shared" si="1"/>
        <v>25.644595475415237</v>
      </c>
      <c r="AB8" s="8">
        <f t="shared" si="1"/>
        <v>26.696595475415236</v>
      </c>
      <c r="AC8" s="8">
        <f t="shared" si="1"/>
        <v>27.585595475415236</v>
      </c>
      <c r="AD8" s="8">
        <f t="shared" si="1"/>
        <v>28.435595475415237</v>
      </c>
      <c r="AE8" s="8">
        <f t="shared" si="1"/>
        <v>29.321595475415236</v>
      </c>
      <c r="AF8" s="8">
        <f t="shared" si="1"/>
        <v>30.253595475415235</v>
      </c>
      <c r="AG8" s="8">
        <f t="shared" si="1"/>
        <v>31.260595475415236</v>
      </c>
      <c r="AH8" s="201"/>
    </row>
    <row r="9" spans="1:34" ht="30" customHeight="1" x14ac:dyDescent="0.2">
      <c r="A9" s="2" t="s">
        <v>8</v>
      </c>
      <c r="B9" s="36" t="s">
        <v>5</v>
      </c>
      <c r="C9" s="3">
        <f t="shared" ref="C9:H9" si="2">31.641+C8</f>
        <v>32.549595475415231</v>
      </c>
      <c r="D9" s="3">
        <f t="shared" si="2"/>
        <v>33.449595475415236</v>
      </c>
      <c r="E9" s="3">
        <f t="shared" si="2"/>
        <v>34.349595475415235</v>
      </c>
      <c r="F9" s="3">
        <f t="shared" si="2"/>
        <v>35.302595475415231</v>
      </c>
      <c r="G9" s="3">
        <f t="shared" si="2"/>
        <v>36.170595475415233</v>
      </c>
      <c r="H9" s="3">
        <f t="shared" si="2"/>
        <v>37.128595475415231</v>
      </c>
      <c r="I9" s="3">
        <f t="shared" ref="I9:J9" si="3">31.641+I8</f>
        <v>38.157595475415235</v>
      </c>
      <c r="J9" s="3">
        <f t="shared" si="3"/>
        <v>39.183595475415231</v>
      </c>
      <c r="K9" s="3">
        <f t="shared" ref="K9:L9" si="4">31.641+K8</f>
        <v>40.179595475415233</v>
      </c>
      <c r="L9" s="3">
        <f t="shared" si="4"/>
        <v>41.233595475415235</v>
      </c>
      <c r="M9" s="3">
        <f t="shared" ref="M9:N9" si="5">31.641+M8</f>
        <v>42.280595475415232</v>
      </c>
      <c r="N9" s="3">
        <f t="shared" si="5"/>
        <v>43.345595475415237</v>
      </c>
      <c r="O9" s="3">
        <f t="shared" ref="O9:T9" si="6">31.641+O8</f>
        <v>44.425595475415236</v>
      </c>
      <c r="P9" s="3">
        <f t="shared" si="6"/>
        <v>45.507595475415236</v>
      </c>
      <c r="Q9" s="3">
        <f t="shared" si="6"/>
        <v>46.593595475415235</v>
      </c>
      <c r="R9" s="3">
        <f t="shared" si="6"/>
        <v>47.66759547541524</v>
      </c>
      <c r="S9" s="3">
        <f t="shared" si="6"/>
        <v>48.712595475415235</v>
      </c>
      <c r="T9" s="3">
        <f t="shared" si="6"/>
        <v>49.770595475415234</v>
      </c>
      <c r="U9" s="3">
        <f t="shared" ref="U9:V9" si="7">31.641+U8</f>
        <v>50.826595475415232</v>
      </c>
      <c r="V9" s="3">
        <f t="shared" si="7"/>
        <v>51.890595475415239</v>
      </c>
      <c r="W9" s="3">
        <f t="shared" ref="W9:X9" si="8">31.641+W8</f>
        <v>52.977595475415235</v>
      </c>
      <c r="X9" s="3">
        <f t="shared" si="8"/>
        <v>54.055595475415231</v>
      </c>
      <c r="Y9" s="3">
        <f t="shared" ref="Y9:Z9" si="9">31.641+Y8</f>
        <v>55.127595475415234</v>
      </c>
      <c r="Z9" s="3">
        <f t="shared" si="9"/>
        <v>56.201595475415232</v>
      </c>
      <c r="AA9" s="3">
        <f t="shared" ref="AA9:AB9" si="10">31.641+AA8</f>
        <v>57.285595475415235</v>
      </c>
      <c r="AB9" s="3">
        <f t="shared" si="10"/>
        <v>58.337595475415235</v>
      </c>
      <c r="AC9" s="3">
        <f t="shared" ref="AC9:AD9" si="11">31.641+AC8</f>
        <v>59.226595475415238</v>
      </c>
      <c r="AD9" s="3">
        <f t="shared" si="11"/>
        <v>60.076595475415232</v>
      </c>
      <c r="AE9" s="3">
        <f t="shared" ref="AE9:AF9" si="12">31.641+AE8</f>
        <v>60.962595475415235</v>
      </c>
      <c r="AF9" s="3">
        <f t="shared" si="12"/>
        <v>61.89459547541523</v>
      </c>
      <c r="AG9" s="3">
        <f t="shared" ref="AG9" si="13">31.641+AG8</f>
        <v>62.901595475415235</v>
      </c>
      <c r="AH9" s="201"/>
    </row>
    <row r="10" spans="1:34" ht="30" customHeight="1" x14ac:dyDescent="0.2">
      <c r="A10" s="2" t="s">
        <v>61</v>
      </c>
      <c r="B10" s="36" t="s">
        <v>10</v>
      </c>
      <c r="C10" s="248">
        <v>45</v>
      </c>
      <c r="D10" s="248">
        <v>44</v>
      </c>
      <c r="E10" s="248">
        <v>41</v>
      </c>
      <c r="F10" s="248">
        <v>41</v>
      </c>
      <c r="G10" s="248">
        <v>40</v>
      </c>
      <c r="H10" s="248">
        <v>42</v>
      </c>
      <c r="I10" s="248">
        <v>44</v>
      </c>
      <c r="J10" s="248">
        <v>44</v>
      </c>
      <c r="K10" s="248">
        <v>42</v>
      </c>
      <c r="L10" s="248">
        <v>45</v>
      </c>
      <c r="M10" s="248">
        <v>45</v>
      </c>
      <c r="N10" s="248">
        <v>45</v>
      </c>
      <c r="O10" s="248">
        <v>45</v>
      </c>
      <c r="P10" s="248">
        <v>45.5</v>
      </c>
      <c r="Q10" s="248">
        <v>46</v>
      </c>
      <c r="R10" s="248">
        <v>46</v>
      </c>
      <c r="S10" s="248">
        <v>45</v>
      </c>
      <c r="T10" s="248">
        <v>45</v>
      </c>
      <c r="U10" s="248">
        <v>45</v>
      </c>
      <c r="V10" s="248">
        <v>46</v>
      </c>
      <c r="W10" s="248">
        <v>46</v>
      </c>
      <c r="X10" s="248">
        <v>45.5</v>
      </c>
      <c r="Y10" s="248">
        <v>46</v>
      </c>
      <c r="Z10" s="248">
        <v>45</v>
      </c>
      <c r="AA10" s="248">
        <v>47</v>
      </c>
      <c r="AB10" s="248">
        <v>47</v>
      </c>
      <c r="AC10" s="248">
        <v>41</v>
      </c>
      <c r="AD10" s="248">
        <v>36.5</v>
      </c>
      <c r="AE10" s="248">
        <v>38</v>
      </c>
      <c r="AF10" s="248">
        <v>41</v>
      </c>
      <c r="AG10" s="248">
        <v>44</v>
      </c>
      <c r="AH10" s="201"/>
    </row>
    <row r="11" spans="1:34" ht="30" customHeight="1" x14ac:dyDescent="0.2">
      <c r="A11" s="2" t="s">
        <v>62</v>
      </c>
      <c r="B11" s="36" t="s">
        <v>10</v>
      </c>
      <c r="C11" s="248">
        <v>0</v>
      </c>
      <c r="D11" s="248">
        <v>0</v>
      </c>
      <c r="E11" s="248">
        <v>38.5</v>
      </c>
      <c r="F11" s="248">
        <v>38.5</v>
      </c>
      <c r="G11" s="248">
        <v>33</v>
      </c>
      <c r="H11" s="248">
        <v>36</v>
      </c>
      <c r="I11" s="248">
        <v>41</v>
      </c>
      <c r="J11" s="248">
        <v>41</v>
      </c>
      <c r="K11" s="248">
        <v>41</v>
      </c>
      <c r="L11" s="248">
        <v>42</v>
      </c>
      <c r="M11" s="248">
        <v>43</v>
      </c>
      <c r="N11" s="248">
        <v>44</v>
      </c>
      <c r="O11" s="248">
        <v>44</v>
      </c>
      <c r="P11" s="248">
        <v>44</v>
      </c>
      <c r="Q11" s="248">
        <v>45</v>
      </c>
      <c r="R11" s="248">
        <v>44</v>
      </c>
      <c r="S11" s="248">
        <v>43</v>
      </c>
      <c r="T11" s="248">
        <v>43</v>
      </c>
      <c r="U11" s="248">
        <v>43</v>
      </c>
      <c r="V11" s="248">
        <v>43</v>
      </c>
      <c r="W11" s="248">
        <v>45</v>
      </c>
      <c r="X11" s="248">
        <v>44</v>
      </c>
      <c r="Y11" s="248">
        <v>44</v>
      </c>
      <c r="Z11" s="248">
        <v>44</v>
      </c>
      <c r="AA11" s="248">
        <v>44.5</v>
      </c>
      <c r="AB11" s="248">
        <v>42</v>
      </c>
      <c r="AC11" s="248">
        <v>35</v>
      </c>
      <c r="AD11" s="248">
        <v>34</v>
      </c>
      <c r="AE11" s="248">
        <v>36</v>
      </c>
      <c r="AF11" s="248">
        <v>36</v>
      </c>
      <c r="AG11" s="248">
        <v>41</v>
      </c>
      <c r="AH11" s="201"/>
    </row>
    <row r="12" spans="1:34" ht="30" customHeight="1" x14ac:dyDescent="0.2">
      <c r="A12" s="2" t="s">
        <v>63</v>
      </c>
      <c r="B12" s="36" t="s">
        <v>10</v>
      </c>
      <c r="C12" s="3">
        <f>C6*1000/24</f>
        <v>37.858144808968113</v>
      </c>
      <c r="D12" s="3">
        <f t="shared" ref="D12:E12" si="14">D6*1000/24</f>
        <v>37.662106491532789</v>
      </c>
      <c r="E12" s="3">
        <f t="shared" si="14"/>
        <v>39.550833152409908</v>
      </c>
      <c r="F12" s="3">
        <f t="shared" ref="F12:K12" si="15">F6*1000/24</f>
        <v>39.921403442855166</v>
      </c>
      <c r="G12" s="3">
        <f t="shared" si="15"/>
        <v>36.312408165997319</v>
      </c>
      <c r="H12" s="3">
        <f t="shared" si="15"/>
        <v>40.028813492063492</v>
      </c>
      <c r="I12" s="3">
        <f t="shared" si="15"/>
        <v>42.868630089875275</v>
      </c>
      <c r="J12" s="3">
        <f t="shared" si="15"/>
        <v>42.866396950092422</v>
      </c>
      <c r="K12" s="3">
        <f t="shared" si="15"/>
        <v>41.550481695751131</v>
      </c>
      <c r="L12" s="3">
        <f t="shared" ref="L12:M12" si="16">L6*1000/24</f>
        <v>43.982509493284503</v>
      </c>
      <c r="M12" s="3">
        <f t="shared" si="16"/>
        <v>43.810093965204778</v>
      </c>
      <c r="N12" s="3">
        <f t="shared" ref="N12" si="17">N6*1000/24</f>
        <v>44.449654411764691</v>
      </c>
      <c r="O12" s="3">
        <f t="shared" ref="O12:T12" si="18">O6*1000/24</f>
        <v>44.967173536543122</v>
      </c>
      <c r="P12" s="3">
        <f t="shared" si="18"/>
        <v>45.203103671328684</v>
      </c>
      <c r="Q12" s="3">
        <f t="shared" si="18"/>
        <v>45.456418886198549</v>
      </c>
      <c r="R12" s="3">
        <f t="shared" si="18"/>
        <v>44.793365177329626</v>
      </c>
      <c r="S12" s="3">
        <f t="shared" si="18"/>
        <v>43.674392293366445</v>
      </c>
      <c r="T12" s="3">
        <f t="shared" si="18"/>
        <v>44.192478014559128</v>
      </c>
      <c r="U12" s="3">
        <f t="shared" ref="U12:V12" si="19">U6*1000/24</f>
        <v>44.07091746369111</v>
      </c>
      <c r="V12" s="3">
        <f t="shared" si="19"/>
        <v>44.39901407954946</v>
      </c>
      <c r="W12" s="3">
        <f t="shared" ref="W12:X12" si="20">W6*1000/24</f>
        <v>45.435202787406126</v>
      </c>
      <c r="X12" s="3">
        <f t="shared" si="20"/>
        <v>45.07443998951782</v>
      </c>
      <c r="Y12" s="3">
        <f t="shared" ref="Y12:Z12" si="21">Y6*1000/24</f>
        <v>44.794058145009409</v>
      </c>
      <c r="Z12" s="3">
        <f t="shared" si="21"/>
        <v>44.441355005250273</v>
      </c>
      <c r="AA12" s="3">
        <f t="shared" ref="AA12:AB12" si="22">AA6*1000/24</f>
        <v>46.030432324711249</v>
      </c>
      <c r="AB12" s="3">
        <f t="shared" si="22"/>
        <v>43.930176016577626</v>
      </c>
      <c r="AC12" s="3">
        <f t="shared" ref="AC12:AD12" si="23">AC6*1000/24</f>
        <v>37.109950702519377</v>
      </c>
      <c r="AD12" s="3">
        <f t="shared" si="23"/>
        <v>35.598951920257988</v>
      </c>
      <c r="AE12" s="3">
        <f t="shared" ref="AE12:AF12" si="24">AE6*1000/24</f>
        <v>37.068841879432632</v>
      </c>
      <c r="AF12" s="3">
        <f t="shared" si="24"/>
        <v>38.949429148853149</v>
      </c>
      <c r="AG12" s="3">
        <f t="shared" ref="AG12" si="25">AG6*1000/24</f>
        <v>42.142813708430005</v>
      </c>
      <c r="AH12" s="201"/>
    </row>
    <row r="13" spans="1:34" ht="30" customHeight="1" x14ac:dyDescent="0.2">
      <c r="A13" s="10" t="s">
        <v>12</v>
      </c>
      <c r="B13" s="16"/>
      <c r="C13" s="446" t="s">
        <v>517</v>
      </c>
      <c r="D13" s="447"/>
      <c r="E13" s="447"/>
      <c r="F13" s="447"/>
      <c r="G13" s="447"/>
      <c r="H13" s="447"/>
      <c r="I13" s="447"/>
      <c r="J13" s="447"/>
      <c r="K13" s="447"/>
      <c r="L13" s="447"/>
      <c r="M13" s="447"/>
      <c r="N13" s="447"/>
      <c r="O13" s="447"/>
      <c r="P13" s="447"/>
      <c r="Q13" s="447"/>
      <c r="R13" s="447"/>
      <c r="S13" s="447"/>
      <c r="T13" s="447"/>
      <c r="U13" s="447"/>
      <c r="V13" s="447"/>
      <c r="W13" s="447"/>
      <c r="X13" s="447"/>
      <c r="Y13" s="447"/>
      <c r="Z13" s="447"/>
      <c r="AA13" s="447"/>
      <c r="AB13" s="447"/>
      <c r="AC13" s="447"/>
      <c r="AD13" s="447"/>
      <c r="AE13" s="447"/>
      <c r="AF13" s="447"/>
      <c r="AG13" s="447"/>
    </row>
    <row r="14" spans="1:34" ht="30" customHeight="1" x14ac:dyDescent="0.2">
      <c r="A14" s="2" t="s">
        <v>59</v>
      </c>
      <c r="B14" s="36" t="s">
        <v>13</v>
      </c>
      <c r="C14" s="3">
        <f>(C6*100000)/(42*24)</f>
        <v>90.13844002135265</v>
      </c>
      <c r="D14" s="3">
        <f t="shared" ref="D14:H14" si="26">(D6*100000)/(42*24)</f>
        <v>89.671682122697121</v>
      </c>
      <c r="E14" s="3">
        <f t="shared" si="26"/>
        <v>94.168650362880726</v>
      </c>
      <c r="F14" s="3">
        <f t="shared" si="26"/>
        <v>95.050960578226579</v>
      </c>
      <c r="G14" s="3">
        <f t="shared" si="26"/>
        <v>86.458114680945997</v>
      </c>
      <c r="H14" s="3">
        <f t="shared" si="26"/>
        <v>95.306698790627365</v>
      </c>
      <c r="I14" s="3">
        <f t="shared" ref="I14:J14" si="27">(I6*100000)/(42*24)</f>
        <v>102.06816688065541</v>
      </c>
      <c r="J14" s="3">
        <f t="shared" si="27"/>
        <v>102.06284988117243</v>
      </c>
      <c r="K14" s="3">
        <f t="shared" ref="K14:L14" si="28">(K6*100000)/(42*24)</f>
        <v>98.929718323216974</v>
      </c>
      <c r="L14" s="3">
        <f t="shared" si="28"/>
        <v>104.72026069829643</v>
      </c>
      <c r="M14" s="3">
        <f t="shared" ref="M14:N14" si="29">(M6*100000)/(42*24)</f>
        <v>104.30974753620185</v>
      </c>
      <c r="N14" s="3">
        <f t="shared" si="29"/>
        <v>105.83251050420164</v>
      </c>
      <c r="O14" s="3">
        <f t="shared" ref="O14:T14" si="30">(O6*100000)/(42*24)</f>
        <v>107.06469889653124</v>
      </c>
      <c r="P14" s="3">
        <f t="shared" si="30"/>
        <v>107.62643731268733</v>
      </c>
      <c r="Q14" s="3">
        <f t="shared" si="30"/>
        <v>108.22956877666321</v>
      </c>
      <c r="R14" s="3">
        <f t="shared" si="30"/>
        <v>106.65086946983244</v>
      </c>
      <c r="S14" s="3">
        <f t="shared" si="30"/>
        <v>103.98664831753915</v>
      </c>
      <c r="T14" s="3">
        <f t="shared" si="30"/>
        <v>105.2201857489503</v>
      </c>
      <c r="U14" s="3">
        <f t="shared" ref="U14:V14" si="31">(U6*100000)/(42*24)</f>
        <v>104.93075586593122</v>
      </c>
      <c r="V14" s="3">
        <f t="shared" si="31"/>
        <v>105.71193828464156</v>
      </c>
      <c r="W14" s="3">
        <f t="shared" ref="W14:X14" si="32">(W6*100000)/(42*24)</f>
        <v>108.17905425572889</v>
      </c>
      <c r="X14" s="3">
        <f t="shared" si="32"/>
        <v>107.32009521313766</v>
      </c>
      <c r="Y14" s="3">
        <f t="shared" ref="Y14:Z14" si="33">(Y6*100000)/(42*24)</f>
        <v>106.65251939287954</v>
      </c>
      <c r="Z14" s="3">
        <f t="shared" si="33"/>
        <v>105.81275001250064</v>
      </c>
      <c r="AA14" s="3">
        <f t="shared" ref="AA14:AB14" si="34">(AA6*100000)/(42*24)</f>
        <v>109.59626743978869</v>
      </c>
      <c r="AB14" s="3">
        <f t="shared" si="34"/>
        <v>104.59565718232768</v>
      </c>
      <c r="AC14" s="3">
        <f t="shared" ref="AC14:AD14" si="35">(AC6*100000)/(42*24)</f>
        <v>88.357025482189002</v>
      </c>
      <c r="AD14" s="3">
        <f t="shared" si="35"/>
        <v>84.759409333947588</v>
      </c>
      <c r="AE14" s="3">
        <f t="shared" ref="AE14:AF14" si="36">(AE6*100000)/(42*24)</f>
        <v>88.259147331982462</v>
      </c>
      <c r="AF14" s="3">
        <f t="shared" si="36"/>
        <v>92.736736068697965</v>
      </c>
      <c r="AG14" s="3">
        <f t="shared" ref="AG14" si="37">(AG6*100000)/(42*24)</f>
        <v>100.34003263911906</v>
      </c>
      <c r="AH14" s="201"/>
    </row>
    <row r="15" spans="1:34" ht="30" customHeight="1" x14ac:dyDescent="0.2">
      <c r="A15" s="2" t="s">
        <v>60</v>
      </c>
      <c r="B15" s="36" t="s">
        <v>13</v>
      </c>
      <c r="C15" s="3">
        <f t="shared" ref="C15:H15" si="38">(C8*1000)/(42*24*C2)%</f>
        <v>90.13844002135265</v>
      </c>
      <c r="D15" s="3">
        <f t="shared" si="38"/>
        <v>89.712077153533471</v>
      </c>
      <c r="E15" s="3">
        <f t="shared" si="38"/>
        <v>89.56995619759374</v>
      </c>
      <c r="F15" s="3">
        <f t="shared" si="38"/>
        <v>90.813379846608001</v>
      </c>
      <c r="G15" s="3">
        <f t="shared" si="38"/>
        <v>89.872926099508618</v>
      </c>
      <c r="H15" s="3">
        <f t="shared" si="38"/>
        <v>90.73405217287096</v>
      </c>
      <c r="I15" s="3">
        <f t="shared" ref="I15:J15" si="39">(I8*1000)/(42*24*I2)%</f>
        <v>92.355378052936999</v>
      </c>
      <c r="J15" s="3">
        <f t="shared" si="39"/>
        <v>93.534170082034152</v>
      </c>
      <c r="K15" s="3">
        <f t="shared" ref="K15:L15" si="40">(K8*1000)/(42*24*K2)%</f>
        <v>94.120320496199682</v>
      </c>
      <c r="L15" s="3">
        <f t="shared" si="40"/>
        <v>95.164637652928931</v>
      </c>
      <c r="M15" s="3">
        <f t="shared" ref="M15:N15" si="41">(M8*1000)/(42*24*M2)%</f>
        <v>95.95594764984881</v>
      </c>
      <c r="N15" s="3">
        <f t="shared" si="41"/>
        <v>96.764182171091562</v>
      </c>
      <c r="O15" s="3">
        <f t="shared" ref="O15:T15" si="42">(O8*1000)/(42*24*O2)%</f>
        <v>97.562541784304301</v>
      </c>
      <c r="P15" s="3">
        <f t="shared" si="42"/>
        <v>98.261022359801842</v>
      </c>
      <c r="Q15" s="3">
        <f t="shared" si="42"/>
        <v>98.892827218354753</v>
      </c>
      <c r="R15" s="3">
        <f t="shared" si="42"/>
        <v>99.371251707683768</v>
      </c>
      <c r="S15" s="3">
        <f t="shared" si="42"/>
        <v>99.624156602563232</v>
      </c>
      <c r="T15" s="3">
        <f t="shared" si="42"/>
        <v>99.920609983549582</v>
      </c>
      <c r="U15" s="3">
        <f t="shared" ref="U15:V15" si="43">(U8*1000)/(42*24*U2)%</f>
        <v>100.17541497188407</v>
      </c>
      <c r="V15" s="3">
        <f t="shared" si="43"/>
        <v>100.44442200106765</v>
      </c>
      <c r="W15" s="3">
        <f t="shared" ref="W15:X15" si="44">(W8*1000)/(42*24*W2)%</f>
        <v>100.7964638861264</v>
      </c>
      <c r="X15" s="3">
        <f t="shared" si="44"/>
        <v>101.07591754786813</v>
      </c>
      <c r="Y15" s="3">
        <f t="shared" ref="Y15:Z15" si="45">(Y8*1000)/(42*24*Y2)%</f>
        <v>101.30519097401327</v>
      </c>
      <c r="Z15" s="3">
        <f t="shared" si="45"/>
        <v>101.52362547708019</v>
      </c>
      <c r="AA15" s="3">
        <f t="shared" ref="AA15:AB15" si="46">(AA8*1000)/(42*24*AA2)%</f>
        <v>101.76426775958427</v>
      </c>
      <c r="AB15" s="3">
        <f t="shared" si="46"/>
        <v>101.86429897518025</v>
      </c>
      <c r="AC15" s="3">
        <f t="shared" ref="AC15:AD15" si="47">(AC8*1000)/(42*24*AC2)%</f>
        <v>101.35800806663445</v>
      </c>
      <c r="AD15" s="3">
        <f t="shared" si="47"/>
        <v>100.74970052230455</v>
      </c>
      <c r="AE15" s="3">
        <f t="shared" ref="AE15:AF15" si="48">(AE8*1000)/(42*24*AE2)%</f>
        <v>100.30649793177079</v>
      </c>
      <c r="AF15" s="3">
        <f t="shared" si="48"/>
        <v>100.04495858272234</v>
      </c>
      <c r="AG15" s="3">
        <f t="shared" ref="AG15" si="49">(AG8*1000)/(42*24*AG2)%</f>
        <v>100.04030810104722</v>
      </c>
      <c r="AH15" s="201"/>
    </row>
    <row r="16" spans="1:34" ht="30" customHeight="1" x14ac:dyDescent="0.2">
      <c r="A16" s="2" t="s">
        <v>8</v>
      </c>
      <c r="B16" s="36" t="s">
        <v>13</v>
      </c>
      <c r="C16" s="3">
        <f t="shared" ref="C16:H16" si="50">(C9*10^3)/(24*(C2+30)*42)%</f>
        <v>104.16537210514346</v>
      </c>
      <c r="D16" s="3">
        <f t="shared" si="50"/>
        <v>103.70038279828631</v>
      </c>
      <c r="E16" s="3">
        <f t="shared" si="50"/>
        <v>103.26357466154171</v>
      </c>
      <c r="F16" s="3">
        <f t="shared" si="50"/>
        <v>103.00710631248609</v>
      </c>
      <c r="G16" s="3">
        <f t="shared" si="50"/>
        <v>102.5243635924468</v>
      </c>
      <c r="H16" s="3">
        <f t="shared" si="50"/>
        <v>102.31645578542557</v>
      </c>
      <c r="I16" s="3">
        <f t="shared" ref="I16:J16" si="51">(I9*10^3)/(24*(I2+30)*42)%</f>
        <v>102.31015517861228</v>
      </c>
      <c r="J16" s="3">
        <f t="shared" si="51"/>
        <v>102.29635410248338</v>
      </c>
      <c r="K16" s="3">
        <f t="shared" ref="K16:L16" si="52">(K9*10^3)/(24*(K2+30)*42)%</f>
        <v>102.2069481975357</v>
      </c>
      <c r="L16" s="3">
        <f t="shared" si="52"/>
        <v>102.26586179418462</v>
      </c>
      <c r="M16" s="3">
        <f t="shared" ref="M16:N16" si="53">(M9*10^3)/(24*(M2+30)*42)%</f>
        <v>102.30496388747396</v>
      </c>
      <c r="N16" s="3">
        <f t="shared" si="53"/>
        <v>102.38472098312367</v>
      </c>
      <c r="O16" s="3">
        <f t="shared" ref="O16:T16" si="54">(O9*10^3)/(24*(O2+30)*42)%</f>
        <v>102.4953753124198</v>
      </c>
      <c r="P16" s="3">
        <f t="shared" si="54"/>
        <v>102.60550927898457</v>
      </c>
      <c r="Q16" s="3">
        <f t="shared" si="54"/>
        <v>102.71956674474258</v>
      </c>
      <c r="R16" s="3">
        <f t="shared" si="54"/>
        <v>102.80278527306599</v>
      </c>
      <c r="S16" s="3">
        <f t="shared" si="54"/>
        <v>102.82125015918447</v>
      </c>
      <c r="T16" s="3">
        <f t="shared" si="54"/>
        <v>102.86581406129142</v>
      </c>
      <c r="U16" s="3">
        <f t="shared" ref="U16:V16" si="55">(U9*10^3)/(24*(U2+30)*42)%</f>
        <v>102.90450978987535</v>
      </c>
      <c r="V16" s="3">
        <f t="shared" si="55"/>
        <v>102.95753070518897</v>
      </c>
      <c r="W16" s="3">
        <f t="shared" ref="W16:X16" si="56">(W9*10^3)/(24*(W2+30)*42)%</f>
        <v>103.05321248719116</v>
      </c>
      <c r="X16" s="3">
        <f t="shared" si="56"/>
        <v>103.1280438709845</v>
      </c>
      <c r="Y16" s="3">
        <f t="shared" ref="Y16:Z16" si="57">(Y9*10^3)/(24*(Y2+30)*42)%</f>
        <v>103.18882052151699</v>
      </c>
      <c r="Z16" s="3">
        <f t="shared" si="57"/>
        <v>103.25102049422257</v>
      </c>
      <c r="AA16" s="3">
        <f t="shared" ref="AA16:AB16" si="58">(AA9*10^3)/(24*(AA2+30)*42)%</f>
        <v>103.3289961677764</v>
      </c>
      <c r="AB16" s="3">
        <f t="shared" si="58"/>
        <v>103.34749765344252</v>
      </c>
      <c r="AC16" s="3">
        <f t="shared" ref="AC16:AD16" si="59">(AC9*10^3)/(24*(AC2+30)*42)%</f>
        <v>103.08165461468819</v>
      </c>
      <c r="AD16" s="3">
        <f t="shared" si="59"/>
        <v>102.75827085970039</v>
      </c>
      <c r="AE16" s="3">
        <f t="shared" ref="AE16:AF16" si="60">(AE9*10^3)/(24*(AE2+30)*42)%</f>
        <v>102.50638195354996</v>
      </c>
      <c r="AF16" s="3">
        <f t="shared" si="60"/>
        <v>102.33894754532942</v>
      </c>
      <c r="AG16" s="3">
        <f t="shared" ref="AG16" si="61">(AG9*10^3)/(24*(AG2+30)*42)%</f>
        <v>102.29897780935343</v>
      </c>
      <c r="AH16" s="201"/>
    </row>
    <row r="17" spans="1:37" ht="30" customHeight="1" x14ac:dyDescent="0.2">
      <c r="A17" s="2" t="s">
        <v>64</v>
      </c>
      <c r="B17" s="36" t="s">
        <v>65</v>
      </c>
      <c r="C17" s="336">
        <v>20.62</v>
      </c>
      <c r="D17" s="3">
        <v>22.832999999999998</v>
      </c>
      <c r="E17" s="3">
        <v>24</v>
      </c>
      <c r="F17" s="3">
        <v>24</v>
      </c>
      <c r="G17" s="3">
        <v>24</v>
      </c>
      <c r="H17" s="3">
        <v>24</v>
      </c>
      <c r="I17" s="3">
        <v>24</v>
      </c>
      <c r="J17" s="3">
        <v>24</v>
      </c>
      <c r="K17" s="3">
        <v>24</v>
      </c>
      <c r="L17" s="3">
        <v>24</v>
      </c>
      <c r="M17" s="3">
        <v>24</v>
      </c>
      <c r="N17" s="3">
        <v>24</v>
      </c>
      <c r="O17" s="3">
        <v>24</v>
      </c>
      <c r="P17" s="3">
        <v>24</v>
      </c>
      <c r="Q17" s="3">
        <v>24</v>
      </c>
      <c r="R17" s="3">
        <v>24</v>
      </c>
      <c r="S17" s="3">
        <v>24</v>
      </c>
      <c r="T17" s="3">
        <v>24</v>
      </c>
      <c r="U17" s="3">
        <v>24</v>
      </c>
      <c r="V17" s="3">
        <v>24</v>
      </c>
      <c r="W17" s="3">
        <v>24</v>
      </c>
      <c r="X17" s="3">
        <v>24</v>
      </c>
      <c r="Y17" s="3">
        <v>24</v>
      </c>
      <c r="Z17" s="3">
        <v>24</v>
      </c>
      <c r="AA17" s="3">
        <v>24</v>
      </c>
      <c r="AB17" s="3">
        <v>24</v>
      </c>
      <c r="AC17" s="3">
        <v>24</v>
      </c>
      <c r="AD17" s="3">
        <v>24</v>
      </c>
      <c r="AE17" s="3">
        <v>24</v>
      </c>
      <c r="AF17" s="3">
        <v>24</v>
      </c>
      <c r="AG17" s="3">
        <v>24</v>
      </c>
      <c r="AH17" s="201"/>
      <c r="AK17" s="330"/>
    </row>
    <row r="18" spans="1:37" ht="30" customHeight="1" x14ac:dyDescent="0.2">
      <c r="A18" s="2" t="s">
        <v>66</v>
      </c>
      <c r="B18" s="36" t="s">
        <v>65</v>
      </c>
      <c r="C18" s="336">
        <f>C17</f>
        <v>20.62</v>
      </c>
      <c r="D18" s="336">
        <f t="shared" ref="D18:N18" si="62">D17+C18</f>
        <v>43.453000000000003</v>
      </c>
      <c r="E18" s="336">
        <f t="shared" si="62"/>
        <v>67.453000000000003</v>
      </c>
      <c r="F18" s="336">
        <f t="shared" si="62"/>
        <v>91.453000000000003</v>
      </c>
      <c r="G18" s="336">
        <f t="shared" si="62"/>
        <v>115.453</v>
      </c>
      <c r="H18" s="336">
        <f t="shared" si="62"/>
        <v>139.453</v>
      </c>
      <c r="I18" s="336">
        <f t="shared" si="62"/>
        <v>163.453</v>
      </c>
      <c r="J18" s="336">
        <f t="shared" si="62"/>
        <v>187.453</v>
      </c>
      <c r="K18" s="336">
        <f t="shared" si="62"/>
        <v>211.453</v>
      </c>
      <c r="L18" s="336">
        <f t="shared" si="62"/>
        <v>235.453</v>
      </c>
      <c r="M18" s="336">
        <f t="shared" si="62"/>
        <v>259.45299999999997</v>
      </c>
      <c r="N18" s="336">
        <f t="shared" si="62"/>
        <v>283.45299999999997</v>
      </c>
      <c r="O18" s="336">
        <f t="shared" ref="O18:AG18" si="63">O17+N18</f>
        <v>307.45299999999997</v>
      </c>
      <c r="P18" s="336">
        <f t="shared" si="63"/>
        <v>331.45299999999997</v>
      </c>
      <c r="Q18" s="336">
        <f t="shared" si="63"/>
        <v>355.45299999999997</v>
      </c>
      <c r="R18" s="336">
        <f t="shared" si="63"/>
        <v>379.45299999999997</v>
      </c>
      <c r="S18" s="336">
        <f t="shared" si="63"/>
        <v>403.45299999999997</v>
      </c>
      <c r="T18" s="336">
        <f t="shared" si="63"/>
        <v>427.45299999999997</v>
      </c>
      <c r="U18" s="336">
        <f t="shared" si="63"/>
        <v>451.45299999999997</v>
      </c>
      <c r="V18" s="336">
        <f t="shared" si="63"/>
        <v>475.45299999999997</v>
      </c>
      <c r="W18" s="336">
        <f t="shared" si="63"/>
        <v>499.45299999999997</v>
      </c>
      <c r="X18" s="336">
        <f t="shared" si="63"/>
        <v>523.45299999999997</v>
      </c>
      <c r="Y18" s="336">
        <f t="shared" si="63"/>
        <v>547.45299999999997</v>
      </c>
      <c r="Z18" s="336">
        <f t="shared" si="63"/>
        <v>571.45299999999997</v>
      </c>
      <c r="AA18" s="336">
        <f t="shared" si="63"/>
        <v>595.45299999999997</v>
      </c>
      <c r="AB18" s="336">
        <f t="shared" si="63"/>
        <v>619.45299999999997</v>
      </c>
      <c r="AC18" s="336">
        <f t="shared" si="63"/>
        <v>643.45299999999997</v>
      </c>
      <c r="AD18" s="336">
        <f t="shared" si="63"/>
        <v>667.45299999999997</v>
      </c>
      <c r="AE18" s="336">
        <f t="shared" si="63"/>
        <v>691.45299999999997</v>
      </c>
      <c r="AF18" s="336">
        <f t="shared" si="63"/>
        <v>715.45299999999997</v>
      </c>
      <c r="AG18" s="336">
        <f t="shared" si="63"/>
        <v>739.45299999999997</v>
      </c>
      <c r="AH18" s="201"/>
    </row>
    <row r="19" spans="1:37" ht="30" customHeight="1" x14ac:dyDescent="0.2">
      <c r="A19" s="2" t="s">
        <v>67</v>
      </c>
      <c r="B19" s="36" t="s">
        <v>65</v>
      </c>
      <c r="C19" s="277">
        <f t="shared" ref="C19:H19" si="64">720+C18</f>
        <v>740.62</v>
      </c>
      <c r="D19" s="277">
        <f t="shared" si="64"/>
        <v>763.45299999999997</v>
      </c>
      <c r="E19" s="277">
        <f t="shared" si="64"/>
        <v>787.45299999999997</v>
      </c>
      <c r="F19" s="277">
        <f t="shared" si="64"/>
        <v>811.45299999999997</v>
      </c>
      <c r="G19" s="277">
        <f t="shared" si="64"/>
        <v>835.45299999999997</v>
      </c>
      <c r="H19" s="277">
        <f t="shared" si="64"/>
        <v>859.45299999999997</v>
      </c>
      <c r="I19" s="277">
        <f t="shared" ref="I19:J19" si="65">720+I18</f>
        <v>883.45299999999997</v>
      </c>
      <c r="J19" s="277">
        <f t="shared" si="65"/>
        <v>907.45299999999997</v>
      </c>
      <c r="K19" s="277">
        <f t="shared" ref="K19:L19" si="66">720+K18</f>
        <v>931.45299999999997</v>
      </c>
      <c r="L19" s="277">
        <f t="shared" si="66"/>
        <v>955.45299999999997</v>
      </c>
      <c r="M19" s="277">
        <f t="shared" ref="M19:N19" si="67">720+M18</f>
        <v>979.45299999999997</v>
      </c>
      <c r="N19" s="277">
        <f t="shared" si="67"/>
        <v>1003.453</v>
      </c>
      <c r="O19" s="277">
        <f t="shared" ref="O19:T19" si="68">720+O18</f>
        <v>1027.453</v>
      </c>
      <c r="P19" s="277">
        <f t="shared" si="68"/>
        <v>1051.453</v>
      </c>
      <c r="Q19" s="277">
        <f t="shared" si="68"/>
        <v>1075.453</v>
      </c>
      <c r="R19" s="277">
        <f t="shared" si="68"/>
        <v>1099.453</v>
      </c>
      <c r="S19" s="277">
        <f t="shared" si="68"/>
        <v>1123.453</v>
      </c>
      <c r="T19" s="277">
        <f t="shared" si="68"/>
        <v>1147.453</v>
      </c>
      <c r="U19" s="277">
        <f t="shared" ref="U19:V19" si="69">720+U18</f>
        <v>1171.453</v>
      </c>
      <c r="V19" s="277">
        <f t="shared" si="69"/>
        <v>1195.453</v>
      </c>
      <c r="W19" s="277">
        <f t="shared" ref="W19:X19" si="70">720+W18</f>
        <v>1219.453</v>
      </c>
      <c r="X19" s="277">
        <f t="shared" si="70"/>
        <v>1243.453</v>
      </c>
      <c r="Y19" s="277">
        <f t="shared" ref="Y19:Z19" si="71">720+Y18</f>
        <v>1267.453</v>
      </c>
      <c r="Z19" s="277">
        <f t="shared" si="71"/>
        <v>1291.453</v>
      </c>
      <c r="AA19" s="277">
        <f t="shared" ref="AA19:AB19" si="72">720+AA18</f>
        <v>1315.453</v>
      </c>
      <c r="AB19" s="277">
        <f t="shared" si="72"/>
        <v>1339.453</v>
      </c>
      <c r="AC19" s="277">
        <f t="shared" ref="AC19:AD19" si="73">720+AC18</f>
        <v>1363.453</v>
      </c>
      <c r="AD19" s="277">
        <f t="shared" si="73"/>
        <v>1387.453</v>
      </c>
      <c r="AE19" s="277">
        <f t="shared" ref="AE19:AF19" si="74">720+AE18</f>
        <v>1411.453</v>
      </c>
      <c r="AF19" s="277">
        <f t="shared" si="74"/>
        <v>1435.453</v>
      </c>
      <c r="AG19" s="277">
        <f t="shared" ref="AG19" si="75">720+AG18</f>
        <v>1459.453</v>
      </c>
      <c r="AH19" s="201"/>
    </row>
    <row r="20" spans="1:37" ht="30" customHeight="1" x14ac:dyDescent="0.2">
      <c r="A20" s="10" t="s">
        <v>497</v>
      </c>
      <c r="B20" s="16"/>
      <c r="C20" s="446"/>
      <c r="D20" s="447"/>
      <c r="E20" s="447"/>
      <c r="F20" s="447"/>
      <c r="G20" s="447"/>
      <c r="H20" s="447"/>
      <c r="I20" s="447"/>
      <c r="J20" s="447"/>
      <c r="K20" s="447"/>
      <c r="L20" s="447"/>
      <c r="M20" s="447"/>
      <c r="N20" s="447"/>
      <c r="O20" s="447"/>
      <c r="P20" s="447"/>
      <c r="Q20" s="447"/>
      <c r="R20" s="447"/>
      <c r="S20" s="447"/>
      <c r="T20" s="447"/>
      <c r="U20" s="447"/>
      <c r="V20" s="447"/>
      <c r="W20" s="447"/>
      <c r="X20" s="447"/>
      <c r="Y20" s="447"/>
      <c r="Z20" s="447"/>
      <c r="AA20" s="447"/>
      <c r="AB20" s="447"/>
      <c r="AC20" s="447"/>
      <c r="AD20" s="447"/>
      <c r="AE20" s="447"/>
      <c r="AF20" s="447"/>
      <c r="AG20" s="447"/>
    </row>
    <row r="21" spans="1:37" ht="30" customHeight="1" x14ac:dyDescent="0.2">
      <c r="A21" s="2" t="s">
        <v>59</v>
      </c>
      <c r="B21" s="36" t="s">
        <v>13</v>
      </c>
      <c r="C21" s="3">
        <f>MIN(C25,(BOILERS!D56/6*100))</f>
        <v>85.916666666666671</v>
      </c>
      <c r="D21" s="3">
        <f>MIN(D25,(BOILERS!E56/6*100))</f>
        <v>93.923611111111114</v>
      </c>
      <c r="E21" s="3">
        <f>MIN(E25,(BOILERS!F56/6*100))</f>
        <v>100</v>
      </c>
      <c r="F21" s="3">
        <f>MIN(F25,(BOILERS!G56/6*100))</f>
        <v>100</v>
      </c>
      <c r="G21" s="3">
        <f>MIN(G25,(BOILERS!H56/6*100))</f>
        <v>100</v>
      </c>
      <c r="H21" s="3">
        <f>MIN(H25,(BOILERS!I56/6*100))</f>
        <v>100</v>
      </c>
      <c r="I21" s="3">
        <f>MIN(I25,(BOILERS!J56/6*100))</f>
        <v>100</v>
      </c>
      <c r="J21" s="3">
        <f>MIN(J25,(BOILERS!K56/6*100))</f>
        <v>100</v>
      </c>
      <c r="K21" s="3">
        <f>MIN(K25,(BOILERS!L56/6*100))</f>
        <v>100</v>
      </c>
      <c r="L21" s="3">
        <f>MIN(L25,(BOILERS!M56/6*100))</f>
        <v>100</v>
      </c>
      <c r="M21" s="3">
        <f>MIN(M25,(BOILERS!N56/6*100))</f>
        <v>100</v>
      </c>
      <c r="N21" s="3">
        <f>MIN(N25,(BOILERS!O56/6*100))</f>
        <v>100</v>
      </c>
      <c r="O21" s="3">
        <f>MIN(O25,(BOILERS!P56/6*100))</f>
        <v>100</v>
      </c>
      <c r="P21" s="3">
        <f>MIN(P25,(BOILERS!Q56/6*100))</f>
        <v>100</v>
      </c>
      <c r="Q21" s="3">
        <f>MIN(Q25,(BOILERS!R56/6*100))</f>
        <v>100</v>
      </c>
      <c r="R21" s="3">
        <f>MIN(R25,(BOILERS!S56/6*100))</f>
        <v>100</v>
      </c>
      <c r="S21" s="3">
        <f>MIN(S25,(BOILERS!T56/6*100))</f>
        <v>100</v>
      </c>
      <c r="T21" s="3">
        <f>MIN(T25,(BOILERS!U56/6*100))</f>
        <v>100</v>
      </c>
      <c r="U21" s="3">
        <f>MIN(U25,(BOILERS!V56/6*100))</f>
        <v>100</v>
      </c>
      <c r="V21" s="3">
        <f>MIN(V25,(BOILERS!W56/6*100))</f>
        <v>100</v>
      </c>
      <c r="W21" s="3">
        <f>MIN(W25,(BOILERS!X56/6*100))</f>
        <v>100</v>
      </c>
      <c r="X21" s="3">
        <f>MIN(X25,(BOILERS!Y56/6*100))</f>
        <v>100</v>
      </c>
      <c r="Y21" s="3">
        <f>MIN(Y25,(BOILERS!Z56/6*100))</f>
        <v>100</v>
      </c>
      <c r="Z21" s="3">
        <f>MIN(Z25,(BOILERS!AA56/6*100))</f>
        <v>100</v>
      </c>
      <c r="AA21" s="3">
        <f>MIN(AA25,(BOILERS!AB56/6*100))</f>
        <v>100</v>
      </c>
      <c r="AB21" s="3">
        <f>MIN(AB25,(BOILERS!AC56/6*100))</f>
        <v>100</v>
      </c>
      <c r="AC21" s="3">
        <f>MIN(AC25,(BOILERS!AD56/6*100))</f>
        <v>100</v>
      </c>
      <c r="AD21" s="3">
        <f>MIN(AD25,(BOILERS!AE56/6*100))</f>
        <v>100</v>
      </c>
      <c r="AE21" s="3">
        <f>MIN(AE25,(BOILERS!AF56/6*100))</f>
        <v>100</v>
      </c>
      <c r="AF21" s="3">
        <f>MIN(AF25,(BOILERS!AG56/6*100))</f>
        <v>100</v>
      </c>
      <c r="AG21" s="3">
        <f>MIN(AG25,(BOILERS!AH56/6*100))</f>
        <v>100</v>
      </c>
      <c r="AH21" s="201"/>
    </row>
    <row r="22" spans="1:37" ht="30" customHeight="1" x14ac:dyDescent="0.2">
      <c r="A22" s="2" t="s">
        <v>60</v>
      </c>
      <c r="B22" s="36" t="s">
        <v>13</v>
      </c>
      <c r="C22" s="3">
        <f>C21</f>
        <v>85.916666666666671</v>
      </c>
      <c r="D22" s="3">
        <f>AVERAGE($C21:D21)</f>
        <v>89.920138888888886</v>
      </c>
      <c r="E22" s="3">
        <f>AVERAGE($C21:E21)</f>
        <v>93.280092592592595</v>
      </c>
      <c r="F22" s="3">
        <f>AVERAGE($C21:F21)</f>
        <v>94.960069444444443</v>
      </c>
      <c r="G22" s="3">
        <f>AVERAGE($C21:G21)</f>
        <v>95.968055555555551</v>
      </c>
      <c r="H22" s="3">
        <f>AVERAGE($C21:H21)</f>
        <v>96.640046296296305</v>
      </c>
      <c r="I22" s="3">
        <f>AVERAGE($C21:I21)</f>
        <v>97.120039682539684</v>
      </c>
      <c r="J22" s="3">
        <f>AVERAGE($C21:J21)</f>
        <v>97.480034722222229</v>
      </c>
      <c r="K22" s="3">
        <f>AVERAGE($C21:K21)</f>
        <v>97.760030864197532</v>
      </c>
      <c r="L22" s="3">
        <f>AVERAGE($C21:L21)</f>
        <v>97.984027777777783</v>
      </c>
      <c r="M22" s="3">
        <f>AVERAGE($C21:M21)</f>
        <v>98.167297979797979</v>
      </c>
      <c r="N22" s="3">
        <f>AVERAGE($C21:N21)</f>
        <v>98.320023148148152</v>
      </c>
      <c r="O22" s="3">
        <f>AVERAGE($C21:O21)</f>
        <v>98.449252136752136</v>
      </c>
      <c r="P22" s="3">
        <f>AVERAGE($C21:P21)</f>
        <v>98.560019841269849</v>
      </c>
      <c r="Q22" s="3">
        <f>AVERAGE($C21:Q21)</f>
        <v>98.656018518518522</v>
      </c>
      <c r="R22" s="3">
        <f>AVERAGE($C21:R21)</f>
        <v>98.740017361111114</v>
      </c>
      <c r="S22" s="3">
        <f>AVERAGE($C21:S21)</f>
        <v>98.814133986928113</v>
      </c>
      <c r="T22" s="3">
        <f>AVERAGE($C21:T21)</f>
        <v>98.880015432098773</v>
      </c>
      <c r="U22" s="3">
        <f>AVERAGE($C21:U21)</f>
        <v>98.938961988304101</v>
      </c>
      <c r="V22" s="3">
        <f>AVERAGE($C21:V21)</f>
        <v>98.992013888888891</v>
      </c>
      <c r="W22" s="3">
        <f>AVERAGE($C21:W21)</f>
        <v>99.040013227513228</v>
      </c>
      <c r="X22" s="3">
        <f>AVERAGE($C21:X21)</f>
        <v>99.08364898989899</v>
      </c>
      <c r="Y22" s="3">
        <f>AVERAGE($C21:Y21)</f>
        <v>99.12349033816426</v>
      </c>
      <c r="Z22" s="3">
        <f>AVERAGE($C21:Z21)</f>
        <v>99.160011574074076</v>
      </c>
      <c r="AA22" s="3">
        <f>AVERAGE($C21:AA21)</f>
        <v>99.19361111111111</v>
      </c>
      <c r="AB22" s="3">
        <f>AVERAGE($C21:AB21)</f>
        <v>99.224626068376068</v>
      </c>
      <c r="AC22" s="3">
        <f>AVERAGE($C21:AC21)</f>
        <v>99.253343621399182</v>
      </c>
      <c r="AD22" s="3">
        <f>AVERAGE($C21:AD21)</f>
        <v>99.280009920634924</v>
      </c>
      <c r="AE22" s="3">
        <f>AVERAGE($C21:AE21)</f>
        <v>99.304837164750964</v>
      </c>
      <c r="AF22" s="3">
        <f>AVERAGE($C21:AF21)</f>
        <v>99.328009259259261</v>
      </c>
      <c r="AG22" s="3">
        <f>AVERAGE($C21:AG21)</f>
        <v>99.349686379928315</v>
      </c>
      <c r="AH22" s="201"/>
    </row>
    <row r="23" spans="1:37" ht="30" customHeight="1" x14ac:dyDescent="0.2">
      <c r="A23" s="2" t="s">
        <v>8</v>
      </c>
      <c r="B23" s="36" t="s">
        <v>13</v>
      </c>
      <c r="C23" s="3">
        <f t="shared" ref="C23:H23" si="76">((100*30+C2*C22))/(C2+30)</f>
        <v>99.545698924731184</v>
      </c>
      <c r="D23" s="3">
        <f t="shared" si="76"/>
        <v>99.370008680555557</v>
      </c>
      <c r="E23" s="3">
        <f t="shared" si="76"/>
        <v>99.389099326599322</v>
      </c>
      <c r="F23" s="3">
        <f t="shared" si="76"/>
        <v>99.407066993464056</v>
      </c>
      <c r="G23" s="3">
        <f t="shared" si="76"/>
        <v>99.424007936507934</v>
      </c>
      <c r="H23" s="3">
        <f t="shared" si="76"/>
        <v>99.440007716049379</v>
      </c>
      <c r="I23" s="3">
        <f t="shared" ref="I23:J23" si="77">((100*30+I2*I22))/(I2+30)</f>
        <v>99.455142642642642</v>
      </c>
      <c r="J23" s="3">
        <f t="shared" si="77"/>
        <v>99.46948099415205</v>
      </c>
      <c r="K23" s="3">
        <f t="shared" ref="K23:L23" si="78">((100*30+K2*K22))/(K2+30)</f>
        <v>99.48308404558405</v>
      </c>
      <c r="L23" s="3">
        <f t="shared" si="78"/>
        <v>99.496006944444446</v>
      </c>
      <c r="M23" s="3">
        <f t="shared" ref="M23:N23" si="79">((100*30+M2*M22))/(M2+30)</f>
        <v>99.508299457994582</v>
      </c>
      <c r="N23" s="3">
        <f t="shared" si="79"/>
        <v>99.520006613756607</v>
      </c>
      <c r="O23" s="3">
        <f t="shared" ref="O23:T23" si="80">((100*30+O2*O22))/(O2+30)</f>
        <v>99.531169250645988</v>
      </c>
      <c r="P23" s="3">
        <f t="shared" si="80"/>
        <v>99.541824494949481</v>
      </c>
      <c r="Q23" s="3">
        <f t="shared" si="80"/>
        <v>99.552006172839498</v>
      </c>
      <c r="R23" s="3">
        <f t="shared" si="80"/>
        <v>99.561745169082116</v>
      </c>
      <c r="S23" s="3">
        <f t="shared" si="80"/>
        <v>99.571069739952705</v>
      </c>
      <c r="T23" s="3">
        <f t="shared" si="80"/>
        <v>99.580005787037024</v>
      </c>
      <c r="U23" s="3">
        <f t="shared" ref="U23:V23" si="81">((100*30+U2*U22))/(U2+30)</f>
        <v>99.588577097505663</v>
      </c>
      <c r="V23" s="3">
        <f t="shared" si="81"/>
        <v>99.596805555555548</v>
      </c>
      <c r="W23" s="3">
        <f t="shared" ref="W23:X23" si="82">((100*30+W2*W22))/(W2+30)</f>
        <v>99.604711328976023</v>
      </c>
      <c r="X23" s="3">
        <f t="shared" si="82"/>
        <v>99.61231303418802</v>
      </c>
      <c r="Y23" s="3">
        <f t="shared" ref="Y23:Z23" si="83">((100*30+Y2*Y22))/(Y2+30)</f>
        <v>99.619627882599573</v>
      </c>
      <c r="Z23" s="3">
        <f t="shared" si="83"/>
        <v>99.626671810699577</v>
      </c>
      <c r="AA23" s="3">
        <f t="shared" ref="AA23:AB23" si="84">((100*30+AA2*AA22))/(AA2+30)</f>
        <v>99.633459595959593</v>
      </c>
      <c r="AB23" s="3">
        <f t="shared" si="84"/>
        <v>99.640004960317455</v>
      </c>
      <c r="AC23" s="3">
        <f t="shared" ref="AC23:AD23" si="85">((100*30+AC2*AC22))/(AC2+30)</f>
        <v>99.646320662768019</v>
      </c>
      <c r="AD23" s="3">
        <f t="shared" si="85"/>
        <v>99.652418582375475</v>
      </c>
      <c r="AE23" s="3">
        <f t="shared" ref="AE23:AF23" si="86">((100*30+AE2*AE22))/(AE2+30)</f>
        <v>99.658309792843681</v>
      </c>
      <c r="AF23" s="3">
        <f t="shared" si="86"/>
        <v>99.664004629629616</v>
      </c>
      <c r="AG23" s="3">
        <f t="shared" ref="AG23" si="87">((100*30+AG2*AG22))/(AG2+30)</f>
        <v>99.669512750455368</v>
      </c>
      <c r="AH23" s="201"/>
    </row>
    <row r="24" spans="1:37" ht="30" customHeight="1" x14ac:dyDescent="0.2">
      <c r="A24" s="10" t="s">
        <v>68</v>
      </c>
      <c r="B24" s="16"/>
      <c r="C24" s="446"/>
      <c r="D24" s="447"/>
      <c r="E24" s="447"/>
      <c r="F24" s="447"/>
      <c r="G24" s="447"/>
      <c r="H24" s="447"/>
      <c r="I24" s="447"/>
      <c r="J24" s="447"/>
      <c r="K24" s="447"/>
      <c r="L24" s="447"/>
      <c r="M24" s="447"/>
      <c r="N24" s="447"/>
      <c r="O24" s="447"/>
      <c r="P24" s="447"/>
      <c r="Q24" s="447"/>
      <c r="R24" s="447"/>
      <c r="S24" s="447"/>
      <c r="T24" s="447"/>
      <c r="U24" s="447"/>
      <c r="V24" s="447"/>
      <c r="W24" s="447"/>
      <c r="X24" s="447"/>
      <c r="Y24" s="447"/>
      <c r="Z24" s="447"/>
      <c r="AA24" s="447"/>
      <c r="AB24" s="447"/>
      <c r="AC24" s="447"/>
      <c r="AD24" s="447"/>
      <c r="AE24" s="447"/>
      <c r="AF24" s="447"/>
      <c r="AG24" s="447"/>
    </row>
    <row r="25" spans="1:37" ht="30" customHeight="1" x14ac:dyDescent="0.2">
      <c r="A25" s="2" t="s">
        <v>59</v>
      </c>
      <c r="B25" s="36" t="s">
        <v>13</v>
      </c>
      <c r="C25" s="278">
        <f t="shared" ref="C25:H25" si="88">C17*42/(24*42)%</f>
        <v>85.916666666666671</v>
      </c>
      <c r="D25" s="278">
        <f t="shared" si="88"/>
        <v>95.137499999999989</v>
      </c>
      <c r="E25" s="278">
        <f t="shared" si="88"/>
        <v>100</v>
      </c>
      <c r="F25" s="278">
        <f t="shared" si="88"/>
        <v>100</v>
      </c>
      <c r="G25" s="278">
        <f t="shared" si="88"/>
        <v>100</v>
      </c>
      <c r="H25" s="278">
        <f t="shared" si="88"/>
        <v>100</v>
      </c>
      <c r="I25" s="278">
        <f t="shared" ref="I25:J25" si="89">I17*42/(24*42)%</f>
        <v>100</v>
      </c>
      <c r="J25" s="278">
        <f t="shared" si="89"/>
        <v>100</v>
      </c>
      <c r="K25" s="278">
        <f t="shared" ref="K25:L25" si="90">K17*42/(24*42)%</f>
        <v>100</v>
      </c>
      <c r="L25" s="278">
        <f t="shared" si="90"/>
        <v>100</v>
      </c>
      <c r="M25" s="278">
        <f t="shared" ref="M25:N25" si="91">M17*42/(24*42)%</f>
        <v>100</v>
      </c>
      <c r="N25" s="278">
        <f t="shared" si="91"/>
        <v>100</v>
      </c>
      <c r="O25" s="278">
        <f t="shared" ref="O25:T25" si="92">O17*42/(24*42)%</f>
        <v>100</v>
      </c>
      <c r="P25" s="278">
        <f t="shared" si="92"/>
        <v>100</v>
      </c>
      <c r="Q25" s="278">
        <f t="shared" si="92"/>
        <v>100</v>
      </c>
      <c r="R25" s="278">
        <f t="shared" si="92"/>
        <v>100</v>
      </c>
      <c r="S25" s="278">
        <f t="shared" si="92"/>
        <v>100</v>
      </c>
      <c r="T25" s="278">
        <f t="shared" si="92"/>
        <v>100</v>
      </c>
      <c r="U25" s="278">
        <f t="shared" ref="U25:V25" si="93">U17*42/(24*42)%</f>
        <v>100</v>
      </c>
      <c r="V25" s="278">
        <f t="shared" si="93"/>
        <v>100</v>
      </c>
      <c r="W25" s="278">
        <f t="shared" ref="W25:X25" si="94">W17*42/(24*42)%</f>
        <v>100</v>
      </c>
      <c r="X25" s="278">
        <f t="shared" si="94"/>
        <v>100</v>
      </c>
      <c r="Y25" s="278">
        <f t="shared" ref="Y25:Z25" si="95">Y17*42/(24*42)%</f>
        <v>100</v>
      </c>
      <c r="Z25" s="278">
        <f t="shared" si="95"/>
        <v>100</v>
      </c>
      <c r="AA25" s="278">
        <f t="shared" ref="AA25:AB25" si="96">AA17*42/(24*42)%</f>
        <v>100</v>
      </c>
      <c r="AB25" s="278">
        <f t="shared" si="96"/>
        <v>100</v>
      </c>
      <c r="AC25" s="278">
        <f t="shared" ref="AC25:AD25" si="97">AC17*42/(24*42)%</f>
        <v>100</v>
      </c>
      <c r="AD25" s="278">
        <f t="shared" si="97"/>
        <v>100</v>
      </c>
      <c r="AE25" s="278">
        <f t="shared" ref="AE25:AF25" si="98">AE17*42/(24*42)%</f>
        <v>100</v>
      </c>
      <c r="AF25" s="278">
        <f t="shared" si="98"/>
        <v>100</v>
      </c>
      <c r="AG25" s="278">
        <f t="shared" ref="AG25" si="99">AG17*42/(24*42)%</f>
        <v>100</v>
      </c>
      <c r="AH25" s="201"/>
    </row>
    <row r="26" spans="1:37" ht="30" customHeight="1" x14ac:dyDescent="0.2">
      <c r="A26" s="2" t="s">
        <v>60</v>
      </c>
      <c r="B26" s="36" t="s">
        <v>13</v>
      </c>
      <c r="C26" s="278">
        <f t="shared" ref="C26" si="100">C25</f>
        <v>85.916666666666671</v>
      </c>
      <c r="D26" s="278">
        <f>AVERAGE($C25:D25)</f>
        <v>90.527083333333337</v>
      </c>
      <c r="E26" s="278">
        <f>AVERAGE($C25:E25)</f>
        <v>93.68472222222222</v>
      </c>
      <c r="F26" s="278">
        <f>AVERAGE($C25:F25)</f>
        <v>95.263541666666669</v>
      </c>
      <c r="G26" s="278">
        <f>AVERAGE($C25:G25)</f>
        <v>96.210833333333341</v>
      </c>
      <c r="H26" s="278">
        <f>AVERAGE($C25:H25)</f>
        <v>96.842361111111117</v>
      </c>
      <c r="I26" s="278">
        <f>AVERAGE($C25:I25)</f>
        <v>97.293452380952388</v>
      </c>
      <c r="J26" s="278">
        <f>AVERAGE($C25:J25)</f>
        <v>97.631770833333334</v>
      </c>
      <c r="K26" s="278">
        <f>AVERAGE($C25:K25)</f>
        <v>97.894907407407402</v>
      </c>
      <c r="L26" s="278">
        <f>AVERAGE($C25:L25)</f>
        <v>98.10541666666667</v>
      </c>
      <c r="M26" s="278">
        <f>AVERAGE($C25:M25)</f>
        <v>98.277651515151533</v>
      </c>
      <c r="N26" s="278">
        <f>AVERAGE($C25:N25)</f>
        <v>98.421180555555566</v>
      </c>
      <c r="O26" s="278">
        <f>AVERAGE($C25:O25)</f>
        <v>98.54262820512821</v>
      </c>
      <c r="P26" s="278">
        <f>AVERAGE($C25:P25)</f>
        <v>98.646726190476201</v>
      </c>
      <c r="Q26" s="278">
        <f>AVERAGE($C25:Q25)</f>
        <v>98.736944444444447</v>
      </c>
      <c r="R26" s="278">
        <f>AVERAGE($C25:R25)</f>
        <v>98.815885416666674</v>
      </c>
      <c r="S26" s="278">
        <f>AVERAGE($C25:S25)</f>
        <v>98.885539215686279</v>
      </c>
      <c r="T26" s="278">
        <f>AVERAGE($C25:T25)</f>
        <v>98.947453703703715</v>
      </c>
      <c r="U26" s="278">
        <f>AVERAGE($C25:U25)</f>
        <v>99.002850877192984</v>
      </c>
      <c r="V26" s="278">
        <f>AVERAGE($C25:V25)</f>
        <v>99.052708333333342</v>
      </c>
      <c r="W26" s="278">
        <f>AVERAGE($C25:W25)</f>
        <v>99.097817460317472</v>
      </c>
      <c r="X26" s="278">
        <f>AVERAGE($C25:X25)</f>
        <v>99.138825757575759</v>
      </c>
      <c r="Y26" s="278">
        <f>AVERAGE($C25:Y25)</f>
        <v>99.176268115942037</v>
      </c>
      <c r="Z26" s="278">
        <f>AVERAGE($C25:Z25)</f>
        <v>99.210590277777783</v>
      </c>
      <c r="AA26" s="278">
        <f>AVERAGE($C25:AA25)</f>
        <v>99.242166666666677</v>
      </c>
      <c r="AB26" s="278">
        <f>AVERAGE($C25:AB25)</f>
        <v>99.271314102564105</v>
      </c>
      <c r="AC26" s="278">
        <f>AVERAGE($C25:AC25)</f>
        <v>99.298302469135805</v>
      </c>
      <c r="AD26" s="278">
        <f>AVERAGE($C25:AD25)</f>
        <v>99.323363095238093</v>
      </c>
      <c r="AE26" s="278">
        <f>AVERAGE($C25:AE25)</f>
        <v>99.346695402298849</v>
      </c>
      <c r="AF26" s="278">
        <f>AVERAGE($C25:AF25)</f>
        <v>99.368472222222223</v>
      </c>
      <c r="AG26" s="278">
        <f>AVERAGE($C25:AG25)</f>
        <v>99.388844086021507</v>
      </c>
      <c r="AH26" s="201"/>
    </row>
    <row r="27" spans="1:37" ht="30" customHeight="1" x14ac:dyDescent="0.2">
      <c r="A27" s="2" t="s">
        <v>8</v>
      </c>
      <c r="B27" s="36" t="s">
        <v>13</v>
      </c>
      <c r="C27" s="278">
        <f t="shared" ref="C27:H27" si="101">(100*30+C2*C26)/(C2+30)</f>
        <v>99.545698924731184</v>
      </c>
      <c r="D27" s="278">
        <f t="shared" si="101"/>
        <v>99.407942708333337</v>
      </c>
      <c r="E27" s="278">
        <f t="shared" si="101"/>
        <v>99.425883838383839</v>
      </c>
      <c r="F27" s="278">
        <f t="shared" si="101"/>
        <v>99.442769607843147</v>
      </c>
      <c r="G27" s="278">
        <f t="shared" si="101"/>
        <v>99.458690476190483</v>
      </c>
      <c r="H27" s="278">
        <f t="shared" si="101"/>
        <v>99.47372685185185</v>
      </c>
      <c r="I27" s="278">
        <f t="shared" ref="I27:J27" si="102">(100*30+I2*I26)/(I2+30)</f>
        <v>99.487950450450455</v>
      </c>
      <c r="J27" s="278">
        <f t="shared" si="102"/>
        <v>99.501425438596499</v>
      </c>
      <c r="K27" s="278">
        <f t="shared" ref="K27:L27" si="103">(100*30+K2*K26)/(K2+30)</f>
        <v>99.514209401709408</v>
      </c>
      <c r="L27" s="278">
        <f t="shared" si="103"/>
        <v>99.526354166666664</v>
      </c>
      <c r="M27" s="278">
        <f t="shared" ref="M27:N27" si="104">(100*30+M2*M26)/(M2+30)</f>
        <v>99.537906504065049</v>
      </c>
      <c r="N27" s="278">
        <f t="shared" si="104"/>
        <v>99.548908730158729</v>
      </c>
      <c r="O27" s="278">
        <f t="shared" ref="O27:T27" si="105">(100*30+O2*O26)/(O2+30)</f>
        <v>99.559399224806199</v>
      </c>
      <c r="P27" s="278">
        <f t="shared" si="105"/>
        <v>99.569412878787887</v>
      </c>
      <c r="Q27" s="278">
        <f t="shared" si="105"/>
        <v>99.578981481481478</v>
      </c>
      <c r="R27" s="278">
        <f t="shared" si="105"/>
        <v>99.588134057971018</v>
      </c>
      <c r="S27" s="278">
        <f t="shared" si="105"/>
        <v>99.596897163120573</v>
      </c>
      <c r="T27" s="278">
        <f t="shared" si="105"/>
        <v>99.605295138888891</v>
      </c>
      <c r="U27" s="278">
        <f t="shared" ref="U27:V27" si="106">(100*30+U2*U26)/(U2+30)</f>
        <v>99.613350340136051</v>
      </c>
      <c r="V27" s="278">
        <f t="shared" si="106"/>
        <v>99.621083333333331</v>
      </c>
      <c r="W27" s="278">
        <f t="shared" ref="W27:X27" si="107">(100*30+W2*W26)/(W2+30)</f>
        <v>99.628513071895426</v>
      </c>
      <c r="X27" s="278">
        <f t="shared" si="107"/>
        <v>99.635657051282053</v>
      </c>
      <c r="Y27" s="278">
        <f t="shared" ref="Y27:Z27" si="108">(100*30+Y2*Y26)/(Y2+30)</f>
        <v>99.642531446540886</v>
      </c>
      <c r="Z27" s="278">
        <f t="shared" si="108"/>
        <v>99.64915123456791</v>
      </c>
      <c r="AA27" s="278">
        <f t="shared" ref="AA27:AB27" si="109">(100*30+AA2*AA26)/(AA2+30)</f>
        <v>99.655530303030304</v>
      </c>
      <c r="AB27" s="278">
        <f t="shared" si="109"/>
        <v>99.661681547619054</v>
      </c>
      <c r="AC27" s="278">
        <f t="shared" ref="AC27:AD27" si="110">(100*30+AC2*AC26)/(AC2+30)</f>
        <v>99.667616959064333</v>
      </c>
      <c r="AD27" s="278">
        <f t="shared" si="110"/>
        <v>99.673347701149424</v>
      </c>
      <c r="AE27" s="278">
        <f t="shared" ref="AE27:AF27" si="111">(100*30+AE2*AE26)/(AE2+30)</f>
        <v>99.678884180790959</v>
      </c>
      <c r="AF27" s="278">
        <f t="shared" si="111"/>
        <v>99.684236111111119</v>
      </c>
      <c r="AG27" s="278">
        <f t="shared" ref="AG27" si="112">(100*30+AG2*AG26)/(AG2+30)</f>
        <v>99.689412568306011</v>
      </c>
      <c r="AH27" s="201"/>
    </row>
    <row r="28" spans="1:37" ht="30" customHeight="1" x14ac:dyDescent="0.2">
      <c r="A28" s="4" t="s">
        <v>69</v>
      </c>
      <c r="B28" s="36" t="s">
        <v>70</v>
      </c>
      <c r="C28" s="223">
        <f>Totalizer!D29</f>
        <v>3418</v>
      </c>
      <c r="D28" s="223">
        <f>Totalizer!E29</f>
        <v>3596</v>
      </c>
      <c r="E28" s="223">
        <f>Totalizer!F29</f>
        <v>3762</v>
      </c>
      <c r="F28" s="223">
        <f>Totalizer!G29</f>
        <v>3798</v>
      </c>
      <c r="G28" s="223">
        <f>Totalizer!H29</f>
        <v>3444</v>
      </c>
      <c r="H28" s="223">
        <f>Totalizer!I29</f>
        <v>3760</v>
      </c>
      <c r="I28" s="223">
        <f>Totalizer!J29</f>
        <v>3920</v>
      </c>
      <c r="J28" s="223">
        <f>Totalizer!K29</f>
        <v>3920</v>
      </c>
      <c r="K28" s="223">
        <f>Totalizer!L29</f>
        <v>3852</v>
      </c>
      <c r="L28" s="223">
        <f>Totalizer!M29</f>
        <v>3950</v>
      </c>
      <c r="M28" s="223">
        <f>Totalizer!N29</f>
        <v>3956</v>
      </c>
      <c r="N28" s="223">
        <f>Totalizer!O29</f>
        <v>3956</v>
      </c>
      <c r="O28" s="223">
        <f>Totalizer!P29</f>
        <v>4034</v>
      </c>
      <c r="P28" s="223">
        <f>Totalizer!Q29</f>
        <v>3996</v>
      </c>
      <c r="Q28" s="223">
        <f>Totalizer!R29</f>
        <v>4056</v>
      </c>
      <c r="R28" s="223">
        <f>Totalizer!S29</f>
        <v>4060</v>
      </c>
      <c r="S28" s="223">
        <f>Totalizer!T29</f>
        <v>3998</v>
      </c>
      <c r="T28" s="223">
        <f>Totalizer!U29</f>
        <v>4054</v>
      </c>
      <c r="U28" s="223">
        <f>Totalizer!V29</f>
        <v>3982</v>
      </c>
      <c r="V28" s="223">
        <f>Totalizer!W29</f>
        <v>3952</v>
      </c>
      <c r="W28" s="223">
        <f>Totalizer!X29</f>
        <v>4112</v>
      </c>
      <c r="X28" s="223">
        <f>Totalizer!Y29</f>
        <v>4020</v>
      </c>
      <c r="Y28" s="223">
        <f>Totalizer!Z29</f>
        <v>3980</v>
      </c>
      <c r="Z28" s="223">
        <f>Totalizer!AA29</f>
        <v>4028</v>
      </c>
      <c r="AA28" s="223">
        <f>Totalizer!AB29</f>
        <v>4106</v>
      </c>
      <c r="AB28" s="223">
        <f>Totalizer!AC29</f>
        <v>3978</v>
      </c>
      <c r="AC28" s="223">
        <f>Totalizer!AD29</f>
        <v>3660</v>
      </c>
      <c r="AD28" s="223">
        <f>Totalizer!AE29</f>
        <v>3534</v>
      </c>
      <c r="AE28" s="223">
        <f>Totalizer!AF29</f>
        <v>3686</v>
      </c>
      <c r="AF28" s="223">
        <f>Totalizer!AG29</f>
        <v>3776</v>
      </c>
      <c r="AG28" s="223">
        <f>Totalizer!AH29</f>
        <v>3890</v>
      </c>
      <c r="AH28" s="201"/>
    </row>
    <row r="29" spans="1:37" ht="30" customHeight="1" x14ac:dyDescent="0.2">
      <c r="A29" s="4" t="s">
        <v>71</v>
      </c>
      <c r="B29" s="36" t="s">
        <v>72</v>
      </c>
      <c r="C29" s="3">
        <f t="shared" ref="C29:H29" si="113">C28/(C6*1000)</f>
        <v>3.761850121956583</v>
      </c>
      <c r="D29" s="3">
        <f t="shared" si="113"/>
        <v>3.9783577524273355</v>
      </c>
      <c r="E29" s="3">
        <f t="shared" si="113"/>
        <v>3.9632540582890079</v>
      </c>
      <c r="F29" s="3">
        <f t="shared" si="113"/>
        <v>3.964038995435728</v>
      </c>
      <c r="G29" s="3">
        <f t="shared" si="113"/>
        <v>3.9518172230277031</v>
      </c>
      <c r="H29" s="3">
        <f t="shared" si="113"/>
        <v>3.9138473764087198</v>
      </c>
      <c r="I29" s="3">
        <f t="shared" ref="I29:J29" si="114">I28/(I6*1000)</f>
        <v>3.81008987203231</v>
      </c>
      <c r="J29" s="3">
        <f t="shared" si="114"/>
        <v>3.8102883599826596</v>
      </c>
      <c r="K29" s="3">
        <f t="shared" ref="K29:L29" si="115">K28/(K6*1000)</f>
        <v>3.8627711027574541</v>
      </c>
      <c r="L29" s="3">
        <f t="shared" si="115"/>
        <v>3.742017798199142</v>
      </c>
      <c r="M29" s="3">
        <f t="shared" ref="M29:N29" si="116">M28/(M6*1000)</f>
        <v>3.7624510338701542</v>
      </c>
      <c r="N29" s="3">
        <f t="shared" si="116"/>
        <v>3.7083152954661931</v>
      </c>
      <c r="O29" s="3">
        <f t="shared" ref="O29:T29" si="117">O28/(O6*1000)</f>
        <v>3.7379119058203285</v>
      </c>
      <c r="P29" s="3">
        <f t="shared" si="117"/>
        <v>3.6833753985261684</v>
      </c>
      <c r="Q29" s="3">
        <f t="shared" si="117"/>
        <v>3.7178467671000734</v>
      </c>
      <c r="R29" s="3">
        <f t="shared" si="117"/>
        <v>3.7766009764384401</v>
      </c>
      <c r="S29" s="3">
        <f t="shared" si="117"/>
        <v>3.8142106755457963</v>
      </c>
      <c r="T29" s="3">
        <f t="shared" si="117"/>
        <v>3.8222945228601435</v>
      </c>
      <c r="U29" s="3">
        <f t="shared" ref="U29:V29" si="118">U28/(U6*1000)</f>
        <v>3.7647654329720073</v>
      </c>
      <c r="V29" s="3">
        <f t="shared" si="118"/>
        <v>3.708791063955482</v>
      </c>
      <c r="W29" s="3">
        <f t="shared" ref="W29:X29" si="119">W28/(W6*1000)</f>
        <v>3.7709380133068109</v>
      </c>
      <c r="X29" s="3">
        <f t="shared" si="119"/>
        <v>3.7160750092281249</v>
      </c>
      <c r="Y29" s="3">
        <f t="shared" ref="Y29:Z29" si="120">Y28/(Y6*1000)</f>
        <v>3.7021279205489703</v>
      </c>
      <c r="Z29" s="3">
        <f t="shared" si="120"/>
        <v>3.7765125143800322</v>
      </c>
      <c r="AA29" s="3">
        <f t="shared" ref="AA29:AB29" si="121">AA28/(AA6*1000)</f>
        <v>3.716744003759616</v>
      </c>
      <c r="AB29" s="3">
        <f t="shared" si="121"/>
        <v>3.7730329133544123</v>
      </c>
      <c r="AC29" s="3">
        <f t="shared" ref="AC29:AD29" si="122">AC28/(AC6*1000)</f>
        <v>4.109409932189612</v>
      </c>
      <c r="AD29" s="3">
        <f t="shared" si="122"/>
        <v>4.1363577312568491</v>
      </c>
      <c r="AE29" s="3">
        <f t="shared" ref="AE29:AF29" si="123">AE28/(AE6*1000)</f>
        <v>4.1431921135509731</v>
      </c>
      <c r="AF29" s="3">
        <f t="shared" si="123"/>
        <v>4.0394259112772115</v>
      </c>
      <c r="AG29" s="3">
        <f t="shared" ref="AG29" si="124">AG28/(AG6*1000)</f>
        <v>3.8460491616607726</v>
      </c>
      <c r="AH29" s="201"/>
    </row>
    <row r="30" spans="1:37" s="55" customFormat="1" ht="9.75" customHeight="1" x14ac:dyDescent="0.2">
      <c r="A30" s="465"/>
      <c r="B30" s="465"/>
      <c r="C30" s="466"/>
      <c r="D30" s="466"/>
      <c r="E30" s="466"/>
      <c r="F30" s="466"/>
      <c r="G30" s="466"/>
      <c r="H30" s="466"/>
      <c r="I30" s="466"/>
      <c r="J30" s="466"/>
      <c r="K30" s="466"/>
      <c r="L30" s="466"/>
      <c r="M30" s="466"/>
      <c r="N30" s="466"/>
      <c r="O30" s="466"/>
      <c r="P30" s="466"/>
      <c r="Q30" s="466"/>
      <c r="R30" s="466"/>
      <c r="S30" s="466"/>
      <c r="T30" s="466"/>
      <c r="U30" s="466"/>
      <c r="V30" s="466"/>
      <c r="W30" s="466"/>
      <c r="X30" s="466"/>
      <c r="Y30" s="466"/>
      <c r="Z30" s="466"/>
      <c r="AA30" s="466"/>
      <c r="AB30" s="466"/>
      <c r="AC30" s="466"/>
      <c r="AD30" s="466"/>
      <c r="AE30" s="466"/>
      <c r="AF30" s="466"/>
    </row>
    <row r="31" spans="1:37" ht="30" customHeight="1" x14ac:dyDescent="0.2">
      <c r="A31" s="463" t="s">
        <v>73</v>
      </c>
      <c r="B31" s="464"/>
      <c r="C31" s="467"/>
      <c r="D31" s="468"/>
      <c r="E31" s="468"/>
      <c r="F31" s="468"/>
      <c r="G31" s="468"/>
      <c r="H31" s="468"/>
      <c r="I31" s="468"/>
      <c r="J31" s="468"/>
      <c r="K31" s="468"/>
      <c r="L31" s="468"/>
      <c r="M31" s="468"/>
      <c r="N31" s="468"/>
      <c r="O31" s="468"/>
      <c r="P31" s="468"/>
      <c r="Q31" s="468"/>
      <c r="R31" s="468"/>
      <c r="S31" s="468"/>
      <c r="T31" s="468"/>
      <c r="U31" s="468"/>
      <c r="V31" s="468"/>
      <c r="W31" s="468"/>
      <c r="X31" s="468"/>
      <c r="Y31" s="468"/>
      <c r="Z31" s="468"/>
      <c r="AA31" s="468"/>
      <c r="AB31" s="468"/>
      <c r="AC31" s="468"/>
      <c r="AD31" s="468"/>
      <c r="AE31" s="468"/>
      <c r="AF31" s="468"/>
      <c r="AG31" s="468"/>
    </row>
    <row r="32" spans="1:37" ht="30" customHeight="1" x14ac:dyDescent="0.2">
      <c r="A32" s="14" t="s">
        <v>3</v>
      </c>
      <c r="B32" s="337"/>
      <c r="C32" s="469" t="s">
        <v>518</v>
      </c>
      <c r="D32" s="470"/>
      <c r="E32" s="470"/>
      <c r="F32" s="470"/>
      <c r="G32" s="470"/>
      <c r="H32" s="470"/>
      <c r="I32" s="470"/>
      <c r="J32" s="470"/>
      <c r="K32" s="470"/>
      <c r="L32" s="470"/>
      <c r="M32" s="470"/>
      <c r="N32" s="470"/>
      <c r="O32" s="470"/>
      <c r="P32" s="470"/>
      <c r="Q32" s="470"/>
      <c r="R32" s="470"/>
      <c r="S32" s="470"/>
      <c r="T32" s="470"/>
      <c r="U32" s="470"/>
      <c r="V32" s="470"/>
      <c r="W32" s="470"/>
      <c r="X32" s="470"/>
      <c r="Y32" s="470"/>
      <c r="Z32" s="470"/>
      <c r="AA32" s="470"/>
      <c r="AB32" s="470"/>
      <c r="AC32" s="470"/>
      <c r="AD32" s="470"/>
      <c r="AE32" s="470"/>
      <c r="AF32" s="470"/>
      <c r="AG32" s="470"/>
    </row>
    <row r="33" spans="1:34" ht="30" customHeight="1" x14ac:dyDescent="0.2">
      <c r="A33" s="12" t="s">
        <v>58</v>
      </c>
      <c r="B33" s="37" t="s">
        <v>5</v>
      </c>
      <c r="C33" s="327">
        <v>0.8693972192855951</v>
      </c>
      <c r="D33" s="327">
        <v>0.84664415392965697</v>
      </c>
      <c r="E33" s="327">
        <v>0.88910272926617451</v>
      </c>
      <c r="F33" s="327">
        <v>0.80529806902985068</v>
      </c>
      <c r="G33" s="327">
        <v>0.95884838152610419</v>
      </c>
      <c r="H33" s="327">
        <v>0.98074771428571417</v>
      </c>
      <c r="I33" s="327">
        <v>1.0248477164343361</v>
      </c>
      <c r="J33" s="327">
        <v>1.0027227356746766</v>
      </c>
      <c r="K33" s="327">
        <v>0.96016655292109243</v>
      </c>
      <c r="L33" s="329">
        <v>0.99549027179487182</v>
      </c>
      <c r="M33" s="329">
        <v>1.0293489126495106</v>
      </c>
      <c r="N33" s="329">
        <v>1.0597799294117647</v>
      </c>
      <c r="O33" s="329">
        <v>1.1011961163837893</v>
      </c>
      <c r="P33" s="329">
        <v>1.0778558916083916</v>
      </c>
      <c r="Q33" s="329">
        <v>1.108031602905569</v>
      </c>
      <c r="R33" s="329">
        <v>1.1000649906119611</v>
      </c>
      <c r="S33" s="329">
        <v>1.0752677176303653</v>
      </c>
      <c r="T33" s="329">
        <v>1.0796665139133499</v>
      </c>
      <c r="U33" s="329">
        <v>1.0657149132128942</v>
      </c>
      <c r="V33" s="329">
        <v>1.0745896715945089</v>
      </c>
      <c r="W33" s="329">
        <v>1.0984702201039862</v>
      </c>
      <c r="X33" s="329">
        <v>1.0858006100628932</v>
      </c>
      <c r="Y33" s="329">
        <v>1.0620203188559321</v>
      </c>
      <c r="Z33" s="329">
        <v>1.0655994172208609</v>
      </c>
      <c r="AA33" s="329">
        <v>0.2761825939482675</v>
      </c>
      <c r="AB33" s="329">
        <v>1.0092248041527072</v>
      </c>
      <c r="AC33" s="329">
        <v>0.85857982682724243</v>
      </c>
      <c r="AD33" s="329">
        <v>0.798086620932278</v>
      </c>
      <c r="AE33" s="329">
        <v>0.83643373234042562</v>
      </c>
      <c r="AF33" s="329">
        <v>0.89366372630802127</v>
      </c>
      <c r="AG33" s="329">
        <v>0.93408897911832967</v>
      </c>
      <c r="AH33" s="201"/>
    </row>
    <row r="34" spans="1:34" ht="30" customHeight="1" x14ac:dyDescent="0.2">
      <c r="A34" s="12" t="s">
        <v>59</v>
      </c>
      <c r="B34" s="37" t="s">
        <v>5</v>
      </c>
      <c r="C34" s="13">
        <v>0.86499999999999999</v>
      </c>
      <c r="D34" s="13">
        <v>0.84299999999999997</v>
      </c>
      <c r="E34" s="13">
        <v>0.84299999999999997</v>
      </c>
      <c r="F34" s="13">
        <v>0.80100000000000005</v>
      </c>
      <c r="G34" s="13">
        <v>0.95499999999999996</v>
      </c>
      <c r="H34" s="13">
        <v>0.97799999999999998</v>
      </c>
      <c r="I34" s="13">
        <v>1.0249999999999999</v>
      </c>
      <c r="J34" s="13">
        <v>1</v>
      </c>
      <c r="K34" s="13">
        <v>0.95899999999999996</v>
      </c>
      <c r="L34" s="13">
        <v>0.99399999999999999</v>
      </c>
      <c r="M34" s="13">
        <v>1.0249999999999999</v>
      </c>
      <c r="N34" s="329">
        <v>1.0580000000000001</v>
      </c>
      <c r="O34" s="13">
        <v>1.1020000000000001</v>
      </c>
      <c r="P34" s="13">
        <v>1.075</v>
      </c>
      <c r="Q34" s="13">
        <v>1.103</v>
      </c>
      <c r="R34" s="13">
        <v>1.099</v>
      </c>
      <c r="S34" s="13">
        <v>1.0720000000000001</v>
      </c>
      <c r="T34" s="13">
        <v>1.077</v>
      </c>
      <c r="U34" s="13">
        <v>1.0640000000000001</v>
      </c>
      <c r="V34" s="13">
        <v>1.073</v>
      </c>
      <c r="W34" s="13">
        <v>1.095</v>
      </c>
      <c r="X34" s="13">
        <v>1.0820000000000001</v>
      </c>
      <c r="Y34" s="13">
        <v>1.0589999999999999</v>
      </c>
      <c r="Z34" s="13">
        <v>1.073</v>
      </c>
      <c r="AA34" s="13">
        <v>0.27100000000000002</v>
      </c>
      <c r="AB34" s="13">
        <v>1.0069999999999999</v>
      </c>
      <c r="AC34" s="13">
        <v>0.85699999999999998</v>
      </c>
      <c r="AD34" s="13">
        <v>0.79400000000000004</v>
      </c>
      <c r="AE34" s="13">
        <v>0.83299999999999996</v>
      </c>
      <c r="AF34" s="13">
        <v>0.89100000000000001</v>
      </c>
      <c r="AG34" s="13">
        <v>0.93</v>
      </c>
      <c r="AH34" s="201"/>
    </row>
    <row r="35" spans="1:34" ht="30" customHeight="1" x14ac:dyDescent="0.2">
      <c r="A35" s="12" t="s">
        <v>60</v>
      </c>
      <c r="B35" s="37" t="s">
        <v>5</v>
      </c>
      <c r="C35" s="13">
        <f>C33</f>
        <v>0.8693972192855951</v>
      </c>
      <c r="D35" s="13">
        <f t="shared" ref="D35:N35" si="125">D34+C35</f>
        <v>1.7123972192855952</v>
      </c>
      <c r="E35" s="13">
        <f t="shared" si="125"/>
        <v>2.5553972192855952</v>
      </c>
      <c r="F35" s="13">
        <f t="shared" si="125"/>
        <v>3.3563972192855953</v>
      </c>
      <c r="G35" s="13">
        <f t="shared" si="125"/>
        <v>4.3113972192855954</v>
      </c>
      <c r="H35" s="13">
        <f t="shared" si="125"/>
        <v>5.2893972192855951</v>
      </c>
      <c r="I35" s="13">
        <f t="shared" si="125"/>
        <v>6.3143972192855955</v>
      </c>
      <c r="J35" s="13">
        <f t="shared" si="125"/>
        <v>7.3143972192855955</v>
      </c>
      <c r="K35" s="13">
        <f t="shared" si="125"/>
        <v>8.2733972192855951</v>
      </c>
      <c r="L35" s="13">
        <f t="shared" si="125"/>
        <v>9.2673972192855949</v>
      </c>
      <c r="M35" s="13">
        <f t="shared" si="125"/>
        <v>10.292397219285595</v>
      </c>
      <c r="N35" s="13">
        <f t="shared" si="125"/>
        <v>11.350397219285595</v>
      </c>
      <c r="O35" s="13">
        <f t="shared" ref="O35:AG35" si="126">O34+N35</f>
        <v>12.452397219285595</v>
      </c>
      <c r="P35" s="13">
        <f t="shared" si="126"/>
        <v>13.527397219285595</v>
      </c>
      <c r="Q35" s="13">
        <f t="shared" si="126"/>
        <v>14.630397219285594</v>
      </c>
      <c r="R35" s="13">
        <f t="shared" si="126"/>
        <v>15.729397219285595</v>
      </c>
      <c r="S35" s="13">
        <f t="shared" si="126"/>
        <v>16.801397219285594</v>
      </c>
      <c r="T35" s="13">
        <f t="shared" si="126"/>
        <v>17.878397219285596</v>
      </c>
      <c r="U35" s="13">
        <f t="shared" si="126"/>
        <v>18.942397219285596</v>
      </c>
      <c r="V35" s="13">
        <f t="shared" si="126"/>
        <v>20.015397219285596</v>
      </c>
      <c r="W35" s="13">
        <f t="shared" si="126"/>
        <v>21.110397219285595</v>
      </c>
      <c r="X35" s="13">
        <f t="shared" si="126"/>
        <v>22.192397219285596</v>
      </c>
      <c r="Y35" s="13">
        <f t="shared" si="126"/>
        <v>23.251397219285597</v>
      </c>
      <c r="Z35" s="13">
        <f t="shared" si="126"/>
        <v>24.324397219285597</v>
      </c>
      <c r="AA35" s="13">
        <f t="shared" si="126"/>
        <v>24.595397219285598</v>
      </c>
      <c r="AB35" s="13">
        <f t="shared" si="126"/>
        <v>25.602397219285599</v>
      </c>
      <c r="AC35" s="13">
        <f t="shared" si="126"/>
        <v>26.459397219285599</v>
      </c>
      <c r="AD35" s="13">
        <f t="shared" si="126"/>
        <v>27.253397219285599</v>
      </c>
      <c r="AE35" s="13">
        <f t="shared" si="126"/>
        <v>28.086397219285598</v>
      </c>
      <c r="AF35" s="13">
        <f t="shared" si="126"/>
        <v>28.977397219285599</v>
      </c>
      <c r="AG35" s="13">
        <f t="shared" si="126"/>
        <v>29.907397219285599</v>
      </c>
      <c r="AH35" s="201"/>
    </row>
    <row r="36" spans="1:34" ht="30" customHeight="1" x14ac:dyDescent="0.2">
      <c r="A36" s="12" t="s">
        <v>8</v>
      </c>
      <c r="B36" s="37" t="s">
        <v>5</v>
      </c>
      <c r="C36" s="338">
        <f t="shared" ref="C36:H36" si="127">31.044+C35</f>
        <v>31.913397219285596</v>
      </c>
      <c r="D36" s="338">
        <f t="shared" si="127"/>
        <v>32.756397219285596</v>
      </c>
      <c r="E36" s="338">
        <f t="shared" si="127"/>
        <v>33.599397219285592</v>
      </c>
      <c r="F36" s="338">
        <f t="shared" si="127"/>
        <v>34.400397219285594</v>
      </c>
      <c r="G36" s="338">
        <f t="shared" si="127"/>
        <v>35.355397219285592</v>
      </c>
      <c r="H36" s="338">
        <f t="shared" si="127"/>
        <v>36.333397219285594</v>
      </c>
      <c r="I36" s="338">
        <f t="shared" ref="I36:J36" si="128">31.044+I35</f>
        <v>37.358397219285592</v>
      </c>
      <c r="J36" s="338">
        <f t="shared" si="128"/>
        <v>38.358397219285592</v>
      </c>
      <c r="K36" s="338">
        <f t="shared" ref="K36:L36" si="129">31.044+K35</f>
        <v>39.317397219285596</v>
      </c>
      <c r="L36" s="338">
        <f t="shared" si="129"/>
        <v>40.311397219285595</v>
      </c>
      <c r="M36" s="338">
        <f t="shared" ref="M36:N36" si="130">31.044+M35</f>
        <v>41.336397219285594</v>
      </c>
      <c r="N36" s="338">
        <f t="shared" si="130"/>
        <v>42.394397219285594</v>
      </c>
      <c r="O36" s="338">
        <f t="shared" ref="O36:T36" si="131">31.044+O35</f>
        <v>43.496397219285598</v>
      </c>
      <c r="P36" s="338">
        <f t="shared" si="131"/>
        <v>44.571397219285593</v>
      </c>
      <c r="Q36" s="338">
        <f t="shared" si="131"/>
        <v>45.674397219285595</v>
      </c>
      <c r="R36" s="338">
        <f t="shared" si="131"/>
        <v>46.773397219285599</v>
      </c>
      <c r="S36" s="338">
        <f t="shared" si="131"/>
        <v>47.845397219285594</v>
      </c>
      <c r="T36" s="338">
        <f t="shared" si="131"/>
        <v>48.9223972192856</v>
      </c>
      <c r="U36" s="338">
        <f t="shared" ref="U36:V36" si="132">31.044+U35</f>
        <v>49.986397219285593</v>
      </c>
      <c r="V36" s="338">
        <f t="shared" si="132"/>
        <v>51.0593972192856</v>
      </c>
      <c r="W36" s="338">
        <f t="shared" ref="W36:X36" si="133">31.044+W35</f>
        <v>52.154397219285599</v>
      </c>
      <c r="X36" s="338">
        <f t="shared" si="133"/>
        <v>53.236397219285593</v>
      </c>
      <c r="Y36" s="338">
        <f t="shared" ref="Y36:Z36" si="134">31.044+Y35</f>
        <v>54.295397219285597</v>
      </c>
      <c r="Z36" s="338">
        <f t="shared" si="134"/>
        <v>55.368397219285598</v>
      </c>
      <c r="AA36" s="338">
        <f t="shared" ref="AA36:AB36" si="135">31.044+AA35</f>
        <v>55.639397219285598</v>
      </c>
      <c r="AB36" s="338">
        <f t="shared" si="135"/>
        <v>56.646397219285603</v>
      </c>
      <c r="AC36" s="338">
        <f t="shared" ref="AC36:AD36" si="136">31.044+AC35</f>
        <v>57.503397219285603</v>
      </c>
      <c r="AD36" s="338">
        <f t="shared" si="136"/>
        <v>58.2973972192856</v>
      </c>
      <c r="AE36" s="338">
        <f t="shared" ref="AE36:AF36" si="137">31.044+AE35</f>
        <v>59.130397219285598</v>
      </c>
      <c r="AF36" s="338">
        <f t="shared" si="137"/>
        <v>60.021397219285603</v>
      </c>
      <c r="AG36" s="338">
        <f t="shared" ref="AG36" si="138">31.044+AG35</f>
        <v>60.951397219285596</v>
      </c>
      <c r="AH36" s="201"/>
    </row>
    <row r="37" spans="1:34" ht="30" customHeight="1" x14ac:dyDescent="0.2">
      <c r="A37" s="12" t="s">
        <v>61</v>
      </c>
      <c r="B37" s="37" t="s">
        <v>10</v>
      </c>
      <c r="C37" s="339">
        <v>43</v>
      </c>
      <c r="D37" s="339">
        <v>44</v>
      </c>
      <c r="E37" s="339">
        <v>39</v>
      </c>
      <c r="F37" s="339">
        <v>34</v>
      </c>
      <c r="G37" s="339">
        <v>42</v>
      </c>
      <c r="H37" s="339">
        <v>42</v>
      </c>
      <c r="I37" s="339">
        <v>44</v>
      </c>
      <c r="J37" s="339">
        <v>44</v>
      </c>
      <c r="K37" s="339">
        <v>42</v>
      </c>
      <c r="L37" s="339">
        <v>44</v>
      </c>
      <c r="M37" s="339">
        <v>44</v>
      </c>
      <c r="N37" s="339">
        <v>45</v>
      </c>
      <c r="O37" s="339">
        <v>47</v>
      </c>
      <c r="P37" s="339">
        <v>46</v>
      </c>
      <c r="Q37" s="339">
        <v>47</v>
      </c>
      <c r="R37" s="339">
        <v>47</v>
      </c>
      <c r="S37" s="339">
        <v>46</v>
      </c>
      <c r="T37" s="339">
        <v>46</v>
      </c>
      <c r="U37" s="339">
        <v>46</v>
      </c>
      <c r="V37" s="339">
        <v>45.7</v>
      </c>
      <c r="W37" s="339">
        <v>47</v>
      </c>
      <c r="X37" s="339">
        <v>46.5</v>
      </c>
      <c r="Y37" s="339">
        <v>46</v>
      </c>
      <c r="Z37" s="339">
        <v>46</v>
      </c>
      <c r="AA37" s="339">
        <v>46</v>
      </c>
      <c r="AB37" s="339">
        <v>46</v>
      </c>
      <c r="AC37" s="339">
        <v>41</v>
      </c>
      <c r="AD37" s="339">
        <v>34.5</v>
      </c>
      <c r="AE37" s="339">
        <v>36</v>
      </c>
      <c r="AF37" s="339">
        <v>38</v>
      </c>
      <c r="AG37" s="339">
        <v>41</v>
      </c>
      <c r="AH37" s="201"/>
    </row>
    <row r="38" spans="1:34" ht="30" customHeight="1" x14ac:dyDescent="0.2">
      <c r="A38" s="12" t="s">
        <v>62</v>
      </c>
      <c r="B38" s="37" t="s">
        <v>10</v>
      </c>
      <c r="C38" s="339">
        <v>0</v>
      </c>
      <c r="D38" s="339">
        <v>0</v>
      </c>
      <c r="E38" s="339">
        <v>34</v>
      </c>
      <c r="F38" s="339">
        <v>33</v>
      </c>
      <c r="G38" s="339">
        <v>34</v>
      </c>
      <c r="H38" s="339">
        <v>39</v>
      </c>
      <c r="I38" s="339">
        <v>42</v>
      </c>
      <c r="J38" s="339">
        <v>40</v>
      </c>
      <c r="K38" s="339">
        <v>40</v>
      </c>
      <c r="L38" s="339">
        <v>40.5</v>
      </c>
      <c r="M38" s="339">
        <v>42</v>
      </c>
      <c r="N38" s="339">
        <v>43</v>
      </c>
      <c r="O38" s="339">
        <v>45</v>
      </c>
      <c r="P38" s="339">
        <v>44</v>
      </c>
      <c r="Q38" s="339">
        <v>46</v>
      </c>
      <c r="R38" s="339">
        <v>46</v>
      </c>
      <c r="S38" s="339">
        <v>43.5</v>
      </c>
      <c r="T38" s="339">
        <v>44</v>
      </c>
      <c r="U38" s="339">
        <v>43</v>
      </c>
      <c r="V38" s="339">
        <v>43</v>
      </c>
      <c r="W38" s="339">
        <v>44</v>
      </c>
      <c r="X38" s="339">
        <v>45</v>
      </c>
      <c r="Y38" s="339">
        <v>44</v>
      </c>
      <c r="Z38" s="339">
        <v>44</v>
      </c>
      <c r="AA38" s="339">
        <v>0</v>
      </c>
      <c r="AB38" s="339">
        <v>41</v>
      </c>
      <c r="AC38" s="339">
        <v>32</v>
      </c>
      <c r="AD38" s="339">
        <v>32</v>
      </c>
      <c r="AE38" s="339">
        <v>34</v>
      </c>
      <c r="AF38" s="339">
        <v>34</v>
      </c>
      <c r="AG38" s="339">
        <v>38</v>
      </c>
      <c r="AH38" s="201"/>
    </row>
    <row r="39" spans="1:34" ht="30" customHeight="1" x14ac:dyDescent="0.2">
      <c r="A39" s="12" t="s">
        <v>63</v>
      </c>
      <c r="B39" s="37" t="s">
        <v>10</v>
      </c>
      <c r="C39" s="338">
        <f>C33*1000/24</f>
        <v>36.224884136899796</v>
      </c>
      <c r="D39" s="338">
        <f t="shared" ref="D39:E39" si="139">D34*1000/24</f>
        <v>35.125</v>
      </c>
      <c r="E39" s="338">
        <f t="shared" si="139"/>
        <v>35.125</v>
      </c>
      <c r="F39" s="338">
        <f t="shared" ref="F39:G39" si="140">F34*1000/24</f>
        <v>33.375</v>
      </c>
      <c r="G39" s="338">
        <f t="shared" si="140"/>
        <v>39.791666666666664</v>
      </c>
      <c r="H39" s="338">
        <f t="shared" ref="H39:J39" si="141">H34*1000/24</f>
        <v>40.75</v>
      </c>
      <c r="I39" s="338">
        <f t="shared" si="141"/>
        <v>42.708333333333336</v>
      </c>
      <c r="J39" s="338">
        <f t="shared" si="141"/>
        <v>41.666666666666664</v>
      </c>
      <c r="K39" s="338">
        <f t="shared" ref="K39:L39" si="142">K34*1000/24</f>
        <v>39.958333333333336</v>
      </c>
      <c r="L39" s="338">
        <f t="shared" si="142"/>
        <v>41.416666666666664</v>
      </c>
      <c r="M39" s="338">
        <f t="shared" ref="M39:N39" si="143">M34*1000/24</f>
        <v>42.708333333333336</v>
      </c>
      <c r="N39" s="338">
        <f t="shared" si="143"/>
        <v>44.083333333333336</v>
      </c>
      <c r="O39" s="338">
        <f t="shared" ref="O39:T39" si="144">O34*1000/24</f>
        <v>45.916666666666664</v>
      </c>
      <c r="P39" s="338">
        <f t="shared" si="144"/>
        <v>44.791666666666664</v>
      </c>
      <c r="Q39" s="338">
        <f t="shared" si="144"/>
        <v>45.958333333333336</v>
      </c>
      <c r="R39" s="338">
        <f t="shared" si="144"/>
        <v>45.791666666666664</v>
      </c>
      <c r="S39" s="338">
        <f t="shared" si="144"/>
        <v>44.666666666666664</v>
      </c>
      <c r="T39" s="338">
        <f t="shared" si="144"/>
        <v>44.875</v>
      </c>
      <c r="U39" s="338">
        <f t="shared" ref="U39:V39" si="145">U34*1000/24</f>
        <v>44.333333333333336</v>
      </c>
      <c r="V39" s="338">
        <f t="shared" si="145"/>
        <v>44.708333333333336</v>
      </c>
      <c r="W39" s="338">
        <f t="shared" ref="W39:X39" si="146">W34*1000/24</f>
        <v>45.625</v>
      </c>
      <c r="X39" s="338">
        <f t="shared" si="146"/>
        <v>45.083333333333336</v>
      </c>
      <c r="Y39" s="338">
        <f t="shared" ref="Y39:Z39" si="147">Y34*1000/24</f>
        <v>44.125</v>
      </c>
      <c r="Z39" s="338">
        <f t="shared" si="147"/>
        <v>44.708333333333336</v>
      </c>
      <c r="AA39" s="338">
        <f t="shared" ref="AA39:AB39" si="148">AA34*1000/24</f>
        <v>11.291666666666666</v>
      </c>
      <c r="AB39" s="338">
        <f t="shared" si="148"/>
        <v>41.958333333333329</v>
      </c>
      <c r="AC39" s="338">
        <f t="shared" ref="AC39:AD39" si="149">AC34*1000/24</f>
        <v>35.708333333333336</v>
      </c>
      <c r="AD39" s="338">
        <f t="shared" si="149"/>
        <v>33.083333333333336</v>
      </c>
      <c r="AE39" s="338">
        <f t="shared" ref="AE39:AF39" si="150">AE34*1000/24</f>
        <v>34.708333333333336</v>
      </c>
      <c r="AF39" s="338">
        <f t="shared" si="150"/>
        <v>37.125</v>
      </c>
      <c r="AG39" s="338">
        <f t="shared" ref="AG39" si="151">AG34*1000/24</f>
        <v>38.75</v>
      </c>
      <c r="AH39" s="201"/>
    </row>
    <row r="40" spans="1:34" ht="30" customHeight="1" x14ac:dyDescent="0.2">
      <c r="A40" s="15" t="s">
        <v>12</v>
      </c>
      <c r="B40" s="337"/>
      <c r="C40" s="471" t="s">
        <v>519</v>
      </c>
      <c r="D40" s="472"/>
      <c r="E40" s="472"/>
      <c r="F40" s="472"/>
      <c r="G40" s="472"/>
      <c r="H40" s="472"/>
      <c r="I40" s="472"/>
      <c r="J40" s="472"/>
      <c r="K40" s="472"/>
      <c r="L40" s="472"/>
      <c r="M40" s="472"/>
      <c r="N40" s="472"/>
      <c r="O40" s="472"/>
      <c r="P40" s="472"/>
      <c r="Q40" s="472"/>
      <c r="R40" s="472"/>
      <c r="S40" s="472"/>
      <c r="T40" s="472"/>
      <c r="U40" s="472"/>
      <c r="V40" s="472"/>
      <c r="W40" s="472"/>
      <c r="X40" s="472"/>
      <c r="Y40" s="472"/>
      <c r="Z40" s="472"/>
      <c r="AA40" s="472"/>
      <c r="AB40" s="472"/>
      <c r="AC40" s="472"/>
      <c r="AD40" s="472"/>
      <c r="AE40" s="472"/>
      <c r="AF40" s="472"/>
      <c r="AG40" s="472"/>
    </row>
    <row r="41" spans="1:34" ht="30" customHeight="1" x14ac:dyDescent="0.2">
      <c r="A41" s="12" t="s">
        <v>59</v>
      </c>
      <c r="B41" s="37" t="s">
        <v>13</v>
      </c>
      <c r="C41" s="269">
        <f>(C33*100000)/(42*24)</f>
        <v>86.249724135475702</v>
      </c>
      <c r="D41" s="269">
        <f>(D33*100000)/(42*24)</f>
        <v>83.992475588259623</v>
      </c>
      <c r="E41" s="269">
        <f t="shared" ref="E41:F41" si="152">(E33*100000)/(42*24)</f>
        <v>88.204635839898273</v>
      </c>
      <c r="F41" s="269">
        <f t="shared" si="152"/>
        <v>79.890681451374078</v>
      </c>
      <c r="G41" s="269">
        <f t="shared" ref="G41:H41" si="153">(G33*100000)/(42*24)</f>
        <v>95.123847373621444</v>
      </c>
      <c r="H41" s="269">
        <f t="shared" si="153"/>
        <v>97.296400226757356</v>
      </c>
      <c r="I41" s="269">
        <f t="shared" ref="I41:J41" si="154">(I33*100000)/(42*24)</f>
        <v>101.67140043991431</v>
      </c>
      <c r="J41" s="269">
        <f t="shared" si="154"/>
        <v>99.476461872487761</v>
      </c>
      <c r="K41" s="269">
        <f t="shared" ref="K41:L41" si="155">(K33*100000)/(42*24)</f>
        <v>95.254618345346472</v>
      </c>
      <c r="L41" s="269">
        <f t="shared" si="155"/>
        <v>98.75895553520553</v>
      </c>
      <c r="M41" s="269">
        <f t="shared" ref="M41:N41" si="156">(M33*100000)/(42*24)</f>
        <v>102.11794768348319</v>
      </c>
      <c r="N41" s="269">
        <f t="shared" si="156"/>
        <v>105.13689775910365</v>
      </c>
      <c r="O41" s="269">
        <f t="shared" ref="O41:T41" si="157">(O33*100000)/(42*24)</f>
        <v>109.24564646664577</v>
      </c>
      <c r="P41" s="269">
        <f t="shared" si="157"/>
        <v>106.93014797702297</v>
      </c>
      <c r="Q41" s="269">
        <f t="shared" si="157"/>
        <v>109.92377012952073</v>
      </c>
      <c r="R41" s="269">
        <f t="shared" si="157"/>
        <v>109.13343160832947</v>
      </c>
      <c r="S41" s="269">
        <f t="shared" si="157"/>
        <v>106.67338468555212</v>
      </c>
      <c r="T41" s="269">
        <f t="shared" si="157"/>
        <v>107.10977320568948</v>
      </c>
      <c r="U41" s="269">
        <f t="shared" ref="U41:V41" si="158">(U33*100000)/(42*24)</f>
        <v>105.72568583461252</v>
      </c>
      <c r="V41" s="269">
        <f t="shared" si="158"/>
        <v>106.60611821374097</v>
      </c>
      <c r="W41" s="269">
        <f t="shared" ref="W41:X41" si="159">(W33*100000)/(42*24)</f>
        <v>108.97522024841133</v>
      </c>
      <c r="X41" s="269">
        <f t="shared" si="159"/>
        <v>107.7183144903664</v>
      </c>
      <c r="Y41" s="269">
        <f t="shared" ref="Y41:Z41" si="160">(Y33*100000)/(42*24)</f>
        <v>105.35915861665994</v>
      </c>
      <c r="Z41" s="269">
        <f t="shared" si="160"/>
        <v>105.71422789889493</v>
      </c>
      <c r="AA41" s="269">
        <f t="shared" ref="AA41:AB41" si="161">(AA33*100000)/(42*24)</f>
        <v>27.399066859947173</v>
      </c>
      <c r="AB41" s="269">
        <f t="shared" si="161"/>
        <v>100.12150834848286</v>
      </c>
      <c r="AC41" s="269">
        <f t="shared" ref="AC41:AD41" si="162">(AC33*100000)/(42*24)</f>
        <v>85.176570121750231</v>
      </c>
      <c r="AD41" s="269">
        <f t="shared" si="162"/>
        <v>79.175260013122823</v>
      </c>
      <c r="AE41" s="269">
        <f t="shared" ref="AE41:AF41" si="163">(AE33*100000)/(42*24)</f>
        <v>82.979536938534295</v>
      </c>
      <c r="AF41" s="269">
        <f t="shared" si="163"/>
        <v>88.657115705160848</v>
      </c>
      <c r="AG41" s="269">
        <f t="shared" ref="AG41" si="164">(AG33*100000)/(42*24)</f>
        <v>92.667557452215249</v>
      </c>
      <c r="AH41" s="201"/>
    </row>
    <row r="42" spans="1:34" ht="30" customHeight="1" x14ac:dyDescent="0.2">
      <c r="A42" s="12" t="s">
        <v>60</v>
      </c>
      <c r="B42" s="37" t="s">
        <v>13</v>
      </c>
      <c r="C42" s="269">
        <f>(C35*1000)/(42*24*C2)%</f>
        <v>86.249724135475702</v>
      </c>
      <c r="D42" s="269">
        <f t="shared" ref="D42:E42" si="165">(D35*1000)/(42*24*D2)%</f>
        <v>84.940338258214041</v>
      </c>
      <c r="E42" s="269">
        <f t="shared" si="165"/>
        <v>84.50387629912683</v>
      </c>
      <c r="F42" s="269">
        <f t="shared" ref="F42:G42" si="166">(F35*1000)/(42*24*F2)%</f>
        <v>83.243978652916553</v>
      </c>
      <c r="G42" s="269">
        <f t="shared" si="166"/>
        <v>85.543595620745947</v>
      </c>
      <c r="H42" s="269">
        <f t="shared" ref="H42:I42" si="167">(H35*1000)/(42*24*H2)%</f>
        <v>87.456964604589871</v>
      </c>
      <c r="I42" s="269">
        <f t="shared" si="167"/>
        <v>89.489756509149586</v>
      </c>
      <c r="J42" s="269">
        <f t="shared" ref="J42:K42" si="168">(J35*1000)/(42*24*J2)%</f>
        <v>90.704330596299542</v>
      </c>
      <c r="K42" s="269">
        <f t="shared" si="168"/>
        <v>91.197059295476137</v>
      </c>
      <c r="L42" s="269">
        <f t="shared" ref="L42:M42" si="169">(L35*1000)/(42*24*L2)%</f>
        <v>91.938464477039631</v>
      </c>
      <c r="M42" s="269">
        <f t="shared" si="169"/>
        <v>92.8246502460822</v>
      </c>
      <c r="N42" s="269">
        <f t="shared" ref="N42" si="170">(N35*1000)/(42*24*N2)%</f>
        <v>93.83595584726848</v>
      </c>
      <c r="O42" s="269">
        <f t="shared" ref="O42:T42" si="171">(O35*1000)/(42*24*O2)%</f>
        <v>95.027451307124522</v>
      </c>
      <c r="P42" s="269">
        <f t="shared" si="171"/>
        <v>95.857406599245991</v>
      </c>
      <c r="Q42" s="269">
        <f t="shared" si="171"/>
        <v>96.76188637093648</v>
      </c>
      <c r="R42" s="269">
        <f t="shared" si="171"/>
        <v>97.528504583864049</v>
      </c>
      <c r="S42" s="269">
        <f t="shared" si="171"/>
        <v>98.04736939359006</v>
      </c>
      <c r="T42" s="269">
        <f t="shared" si="171"/>
        <v>98.536139877014961</v>
      </c>
      <c r="U42" s="269">
        <f t="shared" ref="U42:V42" si="172">(U35*1000)/(42*24*U2)%</f>
        <v>98.905582807464455</v>
      </c>
      <c r="V42" s="269">
        <f t="shared" si="172"/>
        <v>99.282724302011886</v>
      </c>
      <c r="W42" s="269">
        <f t="shared" ref="W42:X42" si="173">(W35*1000)/(42*24*W2)%</f>
        <v>99.727878020056664</v>
      </c>
      <c r="X42" s="269">
        <f t="shared" si="173"/>
        <v>100.07394128465727</v>
      </c>
      <c r="Y42" s="269">
        <f t="shared" ref="Y42:Z42" si="174">(Y35*1000)/(42*24*Y2)%</f>
        <v>100.29070574226017</v>
      </c>
      <c r="Z42" s="269">
        <f t="shared" si="174"/>
        <v>100.5472768654332</v>
      </c>
      <c r="AA42" s="269">
        <f t="shared" ref="AA42:AB42" si="175">(AA35*1000)/(42*24*AA2)%</f>
        <v>97.600782616212697</v>
      </c>
      <c r="AB42" s="269">
        <f t="shared" si="175"/>
        <v>97.689244579081191</v>
      </c>
      <c r="AC42" s="269">
        <f t="shared" ref="AC42:AD42" si="176">(AC35*1000)/(42*24*AC2)%</f>
        <v>97.2200074194797</v>
      </c>
      <c r="AD42" s="269">
        <f t="shared" si="176"/>
        <v>96.56107291413548</v>
      </c>
      <c r="AE42" s="269">
        <f t="shared" ref="AE42:AF42" si="177">(AE35*1000)/(42*24*AE2)%</f>
        <v>96.080997602920078</v>
      </c>
      <c r="AF42" s="269">
        <f t="shared" si="177"/>
        <v>95.824726254251317</v>
      </c>
      <c r="AG42" s="269">
        <f t="shared" ref="AG42" si="178">(AG35*1000)/(42*24*AG2)%</f>
        <v>95.70979652869174</v>
      </c>
      <c r="AH42" s="201"/>
    </row>
    <row r="43" spans="1:34" ht="30" customHeight="1" x14ac:dyDescent="0.2">
      <c r="A43" s="12" t="s">
        <v>8</v>
      </c>
      <c r="B43" s="37" t="s">
        <v>13</v>
      </c>
      <c r="C43" s="269">
        <f t="shared" ref="C43:H43" si="179">(C36*10^3)/((24*(30+C2)*42)%)</f>
        <v>102.12940738378646</v>
      </c>
      <c r="D43" s="269">
        <f t="shared" si="179"/>
        <v>101.5513306649479</v>
      </c>
      <c r="E43" s="269">
        <f t="shared" si="179"/>
        <v>101.00828889876622</v>
      </c>
      <c r="F43" s="269">
        <f t="shared" si="179"/>
        <v>100.37464174628148</v>
      </c>
      <c r="G43" s="269">
        <f t="shared" si="179"/>
        <v>100.21371093901813</v>
      </c>
      <c r="H43" s="269">
        <f t="shared" si="179"/>
        <v>100.12510256637344</v>
      </c>
      <c r="I43" s="269">
        <f t="shared" ref="I43:J43" si="180">(I36*10^3)/((24*(30+I2)*42)%)</f>
        <v>100.16730271151222</v>
      </c>
      <c r="J43" s="269">
        <f t="shared" si="180"/>
        <v>100.14201446137633</v>
      </c>
      <c r="K43" s="269">
        <f t="shared" ref="K43:L43" si="181">(K36*10^3)/((24*(30+K2)*42)%)</f>
        <v>100.01372919028692</v>
      </c>
      <c r="L43" s="269">
        <f t="shared" si="181"/>
        <v>99.978663738307532</v>
      </c>
      <c r="M43" s="269">
        <f t="shared" ref="M43:N43" si="182">(M36*10^3)/((24*(30+M2)*42)%)</f>
        <v>100.02031847484901</v>
      </c>
      <c r="N43" s="269">
        <f t="shared" si="182"/>
        <v>100.13793749831252</v>
      </c>
      <c r="O43" s="269">
        <f t="shared" ref="O43:T43" si="183">(O36*10^3)/((24*(30+O2)*42)%)</f>
        <v>100.35159934312844</v>
      </c>
      <c r="P43" s="269">
        <f t="shared" si="183"/>
        <v>100.49467266253066</v>
      </c>
      <c r="Q43" s="269">
        <f t="shared" si="183"/>
        <v>100.69311556279892</v>
      </c>
      <c r="R43" s="269">
        <f t="shared" si="183"/>
        <v>100.87430387182022</v>
      </c>
      <c r="S43" s="269">
        <f t="shared" si="183"/>
        <v>100.9907911585731</v>
      </c>
      <c r="T43" s="269">
        <f t="shared" si="183"/>
        <v>101.11275880308698</v>
      </c>
      <c r="U43" s="269">
        <f t="shared" ref="U43:V43" si="184">(U36*10^3)/((24*(30+U2)*42)%)</f>
        <v>101.2034281245659</v>
      </c>
      <c r="V43" s="269">
        <f t="shared" si="184"/>
        <v>101.30832781604286</v>
      </c>
      <c r="W43" s="269">
        <f t="shared" ref="W43:X43" si="185">(W36*10^3)/((24*(30+W2)*42)%)</f>
        <v>101.45190868986461</v>
      </c>
      <c r="X43" s="269">
        <f t="shared" si="185"/>
        <v>101.56516563508394</v>
      </c>
      <c r="Y43" s="269">
        <f t="shared" ref="Y43:Z43" si="186">(Y36*10^3)/((24*(30+Y2)*42)%)</f>
        <v>101.63109692139412</v>
      </c>
      <c r="Z43" s="269">
        <f t="shared" si="186"/>
        <v>101.72030647282038</v>
      </c>
      <c r="AA43" s="269">
        <f t="shared" ref="AA43:AB43" si="187">(AA36*10^3)/((24*(30+AA2)*42)%)</f>
        <v>100.35966309394951</v>
      </c>
      <c r="AB43" s="269">
        <f t="shared" si="187"/>
        <v>100.35146899675028</v>
      </c>
      <c r="AC43" s="269">
        <f t="shared" ref="AC43:AD43" si="188">(AC36*10^3)/((24*(30+AC2)*42)%)</f>
        <v>100.08249307171681</v>
      </c>
      <c r="AD43" s="269">
        <f t="shared" si="188"/>
        <v>99.71503355789136</v>
      </c>
      <c r="AE43" s="269">
        <f t="shared" ref="AE43:AF43" si="189">(AE36*10^3)/((24*(30+AE2)*42)%)</f>
        <v>99.425607377060786</v>
      </c>
      <c r="AF43" s="269">
        <f t="shared" si="189"/>
        <v>99.241728206490748</v>
      </c>
      <c r="AG43" s="269">
        <f t="shared" ref="AG43" si="190">(AG36*10^3)/((24*(30+AG2)*42)%)</f>
        <v>99.127304871333578</v>
      </c>
      <c r="AH43" s="201"/>
    </row>
    <row r="44" spans="1:34" ht="30" customHeight="1" x14ac:dyDescent="0.2">
      <c r="A44" s="12" t="s">
        <v>64</v>
      </c>
      <c r="B44" s="37" t="s">
        <v>65</v>
      </c>
      <c r="C44" s="340">
        <v>20.62</v>
      </c>
      <c r="D44" s="269">
        <v>21.833333333333332</v>
      </c>
      <c r="E44" s="269">
        <v>24</v>
      </c>
      <c r="F44" s="269">
        <v>24</v>
      </c>
      <c r="G44" s="269">
        <v>24</v>
      </c>
      <c r="H44" s="269">
        <v>24</v>
      </c>
      <c r="I44" s="269">
        <v>24</v>
      </c>
      <c r="J44" s="269">
        <v>24</v>
      </c>
      <c r="K44" s="269">
        <v>24</v>
      </c>
      <c r="L44" s="269">
        <v>24</v>
      </c>
      <c r="M44" s="269">
        <v>24</v>
      </c>
      <c r="N44" s="269">
        <v>24</v>
      </c>
      <c r="O44" s="269">
        <v>24</v>
      </c>
      <c r="P44" s="269">
        <v>24</v>
      </c>
      <c r="Q44" s="269">
        <v>24</v>
      </c>
      <c r="R44" s="269">
        <v>24</v>
      </c>
      <c r="S44" s="269">
        <v>24</v>
      </c>
      <c r="T44" s="269">
        <v>24</v>
      </c>
      <c r="U44" s="269">
        <v>24</v>
      </c>
      <c r="V44" s="269">
        <v>24</v>
      </c>
      <c r="W44" s="269">
        <v>24</v>
      </c>
      <c r="X44" s="269">
        <v>24</v>
      </c>
      <c r="Y44" s="269">
        <v>24</v>
      </c>
      <c r="Z44" s="269">
        <v>24</v>
      </c>
      <c r="AA44" s="340">
        <v>7.8</v>
      </c>
      <c r="AB44" s="340">
        <v>24</v>
      </c>
      <c r="AC44" s="340">
        <v>24</v>
      </c>
      <c r="AD44" s="340">
        <v>24</v>
      </c>
      <c r="AE44" s="340">
        <v>24</v>
      </c>
      <c r="AF44" s="340">
        <v>24</v>
      </c>
      <c r="AG44" s="340">
        <v>24</v>
      </c>
      <c r="AH44" s="201"/>
    </row>
    <row r="45" spans="1:34" ht="30" customHeight="1" x14ac:dyDescent="0.2">
      <c r="A45" s="12" t="s">
        <v>66</v>
      </c>
      <c r="B45" s="37" t="s">
        <v>65</v>
      </c>
      <c r="C45" s="340">
        <f>C44</f>
        <v>20.62</v>
      </c>
      <c r="D45" s="269">
        <f t="shared" ref="D45:N45" si="191">D44+C45</f>
        <v>42.453333333333333</v>
      </c>
      <c r="E45" s="269">
        <f t="shared" si="191"/>
        <v>66.453333333333333</v>
      </c>
      <c r="F45" s="269">
        <f t="shared" si="191"/>
        <v>90.453333333333333</v>
      </c>
      <c r="G45" s="269">
        <f t="shared" si="191"/>
        <v>114.45333333333333</v>
      </c>
      <c r="H45" s="269">
        <f t="shared" si="191"/>
        <v>138.45333333333332</v>
      </c>
      <c r="I45" s="269">
        <f t="shared" si="191"/>
        <v>162.45333333333332</v>
      </c>
      <c r="J45" s="269">
        <f t="shared" si="191"/>
        <v>186.45333333333332</v>
      </c>
      <c r="K45" s="269">
        <f t="shared" si="191"/>
        <v>210.45333333333332</v>
      </c>
      <c r="L45" s="269">
        <f t="shared" si="191"/>
        <v>234.45333333333332</v>
      </c>
      <c r="M45" s="269">
        <f t="shared" si="191"/>
        <v>258.45333333333332</v>
      </c>
      <c r="N45" s="269">
        <f t="shared" si="191"/>
        <v>282.45333333333332</v>
      </c>
      <c r="O45" s="269">
        <f t="shared" ref="O45:AG45" si="192">O44+N45</f>
        <v>306.45333333333332</v>
      </c>
      <c r="P45" s="269">
        <f t="shared" si="192"/>
        <v>330.45333333333332</v>
      </c>
      <c r="Q45" s="269">
        <f t="shared" si="192"/>
        <v>354.45333333333332</v>
      </c>
      <c r="R45" s="269">
        <f t="shared" si="192"/>
        <v>378.45333333333332</v>
      </c>
      <c r="S45" s="269">
        <f t="shared" si="192"/>
        <v>402.45333333333332</v>
      </c>
      <c r="T45" s="269">
        <f t="shared" si="192"/>
        <v>426.45333333333332</v>
      </c>
      <c r="U45" s="269">
        <f t="shared" si="192"/>
        <v>450.45333333333332</v>
      </c>
      <c r="V45" s="269">
        <f t="shared" si="192"/>
        <v>474.45333333333332</v>
      </c>
      <c r="W45" s="269">
        <f t="shared" si="192"/>
        <v>498.45333333333332</v>
      </c>
      <c r="X45" s="269">
        <f t="shared" si="192"/>
        <v>522.45333333333338</v>
      </c>
      <c r="Y45" s="269">
        <f t="shared" si="192"/>
        <v>546.45333333333338</v>
      </c>
      <c r="Z45" s="269">
        <f t="shared" si="192"/>
        <v>570.45333333333338</v>
      </c>
      <c r="AA45" s="269">
        <f t="shared" si="192"/>
        <v>578.25333333333333</v>
      </c>
      <c r="AB45" s="269">
        <f t="shared" si="192"/>
        <v>602.25333333333333</v>
      </c>
      <c r="AC45" s="269">
        <f t="shared" si="192"/>
        <v>626.25333333333333</v>
      </c>
      <c r="AD45" s="269">
        <f t="shared" si="192"/>
        <v>650.25333333333333</v>
      </c>
      <c r="AE45" s="269">
        <f t="shared" si="192"/>
        <v>674.25333333333333</v>
      </c>
      <c r="AF45" s="269">
        <f t="shared" si="192"/>
        <v>698.25333333333333</v>
      </c>
      <c r="AG45" s="269">
        <f t="shared" si="192"/>
        <v>722.25333333333333</v>
      </c>
      <c r="AH45" s="201"/>
    </row>
    <row r="46" spans="1:34" ht="30" customHeight="1" x14ac:dyDescent="0.2">
      <c r="A46" s="12" t="s">
        <v>67</v>
      </c>
      <c r="B46" s="37" t="s">
        <v>65</v>
      </c>
      <c r="C46" s="340">
        <f t="shared" ref="C46:H46" si="193">720+C45</f>
        <v>740.62</v>
      </c>
      <c r="D46" s="269">
        <f t="shared" si="193"/>
        <v>762.45333333333338</v>
      </c>
      <c r="E46" s="269">
        <f t="shared" si="193"/>
        <v>786.45333333333338</v>
      </c>
      <c r="F46" s="269">
        <f t="shared" si="193"/>
        <v>810.45333333333338</v>
      </c>
      <c r="G46" s="269">
        <f t="shared" si="193"/>
        <v>834.45333333333338</v>
      </c>
      <c r="H46" s="269">
        <f t="shared" si="193"/>
        <v>858.45333333333338</v>
      </c>
      <c r="I46" s="269">
        <f t="shared" ref="I46:J46" si="194">720+I45</f>
        <v>882.45333333333338</v>
      </c>
      <c r="J46" s="269">
        <f t="shared" si="194"/>
        <v>906.45333333333338</v>
      </c>
      <c r="K46" s="269">
        <f t="shared" ref="K46:L46" si="195">720+K45</f>
        <v>930.45333333333338</v>
      </c>
      <c r="L46" s="269">
        <f t="shared" si="195"/>
        <v>954.45333333333338</v>
      </c>
      <c r="M46" s="269">
        <f t="shared" ref="M46:N46" si="196">720+M45</f>
        <v>978.45333333333338</v>
      </c>
      <c r="N46" s="269">
        <f t="shared" si="196"/>
        <v>1002.4533333333334</v>
      </c>
      <c r="O46" s="269">
        <f t="shared" ref="O46:T46" si="197">720+O45</f>
        <v>1026.4533333333334</v>
      </c>
      <c r="P46" s="269">
        <f t="shared" si="197"/>
        <v>1050.4533333333334</v>
      </c>
      <c r="Q46" s="269">
        <f t="shared" si="197"/>
        <v>1074.4533333333334</v>
      </c>
      <c r="R46" s="269">
        <f t="shared" si="197"/>
        <v>1098.4533333333334</v>
      </c>
      <c r="S46" s="269">
        <f t="shared" si="197"/>
        <v>1122.4533333333334</v>
      </c>
      <c r="T46" s="269">
        <f t="shared" si="197"/>
        <v>1146.4533333333334</v>
      </c>
      <c r="U46" s="269">
        <f t="shared" ref="U46:V46" si="198">720+U45</f>
        <v>1170.4533333333334</v>
      </c>
      <c r="V46" s="269">
        <f t="shared" si="198"/>
        <v>1194.4533333333334</v>
      </c>
      <c r="W46" s="269">
        <f t="shared" ref="W46:X46" si="199">720+W45</f>
        <v>1218.4533333333334</v>
      </c>
      <c r="X46" s="269">
        <f t="shared" si="199"/>
        <v>1242.4533333333334</v>
      </c>
      <c r="Y46" s="269">
        <f t="shared" ref="Y46:Z46" si="200">720+Y45</f>
        <v>1266.4533333333334</v>
      </c>
      <c r="Z46" s="269">
        <f t="shared" si="200"/>
        <v>1290.4533333333334</v>
      </c>
      <c r="AA46" s="269">
        <f t="shared" ref="AA46:AB46" si="201">720+AA45</f>
        <v>1298.2533333333333</v>
      </c>
      <c r="AB46" s="269">
        <f t="shared" si="201"/>
        <v>1322.2533333333333</v>
      </c>
      <c r="AC46" s="269">
        <f t="shared" ref="AC46:AD46" si="202">720+AC45</f>
        <v>1346.2533333333333</v>
      </c>
      <c r="AD46" s="269">
        <f t="shared" si="202"/>
        <v>1370.2533333333333</v>
      </c>
      <c r="AE46" s="269">
        <f t="shared" ref="AE46:AF46" si="203">720+AE45</f>
        <v>1394.2533333333333</v>
      </c>
      <c r="AF46" s="269">
        <f t="shared" si="203"/>
        <v>1418.2533333333333</v>
      </c>
      <c r="AG46" s="269">
        <f t="shared" ref="AG46" si="204">720+AG45</f>
        <v>1442.2533333333333</v>
      </c>
      <c r="AH46" s="201"/>
    </row>
    <row r="47" spans="1:34" ht="30" customHeight="1" x14ac:dyDescent="0.2">
      <c r="A47" s="15" t="s">
        <v>497</v>
      </c>
      <c r="B47" s="15"/>
      <c r="C47" s="473" t="s">
        <v>505</v>
      </c>
      <c r="D47" s="474"/>
      <c r="E47" s="474"/>
      <c r="F47" s="474"/>
      <c r="G47" s="474"/>
      <c r="H47" s="474"/>
      <c r="I47" s="474"/>
      <c r="J47" s="474"/>
      <c r="K47" s="474"/>
      <c r="L47" s="474"/>
      <c r="M47" s="474"/>
      <c r="N47" s="474"/>
      <c r="O47" s="474"/>
      <c r="P47" s="474"/>
      <c r="Q47" s="474"/>
      <c r="R47" s="474"/>
      <c r="S47" s="474"/>
      <c r="T47" s="474"/>
      <c r="U47" s="474"/>
      <c r="V47" s="474"/>
      <c r="W47" s="474"/>
      <c r="X47" s="474"/>
      <c r="Y47" s="474"/>
      <c r="Z47" s="474"/>
      <c r="AA47" s="474"/>
      <c r="AB47" s="474"/>
      <c r="AC47" s="474"/>
      <c r="AD47" s="474"/>
      <c r="AE47" s="474"/>
      <c r="AF47" s="474"/>
      <c r="AG47" s="474"/>
    </row>
    <row r="48" spans="1:34" ht="30" customHeight="1" x14ac:dyDescent="0.2">
      <c r="A48" s="398" t="s">
        <v>59</v>
      </c>
      <c r="B48" s="399" t="s">
        <v>13</v>
      </c>
      <c r="C48" s="338">
        <f>MIN(C52,(BOILERS!D61/6*100))</f>
        <v>85.916666666666671</v>
      </c>
      <c r="D48" s="338">
        <f>MIN(D52,(BOILERS!E61/6*100))</f>
        <v>90.972222222222214</v>
      </c>
      <c r="E48" s="338">
        <f>MIN(E52,(BOILERS!F61/6*100))</f>
        <v>100</v>
      </c>
      <c r="F48" s="338">
        <f>MIN(F52,(BOILERS!G61/6*100))</f>
        <v>100</v>
      </c>
      <c r="G48" s="338">
        <f>MIN(G52,(BOILERS!H61/6*100))</f>
        <v>100</v>
      </c>
      <c r="H48" s="338">
        <f>MIN(H52,(BOILERS!I61/6*100))</f>
        <v>100</v>
      </c>
      <c r="I48" s="338">
        <f>MIN(I52,(BOILERS!J61/6*100))</f>
        <v>100</v>
      </c>
      <c r="J48" s="338">
        <f>MIN(J52,(BOILERS!K61/6*100))</f>
        <v>100</v>
      </c>
      <c r="K48" s="338">
        <f>MIN(K52,(BOILERS!L61/6*100))</f>
        <v>100</v>
      </c>
      <c r="L48" s="338">
        <f>MIN(L52,(BOILERS!M61/6*100))</f>
        <v>100</v>
      </c>
      <c r="M48" s="338">
        <f>MIN(M52,(BOILERS!N61/6*100))</f>
        <v>100</v>
      </c>
      <c r="N48" s="338">
        <f>MIN(N52,(BOILERS!O61/6*100))</f>
        <v>100</v>
      </c>
      <c r="O48" s="338">
        <f>MIN(O52,(BOILERS!P61/6*100))</f>
        <v>100</v>
      </c>
      <c r="P48" s="338">
        <f>MIN(P52,(BOILERS!Q61/6*100))</f>
        <v>100</v>
      </c>
      <c r="Q48" s="338">
        <f>MIN(Q52,(BOILERS!R61/6*100))</f>
        <v>100</v>
      </c>
      <c r="R48" s="338">
        <f>MIN(R52,(BOILERS!S61/6*100))</f>
        <v>100</v>
      </c>
      <c r="S48" s="338">
        <f>MIN(S52,(BOILERS!T61/6*100))</f>
        <v>100</v>
      </c>
      <c r="T48" s="338">
        <f>MIN(T52,(BOILERS!U61/6*100))</f>
        <v>100</v>
      </c>
      <c r="U48" s="338">
        <f>MIN(U52,(BOILERS!V61/6*100))</f>
        <v>100</v>
      </c>
      <c r="V48" s="338">
        <f>MIN(V52,(BOILERS!W61/6*100))</f>
        <v>100</v>
      </c>
      <c r="W48" s="338">
        <f>MIN(W52,(BOILERS!X61/6*100))</f>
        <v>100</v>
      </c>
      <c r="X48" s="338">
        <f>MIN(X52,(BOILERS!Y61/6*100))</f>
        <v>100</v>
      </c>
      <c r="Y48" s="338">
        <f>MIN(Y52,(BOILERS!Z61/6*100))</f>
        <v>100</v>
      </c>
      <c r="Z48" s="338">
        <f>MIN(Z52,(BOILERS!AA61/6*100))</f>
        <v>100</v>
      </c>
      <c r="AA48" s="338">
        <f>MIN(AA52,(BOILERS!AB61/6*100))</f>
        <v>32.499999999999993</v>
      </c>
      <c r="AB48" s="338">
        <f>MIN(AB52,(BOILERS!AC61/6*100))</f>
        <v>100</v>
      </c>
      <c r="AC48" s="338">
        <f>MIN(AC52,(BOILERS!AD61/6*100))</f>
        <v>100</v>
      </c>
      <c r="AD48" s="338">
        <f>MIN(AD52,(BOILERS!AE61/6*100))</f>
        <v>100</v>
      </c>
      <c r="AE48" s="338">
        <f>MIN(AE52,(BOILERS!AF61/6*100))</f>
        <v>100</v>
      </c>
      <c r="AF48" s="338">
        <f>MIN(AF52,(BOILERS!AG61/6*100))</f>
        <v>100</v>
      </c>
      <c r="AG48" s="338">
        <f>MIN(AG52,(BOILERS!AH61/6*100))</f>
        <v>100</v>
      </c>
    </row>
    <row r="49" spans="1:128" ht="30" customHeight="1" x14ac:dyDescent="0.2">
      <c r="A49" s="398" t="s">
        <v>60</v>
      </c>
      <c r="B49" s="399" t="s">
        <v>13</v>
      </c>
      <c r="C49" s="338">
        <f>C48</f>
        <v>85.916666666666671</v>
      </c>
      <c r="D49" s="338">
        <f>AVERAGE($C48:D48)</f>
        <v>88.444444444444443</v>
      </c>
      <c r="E49" s="338">
        <f>AVERAGE($C48:E48)</f>
        <v>92.296296296296305</v>
      </c>
      <c r="F49" s="338">
        <f>AVERAGE($C48:F48)</f>
        <v>94.222222222222229</v>
      </c>
      <c r="G49" s="338">
        <f>AVERAGE($C48:G48)</f>
        <v>95.37777777777778</v>
      </c>
      <c r="H49" s="338">
        <f>AVERAGE($C48:H48)</f>
        <v>96.148148148148152</v>
      </c>
      <c r="I49" s="338">
        <f>AVERAGE($C48:I48)</f>
        <v>96.698412698412696</v>
      </c>
      <c r="J49" s="338">
        <f>AVERAGE($C48:J48)</f>
        <v>97.111111111111114</v>
      </c>
      <c r="K49" s="338">
        <f>AVERAGE($C48:K48)</f>
        <v>97.432098765432102</v>
      </c>
      <c r="L49" s="338">
        <f>AVERAGE($C48:L48)</f>
        <v>97.688888888888897</v>
      </c>
      <c r="M49" s="338">
        <f>AVERAGE($C48:M48)</f>
        <v>97.898989898989896</v>
      </c>
      <c r="N49" s="338">
        <f>AVERAGE($C48:N48)</f>
        <v>98.074074074074076</v>
      </c>
      <c r="O49" s="338">
        <f>AVERAGE($C48:O48)</f>
        <v>98.222222222222229</v>
      </c>
      <c r="P49" s="338">
        <f>AVERAGE($C48:P48)</f>
        <v>98.349206349206355</v>
      </c>
      <c r="Q49" s="338">
        <f>AVERAGE($C48:Q48)</f>
        <v>98.459259259259255</v>
      </c>
      <c r="R49" s="338">
        <f>AVERAGE($C48:R48)</f>
        <v>98.555555555555557</v>
      </c>
      <c r="S49" s="338">
        <f>AVERAGE($C48:S48)</f>
        <v>98.640522875816998</v>
      </c>
      <c r="T49" s="338">
        <f>AVERAGE($C48:T48)</f>
        <v>98.716049382716051</v>
      </c>
      <c r="U49" s="338">
        <f>AVERAGE($C48:U48)</f>
        <v>98.78362573099416</v>
      </c>
      <c r="V49" s="338">
        <f>AVERAGE($C48:V48)</f>
        <v>98.844444444444449</v>
      </c>
      <c r="W49" s="338">
        <f>AVERAGE($C48:W48)</f>
        <v>98.899470899470884</v>
      </c>
      <c r="X49" s="338">
        <f>AVERAGE($C48:X48)</f>
        <v>98.949494949494934</v>
      </c>
      <c r="Y49" s="338">
        <f>AVERAGE($C48:Y48)</f>
        <v>98.995169082125599</v>
      </c>
      <c r="Z49" s="338">
        <f>AVERAGE($C48:Z48)</f>
        <v>99.037037037037024</v>
      </c>
      <c r="AA49" s="338">
        <f>AVERAGE($C48:AA48)</f>
        <v>96.37555555555555</v>
      </c>
      <c r="AB49" s="338">
        <f>AVERAGE($C48:AB48)</f>
        <v>96.51495726495726</v>
      </c>
      <c r="AC49" s="338">
        <f>AVERAGE($C48:AC48)</f>
        <v>96.644032921810691</v>
      </c>
      <c r="AD49" s="338">
        <f>AVERAGE($C48:AD48)</f>
        <v>96.763888888888886</v>
      </c>
      <c r="AE49" s="338">
        <f>AVERAGE($C48:AE48)</f>
        <v>96.875478927203062</v>
      </c>
      <c r="AF49" s="338">
        <f>AVERAGE($C48:AF48)</f>
        <v>96.979629629629628</v>
      </c>
      <c r="AG49" s="338">
        <f>AVERAGE($C48:AG48)</f>
        <v>97.077060931899638</v>
      </c>
    </row>
    <row r="50" spans="1:128" ht="30" customHeight="1" x14ac:dyDescent="0.2">
      <c r="A50" s="398" t="s">
        <v>8</v>
      </c>
      <c r="B50" s="399" t="s">
        <v>13</v>
      </c>
      <c r="C50" s="338">
        <f t="shared" ref="C50:H50" si="205">((99.99*30+C2*C49))/(C2+30)</f>
        <v>99.53602150537634</v>
      </c>
      <c r="D50" s="338">
        <f t="shared" si="205"/>
        <v>99.268402777777766</v>
      </c>
      <c r="E50" s="338">
        <f t="shared" si="205"/>
        <v>99.290572390572379</v>
      </c>
      <c r="F50" s="338">
        <f t="shared" si="205"/>
        <v>99.311437908496714</v>
      </c>
      <c r="G50" s="338">
        <f t="shared" si="205"/>
        <v>99.331111111111099</v>
      </c>
      <c r="H50" s="338">
        <f t="shared" si="205"/>
        <v>99.349691358024685</v>
      </c>
      <c r="I50" s="338">
        <f t="shared" ref="I50:J50" si="206">((99.99*30+I2*I49))/(I2+30)</f>
        <v>99.367267267267252</v>
      </c>
      <c r="J50" s="338">
        <f t="shared" si="206"/>
        <v>99.383918128654955</v>
      </c>
      <c r="K50" s="338">
        <f t="shared" ref="K50:L50" si="207">((99.99*30+K2*K49))/(K2+30)</f>
        <v>99.399715099715095</v>
      </c>
      <c r="L50" s="338">
        <f t="shared" si="207"/>
        <v>99.41472222222221</v>
      </c>
      <c r="M50" s="338">
        <f t="shared" ref="M50:N50" si="208">((99.99*30+M2*M49))/(M2+30)</f>
        <v>99.428997289972884</v>
      </c>
      <c r="N50" s="338">
        <f t="shared" si="208"/>
        <v>99.44259259259259</v>
      </c>
      <c r="O50" s="338">
        <f t="shared" ref="O50:T50" si="209">((99.99*30+O2*O49))/(O2+30)</f>
        <v>99.455555555555549</v>
      </c>
      <c r="P50" s="338">
        <f t="shared" si="209"/>
        <v>99.467929292929284</v>
      </c>
      <c r="Q50" s="338">
        <f t="shared" si="209"/>
        <v>99.479753086419748</v>
      </c>
      <c r="R50" s="338">
        <f t="shared" si="209"/>
        <v>99.491062801932358</v>
      </c>
      <c r="S50" s="338">
        <f t="shared" si="209"/>
        <v>99.501891252955076</v>
      </c>
      <c r="T50" s="338">
        <f t="shared" si="209"/>
        <v>99.512268518518511</v>
      </c>
      <c r="U50" s="338">
        <f t="shared" ref="U50:V50" si="210">((99.99*30+U2*U49))/(U2+30)</f>
        <v>99.52222222222224</v>
      </c>
      <c r="V50" s="338">
        <f t="shared" si="210"/>
        <v>99.531777777777776</v>
      </c>
      <c r="W50" s="338">
        <f t="shared" ref="W50:X50" si="211">((99.99*30+W2*W49))/(W2+30)</f>
        <v>99.540958605664486</v>
      </c>
      <c r="X50" s="338">
        <f t="shared" si="211"/>
        <v>99.549786324786311</v>
      </c>
      <c r="Y50" s="338">
        <f t="shared" ref="Y50:Z50" si="212">((99.99*30+Y2*Y49))/(Y2+30)</f>
        <v>99.558280922431862</v>
      </c>
      <c r="Z50" s="338">
        <f t="shared" si="212"/>
        <v>99.566460905349786</v>
      </c>
      <c r="AA50" s="338">
        <f t="shared" ref="AA50:AB50" si="213">((99.99*30+AA2*AA49))/(AA2+30)</f>
        <v>98.347070707070699</v>
      </c>
      <c r="AB50" s="338">
        <f t="shared" si="213"/>
        <v>98.376587301587293</v>
      </c>
      <c r="AC50" s="338">
        <f t="shared" ref="AC50:AD50" si="214">((99.99*30+AC2*AC49))/(AC2+30)</f>
        <v>98.405068226120846</v>
      </c>
      <c r="AD50" s="338">
        <f t="shared" si="214"/>
        <v>98.432567049808426</v>
      </c>
      <c r="AE50" s="338">
        <f t="shared" ref="AE50:AF50" si="215">((99.99*30+AE2*AE49))/(AE2+30)</f>
        <v>98.45913370998116</v>
      </c>
      <c r="AF50" s="338">
        <f t="shared" si="215"/>
        <v>98.484814814814811</v>
      </c>
      <c r="AG50" s="338">
        <f t="shared" ref="AG50" si="216">((99.99*30+AG2*AG49))/(AG2+30)</f>
        <v>98.509653916211292</v>
      </c>
    </row>
    <row r="51" spans="1:128" ht="30" customHeight="1" x14ac:dyDescent="0.2">
      <c r="A51" s="15" t="s">
        <v>68</v>
      </c>
      <c r="B51" s="337"/>
      <c r="C51" s="471"/>
      <c r="D51" s="472"/>
      <c r="E51" s="472"/>
      <c r="F51" s="472"/>
      <c r="G51" s="472"/>
      <c r="H51" s="472"/>
      <c r="I51" s="472"/>
      <c r="J51" s="472"/>
      <c r="K51" s="472"/>
      <c r="L51" s="472"/>
      <c r="M51" s="472"/>
      <c r="N51" s="472"/>
      <c r="O51" s="472"/>
      <c r="P51" s="472"/>
      <c r="Q51" s="472"/>
      <c r="R51" s="472"/>
      <c r="S51" s="472"/>
      <c r="T51" s="472"/>
      <c r="U51" s="472"/>
      <c r="V51" s="472"/>
      <c r="W51" s="472"/>
      <c r="X51" s="472"/>
      <c r="Y51" s="472"/>
      <c r="Z51" s="472"/>
      <c r="AA51" s="472"/>
      <c r="AB51" s="472"/>
      <c r="AC51" s="472"/>
      <c r="AD51" s="472"/>
      <c r="AE51" s="472"/>
      <c r="AF51" s="472"/>
      <c r="AG51" s="472"/>
    </row>
    <row r="52" spans="1:128" ht="30" customHeight="1" x14ac:dyDescent="0.2">
      <c r="A52" s="12" t="s">
        <v>59</v>
      </c>
      <c r="B52" s="37" t="s">
        <v>13</v>
      </c>
      <c r="C52" s="269">
        <f t="shared" ref="C52:H52" si="217">C44*42/(24*42)%</f>
        <v>85.916666666666671</v>
      </c>
      <c r="D52" s="269">
        <f t="shared" si="217"/>
        <v>90.972222222222229</v>
      </c>
      <c r="E52" s="269">
        <f t="shared" si="217"/>
        <v>100</v>
      </c>
      <c r="F52" s="269">
        <f t="shared" si="217"/>
        <v>100</v>
      </c>
      <c r="G52" s="269">
        <f t="shared" si="217"/>
        <v>100</v>
      </c>
      <c r="H52" s="269">
        <f t="shared" si="217"/>
        <v>100</v>
      </c>
      <c r="I52" s="269">
        <f t="shared" ref="I52:J52" si="218">I44*42/(24*42)%</f>
        <v>100</v>
      </c>
      <c r="J52" s="269">
        <f t="shared" si="218"/>
        <v>100</v>
      </c>
      <c r="K52" s="269">
        <f t="shared" ref="K52:L52" si="219">K44*42/(24*42)%</f>
        <v>100</v>
      </c>
      <c r="L52" s="269">
        <f t="shared" si="219"/>
        <v>100</v>
      </c>
      <c r="M52" s="269">
        <f t="shared" ref="M52:N52" si="220">M44*42/(24*42)%</f>
        <v>100</v>
      </c>
      <c r="N52" s="269">
        <f t="shared" si="220"/>
        <v>100</v>
      </c>
      <c r="O52" s="269">
        <f t="shared" ref="O52:T52" si="221">O44*42/(24*42)%</f>
        <v>100</v>
      </c>
      <c r="P52" s="269">
        <f t="shared" si="221"/>
        <v>100</v>
      </c>
      <c r="Q52" s="269">
        <f t="shared" si="221"/>
        <v>100</v>
      </c>
      <c r="R52" s="269">
        <f t="shared" si="221"/>
        <v>100</v>
      </c>
      <c r="S52" s="269">
        <f t="shared" si="221"/>
        <v>100</v>
      </c>
      <c r="T52" s="269">
        <f t="shared" si="221"/>
        <v>100</v>
      </c>
      <c r="U52" s="269">
        <f t="shared" ref="U52:V52" si="222">U44*42/(24*42)%</f>
        <v>100</v>
      </c>
      <c r="V52" s="269">
        <f t="shared" si="222"/>
        <v>100</v>
      </c>
      <c r="W52" s="269">
        <f t="shared" ref="W52:X52" si="223">W44*42/(24*42)%</f>
        <v>100</v>
      </c>
      <c r="X52" s="269">
        <f t="shared" si="223"/>
        <v>100</v>
      </c>
      <c r="Y52" s="269">
        <f t="shared" ref="Y52:Z52" si="224">Y44*42/(24*42)%</f>
        <v>100</v>
      </c>
      <c r="Z52" s="269">
        <f t="shared" si="224"/>
        <v>100</v>
      </c>
      <c r="AA52" s="269">
        <f t="shared" ref="AA52:AB52" si="225">AA44*42/(24*42)%</f>
        <v>32.499999999999993</v>
      </c>
      <c r="AB52" s="269">
        <f t="shared" si="225"/>
        <v>100</v>
      </c>
      <c r="AC52" s="269">
        <f t="shared" ref="AC52:AD52" si="226">AC44*42/(24*42)%</f>
        <v>100</v>
      </c>
      <c r="AD52" s="269">
        <f t="shared" si="226"/>
        <v>100</v>
      </c>
      <c r="AE52" s="269">
        <f t="shared" ref="AE52:AF52" si="227">AE44*42/(24*42)%</f>
        <v>100</v>
      </c>
      <c r="AF52" s="269">
        <f t="shared" si="227"/>
        <v>100</v>
      </c>
      <c r="AG52" s="269">
        <f t="shared" ref="AG52" si="228">AG44*42/(24*42)%</f>
        <v>100</v>
      </c>
    </row>
    <row r="53" spans="1:128" s="421" customFormat="1" ht="32.1" customHeight="1" x14ac:dyDescent="0.2">
      <c r="A53" s="12" t="s">
        <v>74</v>
      </c>
      <c r="B53" s="37" t="s">
        <v>13</v>
      </c>
      <c r="C53" s="269">
        <f>C52</f>
        <v>85.916666666666671</v>
      </c>
      <c r="D53" s="269">
        <f>AVERAGE($C52:D52)</f>
        <v>88.444444444444457</v>
      </c>
      <c r="E53" s="269">
        <f>AVERAGE($C52:E52)</f>
        <v>92.296296296296305</v>
      </c>
      <c r="F53" s="269">
        <f>AVERAGE($C52:F52)</f>
        <v>94.222222222222229</v>
      </c>
      <c r="G53" s="269">
        <f>AVERAGE($C52:G52)</f>
        <v>95.37777777777778</v>
      </c>
      <c r="H53" s="269">
        <f>AVERAGE($C52:H52)</f>
        <v>96.148148148148152</v>
      </c>
      <c r="I53" s="269">
        <f>AVERAGE($C52:I52)</f>
        <v>96.698412698412696</v>
      </c>
      <c r="J53" s="269">
        <f>AVERAGE($C52:J52)</f>
        <v>97.111111111111114</v>
      </c>
      <c r="K53" s="269">
        <f>AVERAGE($C52:K52)</f>
        <v>97.432098765432102</v>
      </c>
      <c r="L53" s="269">
        <f>AVERAGE($C52:L52)</f>
        <v>97.688888888888897</v>
      </c>
      <c r="M53" s="269">
        <f>AVERAGE($C52:M52)</f>
        <v>97.898989898989896</v>
      </c>
      <c r="N53" s="269">
        <f>AVERAGE($C52:N52)</f>
        <v>98.074074074074076</v>
      </c>
      <c r="O53" s="269">
        <f>AVERAGE($C52:O52)</f>
        <v>98.222222222222229</v>
      </c>
      <c r="P53" s="269">
        <f>AVERAGE($C52:P52)</f>
        <v>98.349206349206355</v>
      </c>
      <c r="Q53" s="269">
        <f>AVERAGE($C52:Q52)</f>
        <v>98.459259259259255</v>
      </c>
      <c r="R53" s="269">
        <f>AVERAGE($C52:R52)</f>
        <v>98.555555555555557</v>
      </c>
      <c r="S53" s="269">
        <f>AVERAGE($C52:S52)</f>
        <v>98.640522875816998</v>
      </c>
      <c r="T53" s="269">
        <f>AVERAGE($C52:T52)</f>
        <v>98.716049382716051</v>
      </c>
      <c r="U53" s="269">
        <f>AVERAGE($C52:U52)</f>
        <v>98.78362573099416</v>
      </c>
      <c r="V53" s="269">
        <f>AVERAGE($C52:V52)</f>
        <v>98.844444444444449</v>
      </c>
      <c r="W53" s="269">
        <f>AVERAGE($C52:W52)</f>
        <v>98.899470899470884</v>
      </c>
      <c r="X53" s="269">
        <f>AVERAGE($C52:X52)</f>
        <v>98.949494949494934</v>
      </c>
      <c r="Y53" s="269">
        <f>AVERAGE($C52:Y52)</f>
        <v>98.995169082125599</v>
      </c>
      <c r="Z53" s="269">
        <f>AVERAGE($C52:Z52)</f>
        <v>99.037037037037024</v>
      </c>
      <c r="AA53" s="269">
        <f>AVERAGE($C52:AA52)</f>
        <v>96.37555555555555</v>
      </c>
      <c r="AB53" s="269">
        <f>AVERAGE($C52:AB52)</f>
        <v>96.51495726495726</v>
      </c>
      <c r="AC53" s="269">
        <f>AVERAGE($C52:AC52)</f>
        <v>96.644032921810691</v>
      </c>
      <c r="AD53" s="269">
        <f>AVERAGE($C52:AD52)</f>
        <v>96.763888888888886</v>
      </c>
      <c r="AE53" s="269">
        <f>AVERAGE($C52:AE52)</f>
        <v>96.875478927203062</v>
      </c>
      <c r="AF53" s="269">
        <f>AVERAGE($C52:AF52)</f>
        <v>96.979629629629628</v>
      </c>
      <c r="AG53" s="269">
        <f>AVERAGE($C52:AG52)</f>
        <v>97.077060931899638</v>
      </c>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row>
    <row r="54" spans="1:128" ht="38.25" customHeight="1" x14ac:dyDescent="0.2">
      <c r="A54" s="12" t="s">
        <v>8</v>
      </c>
      <c r="B54" s="37" t="s">
        <v>13</v>
      </c>
      <c r="C54" s="269">
        <f t="shared" ref="C54:H54" si="229">(100*30+C2*C53)/(C2+30)</f>
        <v>99.545698924731184</v>
      </c>
      <c r="D54" s="269">
        <f t="shared" si="229"/>
        <v>99.277777777777771</v>
      </c>
      <c r="E54" s="269">
        <f t="shared" si="229"/>
        <v>99.299663299663294</v>
      </c>
      <c r="F54" s="269">
        <f t="shared" si="229"/>
        <v>99.320261437908485</v>
      </c>
      <c r="G54" s="269">
        <f t="shared" si="229"/>
        <v>99.339682539682528</v>
      </c>
      <c r="H54" s="269">
        <f t="shared" si="229"/>
        <v>99.358024691358025</v>
      </c>
      <c r="I54" s="269">
        <f t="shared" ref="I54:J54" si="230">(100*30+I2*I53)/(I2+30)</f>
        <v>99.37537537537537</v>
      </c>
      <c r="J54" s="269">
        <f t="shared" si="230"/>
        <v>99.391812865497073</v>
      </c>
      <c r="K54" s="269">
        <f t="shared" ref="K54:L54" si="231">(100*30+K2*K53)/(K2+30)</f>
        <v>99.407407407407405</v>
      </c>
      <c r="L54" s="269">
        <f t="shared" si="231"/>
        <v>99.422222222222217</v>
      </c>
      <c r="M54" s="269">
        <f t="shared" ref="M54:N54" si="232">(100*30+M2*M53)/(M2+30)</f>
        <v>99.436314363143623</v>
      </c>
      <c r="N54" s="269">
        <f t="shared" si="232"/>
        <v>99.449735449735442</v>
      </c>
      <c r="O54" s="269">
        <f t="shared" ref="O54:T54" si="233">(100*30+O2*O53)/(O2+30)</f>
        <v>99.462532299741596</v>
      </c>
      <c r="P54" s="269">
        <f t="shared" si="233"/>
        <v>99.474747474747474</v>
      </c>
      <c r="Q54" s="269">
        <f t="shared" si="233"/>
        <v>99.486419753086409</v>
      </c>
      <c r="R54" s="269">
        <f t="shared" si="233"/>
        <v>99.497584541062793</v>
      </c>
      <c r="S54" s="269">
        <f t="shared" si="233"/>
        <v>99.508274231678485</v>
      </c>
      <c r="T54" s="269">
        <f t="shared" si="233"/>
        <v>99.518518518518519</v>
      </c>
      <c r="U54" s="269">
        <f t="shared" ref="U54:V54" si="234">(100*30+U2*U53)/(U2+30)</f>
        <v>99.528344671201808</v>
      </c>
      <c r="V54" s="269">
        <f t="shared" si="234"/>
        <v>99.537777777777777</v>
      </c>
      <c r="W54" s="269">
        <f t="shared" ref="W54:X54" si="235">(100*30+W2*W53)/(W2+30)</f>
        <v>99.546840958605657</v>
      </c>
      <c r="X54" s="269">
        <f t="shared" si="235"/>
        <v>99.555555555555557</v>
      </c>
      <c r="Y54" s="269">
        <f t="shared" ref="Y54:Z54" si="236">(100*30+Y2*Y53)/(Y2+30)</f>
        <v>99.563941299790358</v>
      </c>
      <c r="Z54" s="269">
        <f t="shared" si="236"/>
        <v>99.572016460905346</v>
      </c>
      <c r="AA54" s="269">
        <f t="shared" ref="AA54:AB54" si="237">(100*30+AA2*AA53)/(AA2+30)</f>
        <v>98.352525252525254</v>
      </c>
      <c r="AB54" s="269">
        <f t="shared" si="237"/>
        <v>98.381944444444443</v>
      </c>
      <c r="AC54" s="269">
        <f t="shared" ref="AC54:AD54" si="238">(100*30+AC2*AC53)/(AC2+30)</f>
        <v>98.410331384015592</v>
      </c>
      <c r="AD54" s="269">
        <f t="shared" si="238"/>
        <v>98.437739463601531</v>
      </c>
      <c r="AE54" s="269">
        <f t="shared" ref="AE54:AF54" si="239">(100*30+AE2*AE53)/(AE2+30)</f>
        <v>98.464218455743875</v>
      </c>
      <c r="AF54" s="269">
        <f t="shared" si="239"/>
        <v>98.489814814814807</v>
      </c>
      <c r="AG54" s="269">
        <f t="shared" ref="AG54" si="240">(100*30+AG2*AG53)/(AG2+30)</f>
        <v>98.514571948998181</v>
      </c>
    </row>
    <row r="55" spans="1:128" ht="30" customHeight="1" x14ac:dyDescent="0.2">
      <c r="A55" s="11" t="s">
        <v>75</v>
      </c>
      <c r="B55" s="37" t="s">
        <v>70</v>
      </c>
      <c r="C55" s="341">
        <f>Totalizer!D30</f>
        <v>3320</v>
      </c>
      <c r="D55" s="341">
        <f>Totalizer!E30</f>
        <v>3398</v>
      </c>
      <c r="E55" s="341">
        <f>Totalizer!F30</f>
        <v>3214</v>
      </c>
      <c r="F55" s="341">
        <f>Totalizer!G30</f>
        <v>3112</v>
      </c>
      <c r="G55" s="341">
        <f>Totalizer!H30</f>
        <v>3766</v>
      </c>
      <c r="H55" s="341">
        <f>Totalizer!I30</f>
        <v>3804</v>
      </c>
      <c r="I55" s="341">
        <f>Totalizer!J30</f>
        <v>3924</v>
      </c>
      <c r="J55" s="341">
        <f>Totalizer!K30</f>
        <v>3836</v>
      </c>
      <c r="K55" s="341">
        <f>Totalizer!L30</f>
        <v>3720</v>
      </c>
      <c r="L55" s="341">
        <f>Totalizer!M30</f>
        <v>3876</v>
      </c>
      <c r="M55" s="341">
        <f>Totalizer!N30</f>
        <v>3958</v>
      </c>
      <c r="N55" s="341">
        <f>Totalizer!O30</f>
        <v>3968</v>
      </c>
      <c r="O55" s="341">
        <f>Totalizer!P30</f>
        <v>4044</v>
      </c>
      <c r="P55" s="341">
        <f>Totalizer!Q30</f>
        <v>4006</v>
      </c>
      <c r="Q55" s="341">
        <f>Totalizer!R30</f>
        <v>4064</v>
      </c>
      <c r="R55" s="341">
        <f>Totalizer!S30</f>
        <v>4076</v>
      </c>
      <c r="S55" s="341">
        <f>Totalizer!T30</f>
        <v>4006</v>
      </c>
      <c r="T55" s="341">
        <f>Totalizer!U30</f>
        <v>4060</v>
      </c>
      <c r="U55" s="341">
        <f>Totalizer!V30</f>
        <v>3988</v>
      </c>
      <c r="V55" s="341">
        <f>Totalizer!W30</f>
        <v>4018</v>
      </c>
      <c r="W55" s="341">
        <f>Totalizer!X30</f>
        <v>4062</v>
      </c>
      <c r="X55" s="341">
        <f>Totalizer!Y30</f>
        <v>4028</v>
      </c>
      <c r="Y55" s="341">
        <f>Totalizer!Z30</f>
        <v>3986</v>
      </c>
      <c r="Z55" s="341">
        <f>Totalizer!AA30</f>
        <v>4032</v>
      </c>
      <c r="AA55" s="341">
        <f>Totalizer!AB30</f>
        <v>1116</v>
      </c>
      <c r="AB55" s="341">
        <f>Totalizer!AC30</f>
        <v>3904</v>
      </c>
      <c r="AC55" s="341">
        <f>Totalizer!AD30</f>
        <v>3352</v>
      </c>
      <c r="AD55" s="341">
        <f>Totalizer!AE30</f>
        <v>3104</v>
      </c>
      <c r="AE55" s="341">
        <f>Totalizer!AF30</f>
        <v>3242</v>
      </c>
      <c r="AF55" s="341">
        <f>Totalizer!AG30</f>
        <v>3462</v>
      </c>
      <c r="AG55" s="341">
        <f>Totalizer!AH30</f>
        <v>3614</v>
      </c>
    </row>
    <row r="56" spans="1:128" ht="30" customHeight="1" x14ac:dyDescent="0.2">
      <c r="A56" s="11" t="s">
        <v>71</v>
      </c>
      <c r="B56" s="37" t="s">
        <v>72</v>
      </c>
      <c r="C56" s="13">
        <f t="shared" ref="C56:H56" si="241">C55/(C33*1000)</f>
        <v>3.8187377718186455</v>
      </c>
      <c r="D56" s="13">
        <f t="shared" si="241"/>
        <v>4.0134925449238041</v>
      </c>
      <c r="E56" s="13">
        <f t="shared" si="241"/>
        <v>3.6148803666958615</v>
      </c>
      <c r="F56" s="13">
        <f t="shared" si="241"/>
        <v>3.8644076270405718</v>
      </c>
      <c r="G56" s="13">
        <f t="shared" si="241"/>
        <v>3.9276282596483401</v>
      </c>
      <c r="H56" s="13">
        <f t="shared" si="241"/>
        <v>3.8786733270854281</v>
      </c>
      <c r="I56" s="13">
        <f t="shared" ref="I56:J56" si="242">I55/(I33*1000)</f>
        <v>3.8288615343286638</v>
      </c>
      <c r="J56" s="13">
        <f t="shared" si="242"/>
        <v>3.8255839461134467</v>
      </c>
      <c r="K56" s="13">
        <f t="shared" ref="K56:L56" si="243">K55/(K33*1000)</f>
        <v>3.8743278326897874</v>
      </c>
      <c r="L56" s="13">
        <f t="shared" si="243"/>
        <v>3.8935588923551818</v>
      </c>
      <c r="M56" s="13">
        <f t="shared" ref="M56:N56" si="244">M55/(M33*1000)</f>
        <v>3.8451490562245185</v>
      </c>
      <c r="N56" s="13">
        <f t="shared" si="244"/>
        <v>3.7441735683770263</v>
      </c>
      <c r="O56" s="13">
        <f t="shared" ref="O56:T56" si="245">O55/(O33*1000)</f>
        <v>3.6723703796559555</v>
      </c>
      <c r="P56" s="13">
        <f t="shared" si="245"/>
        <v>3.7166378466625911</v>
      </c>
      <c r="Q56" s="13">
        <f t="shared" si="245"/>
        <v>3.667765422342697</v>
      </c>
      <c r="R56" s="13">
        <f t="shared" si="245"/>
        <v>3.7052356313353267</v>
      </c>
      <c r="S56" s="13">
        <f t="shared" si="245"/>
        <v>3.7255838097960132</v>
      </c>
      <c r="T56" s="13">
        <f t="shared" si="245"/>
        <v>3.7604204147113527</v>
      </c>
      <c r="U56" s="13">
        <f t="shared" ref="U56:V56" si="246">U55/(U33*1000)</f>
        <v>3.7420889494518415</v>
      </c>
      <c r="V56" s="13">
        <f t="shared" si="246"/>
        <v>3.7391016368489463</v>
      </c>
      <c r="W56" s="13">
        <f t="shared" ref="W56:X56" si="247">W55/(W33*1000)</f>
        <v>3.6978699337115146</v>
      </c>
      <c r="X56" s="13">
        <f t="shared" si="247"/>
        <v>3.7097050440657653</v>
      </c>
      <c r="Y56" s="13">
        <f t="shared" ref="Y56:Z56" si="248">Y55/(Y33*1000)</f>
        <v>3.7532238594963445</v>
      </c>
      <c r="Z56" s="13">
        <f t="shared" si="248"/>
        <v>3.7837858531451407</v>
      </c>
      <c r="AA56" s="13">
        <f t="shared" ref="AA56:AB56" si="249">AA55/(AA33*1000)</f>
        <v>4.0408049763231677</v>
      </c>
      <c r="AB56" s="13">
        <f t="shared" si="249"/>
        <v>3.8683155466809955</v>
      </c>
      <c r="AC56" s="13">
        <f t="shared" ref="AC56:AD56" si="250">AC55/(AC33*1000)</f>
        <v>3.9041215449783291</v>
      </c>
      <c r="AD56" s="13">
        <f t="shared" si="250"/>
        <v>3.8893021366203193</v>
      </c>
      <c r="AE56" s="13">
        <f t="shared" ref="AE56:AF56" si="251">AE55/(AE33*1000)</f>
        <v>3.8759795004065154</v>
      </c>
      <c r="AF56" s="13">
        <f t="shared" si="251"/>
        <v>3.8739403850512155</v>
      </c>
      <c r="AG56" s="13">
        <f t="shared" ref="AG56" si="252">AG55/(AG33*1000)</f>
        <v>3.8690104270486003</v>
      </c>
      <c r="AH56" s="201"/>
    </row>
    <row r="57" spans="1:128" ht="30" customHeight="1" x14ac:dyDescent="0.2">
      <c r="A57" s="66"/>
      <c r="B57" s="113"/>
      <c r="C57" s="113"/>
      <c r="D57" s="113"/>
      <c r="E57" s="113"/>
      <c r="F57" s="113"/>
      <c r="G57" s="113"/>
      <c r="H57" s="113"/>
      <c r="I57" s="113"/>
      <c r="J57" s="113"/>
      <c r="K57" s="113"/>
      <c r="L57" s="113"/>
      <c r="M57" s="113"/>
      <c r="N57" s="113"/>
      <c r="O57" s="113"/>
      <c r="P57" s="113"/>
      <c r="Q57" s="113"/>
      <c r="R57" s="113"/>
      <c r="S57" s="113"/>
      <c r="T57" s="113"/>
      <c r="U57" s="114"/>
      <c r="V57" s="114"/>
      <c r="W57" s="113"/>
      <c r="X57" s="113"/>
      <c r="Y57" s="113"/>
      <c r="Z57" s="113"/>
      <c r="AA57" s="113"/>
      <c r="AB57" s="113"/>
      <c r="AC57" s="113"/>
      <c r="AD57" s="113"/>
      <c r="AE57" s="113"/>
      <c r="AF57" s="113"/>
      <c r="AG57" s="55"/>
      <c r="AH57" s="201"/>
    </row>
    <row r="58" spans="1:128" ht="30" customHeight="1" x14ac:dyDescent="0.2">
      <c r="A58" s="112" t="s">
        <v>76</v>
      </c>
      <c r="B58" s="448"/>
      <c r="C58" s="449"/>
      <c r="D58" s="449"/>
      <c r="E58" s="449"/>
      <c r="F58" s="449"/>
      <c r="G58" s="449"/>
      <c r="H58" s="449"/>
      <c r="I58" s="449"/>
      <c r="J58" s="449"/>
      <c r="K58" s="449"/>
      <c r="L58" s="449"/>
      <c r="M58" s="449"/>
      <c r="N58" s="449"/>
      <c r="O58" s="449"/>
      <c r="P58" s="449"/>
      <c r="Q58" s="449"/>
      <c r="R58" s="449"/>
      <c r="S58" s="449"/>
      <c r="T58" s="449"/>
      <c r="U58" s="449"/>
      <c r="V58" s="449"/>
      <c r="W58" s="449"/>
      <c r="X58" s="449"/>
      <c r="Y58" s="449"/>
      <c r="Z58" s="449"/>
      <c r="AA58" s="449"/>
      <c r="AB58" s="449"/>
      <c r="AC58" s="449"/>
      <c r="AD58" s="449"/>
      <c r="AE58" s="449"/>
      <c r="AF58" s="449"/>
      <c r="AG58" s="449"/>
      <c r="AH58" s="201"/>
    </row>
    <row r="59" spans="1:128" ht="30" customHeight="1" x14ac:dyDescent="0.2">
      <c r="A59" s="47" t="s">
        <v>3</v>
      </c>
      <c r="B59" s="342"/>
      <c r="C59" s="453" t="s">
        <v>520</v>
      </c>
      <c r="D59" s="454"/>
      <c r="E59" s="454"/>
      <c r="F59" s="454"/>
      <c r="G59" s="454"/>
      <c r="H59" s="454"/>
      <c r="I59" s="454"/>
      <c r="J59" s="454"/>
      <c r="K59" s="454"/>
      <c r="L59" s="454"/>
      <c r="M59" s="454"/>
      <c r="N59" s="454"/>
      <c r="O59" s="454"/>
      <c r="P59" s="454"/>
      <c r="Q59" s="454"/>
      <c r="R59" s="454"/>
      <c r="S59" s="454"/>
      <c r="T59" s="454"/>
      <c r="U59" s="454"/>
      <c r="V59" s="454"/>
      <c r="W59" s="454"/>
      <c r="X59" s="454"/>
      <c r="Y59" s="454"/>
      <c r="Z59" s="454"/>
      <c r="AA59" s="454"/>
      <c r="AB59" s="454"/>
      <c r="AC59" s="454"/>
      <c r="AD59" s="454"/>
      <c r="AE59" s="454"/>
      <c r="AF59" s="454"/>
      <c r="AG59" s="454"/>
      <c r="AH59" s="201"/>
    </row>
    <row r="60" spans="1:128" ht="30" customHeight="1" x14ac:dyDescent="0.2">
      <c r="A60" s="26" t="s">
        <v>77</v>
      </c>
      <c r="B60" s="38" t="s">
        <v>5</v>
      </c>
      <c r="C60" s="325">
        <v>0.60606534477365759</v>
      </c>
      <c r="D60" s="325">
        <v>0.56242079027355629</v>
      </c>
      <c r="E60" s="325">
        <v>0.5906257750759879</v>
      </c>
      <c r="F60" s="325">
        <v>0.66153074834162517</v>
      </c>
      <c r="G60" s="325">
        <v>0.66968782248995973</v>
      </c>
      <c r="H60" s="325">
        <v>0.66987676190476197</v>
      </c>
      <c r="I60" s="325">
        <v>0.67190016140865749</v>
      </c>
      <c r="J60" s="325">
        <v>0.68084873752310549</v>
      </c>
      <c r="K60" s="325">
        <v>0.68182838638088006</v>
      </c>
      <c r="L60" s="325">
        <v>0.68302250036630041</v>
      </c>
      <c r="M60" s="325">
        <v>0.68991483218557448</v>
      </c>
      <c r="N60" s="325">
        <v>0.68314736470588222</v>
      </c>
      <c r="O60" s="325">
        <v>0.70448571873917543</v>
      </c>
      <c r="P60" s="325">
        <v>0.70486762027972028</v>
      </c>
      <c r="Q60" s="325">
        <v>0.70520234382566593</v>
      </c>
      <c r="R60" s="325">
        <v>0.70368124513212793</v>
      </c>
      <c r="S60" s="325">
        <v>0.70413986732883993</v>
      </c>
      <c r="T60" s="325">
        <v>0.70574301373723147</v>
      </c>
      <c r="U60" s="325">
        <v>0.70413306765851924</v>
      </c>
      <c r="V60" s="325">
        <v>0.70504299049630403</v>
      </c>
      <c r="W60" s="325">
        <v>0.70522791299826693</v>
      </c>
      <c r="X60" s="325">
        <v>0.70446583018867914</v>
      </c>
      <c r="Y60" s="325">
        <v>0.70299928566384173</v>
      </c>
      <c r="Z60" s="325">
        <v>0.70510306265313261</v>
      </c>
      <c r="AA60" s="325">
        <v>0.70727203025866281</v>
      </c>
      <c r="AB60" s="325">
        <v>0.7035509558244295</v>
      </c>
      <c r="AC60" s="325">
        <v>0.66322035631229237</v>
      </c>
      <c r="AD60" s="325">
        <v>0.63324253298153033</v>
      </c>
      <c r="AE60" s="325">
        <v>0.6336010625531916</v>
      </c>
      <c r="AF60" s="325">
        <v>0.63489241161950327</v>
      </c>
      <c r="AG60" s="325">
        <v>0.65185349187935049</v>
      </c>
      <c r="AH60" s="201"/>
    </row>
    <row r="61" spans="1:128" ht="30" customHeight="1" x14ac:dyDescent="0.2">
      <c r="A61" s="26" t="s">
        <v>78</v>
      </c>
      <c r="B61" s="38" t="s">
        <v>5</v>
      </c>
      <c r="C61" s="272">
        <v>0.60299999999999998</v>
      </c>
      <c r="D61" s="272">
        <v>0.56000000000000005</v>
      </c>
      <c r="E61" s="272">
        <v>0.56000000000000005</v>
      </c>
      <c r="F61" s="272">
        <v>0.65800000000000003</v>
      </c>
      <c r="G61" s="272">
        <v>0.66700000000000004</v>
      </c>
      <c r="H61" s="272">
        <v>0.66800000000000004</v>
      </c>
      <c r="I61" s="272">
        <v>0.67200000000000004</v>
      </c>
      <c r="J61" s="272">
        <v>0.67900000000000005</v>
      </c>
      <c r="K61" s="272">
        <v>0.68100000000000005</v>
      </c>
      <c r="L61" s="272">
        <v>0.68200000000000005</v>
      </c>
      <c r="M61" s="272">
        <v>0.68700000000000006</v>
      </c>
      <c r="N61" s="272">
        <v>0.68200000000000005</v>
      </c>
      <c r="O61" s="272">
        <v>0.70499999999999996</v>
      </c>
      <c r="P61" s="272">
        <v>0.70299999999999996</v>
      </c>
      <c r="Q61" s="272">
        <v>0.70199999999999996</v>
      </c>
      <c r="R61" s="272">
        <v>0.70299999999999996</v>
      </c>
      <c r="S61" s="272">
        <v>0.70199999999999996</v>
      </c>
      <c r="T61" s="272">
        <v>0.70399999999999996</v>
      </c>
      <c r="U61" s="272">
        <v>0.70299999999999996</v>
      </c>
      <c r="V61" s="272">
        <v>0.70399999999999996</v>
      </c>
      <c r="W61" s="272">
        <v>0.70299999999999996</v>
      </c>
      <c r="X61" s="272">
        <v>0.70199999999999996</v>
      </c>
      <c r="Y61" s="272">
        <v>0.70099999999999996</v>
      </c>
      <c r="Z61" s="272">
        <v>0.71</v>
      </c>
      <c r="AA61" s="272">
        <v>0.69399999999999995</v>
      </c>
      <c r="AB61" s="272">
        <v>0.70199999999999996</v>
      </c>
      <c r="AC61" s="272">
        <v>0.66200000000000003</v>
      </c>
      <c r="AD61" s="272">
        <v>0.63</v>
      </c>
      <c r="AE61" s="272">
        <v>0.63100000000000001</v>
      </c>
      <c r="AF61" s="272">
        <v>0.63300000000000001</v>
      </c>
      <c r="AG61" s="272">
        <v>0.64900000000000002</v>
      </c>
      <c r="AH61" s="201"/>
    </row>
    <row r="62" spans="1:128" ht="30" customHeight="1" x14ac:dyDescent="0.2">
      <c r="A62" s="26" t="s">
        <v>79</v>
      </c>
      <c r="B62" s="38" t="s">
        <v>5</v>
      </c>
      <c r="C62" s="272">
        <f>C60</f>
        <v>0.60606534477365759</v>
      </c>
      <c r="D62" s="272">
        <f t="shared" ref="D62:N62" si="253">D61+C62</f>
        <v>1.1660653447736578</v>
      </c>
      <c r="E62" s="272">
        <f t="shared" si="253"/>
        <v>1.7260653447736578</v>
      </c>
      <c r="F62" s="272">
        <f t="shared" si="253"/>
        <v>2.3840653447736577</v>
      </c>
      <c r="G62" s="272">
        <f t="shared" si="253"/>
        <v>3.051065344773658</v>
      </c>
      <c r="H62" s="272">
        <f t="shared" si="253"/>
        <v>3.7190653447736581</v>
      </c>
      <c r="I62" s="272">
        <f t="shared" si="253"/>
        <v>4.3910653447736578</v>
      </c>
      <c r="J62" s="272">
        <f t="shared" si="253"/>
        <v>5.0700653447736581</v>
      </c>
      <c r="K62" s="272">
        <f t="shared" si="253"/>
        <v>5.7510653447736582</v>
      </c>
      <c r="L62" s="272">
        <f t="shared" si="253"/>
        <v>6.4330653447736585</v>
      </c>
      <c r="M62" s="272">
        <f t="shared" si="253"/>
        <v>7.1200653447736588</v>
      </c>
      <c r="N62" s="272">
        <f t="shared" si="253"/>
        <v>7.8020653447736592</v>
      </c>
      <c r="O62" s="272">
        <f t="shared" ref="O62:AG62" si="254">O61+N62</f>
        <v>8.5070653447736593</v>
      </c>
      <c r="P62" s="272">
        <f t="shared" si="254"/>
        <v>9.2100653447736587</v>
      </c>
      <c r="Q62" s="272">
        <f t="shared" si="254"/>
        <v>9.9120653447736586</v>
      </c>
      <c r="R62" s="272">
        <f t="shared" si="254"/>
        <v>10.615065344773658</v>
      </c>
      <c r="S62" s="272">
        <f t="shared" si="254"/>
        <v>11.317065344773658</v>
      </c>
      <c r="T62" s="272">
        <f t="shared" si="254"/>
        <v>12.021065344773659</v>
      </c>
      <c r="U62" s="272">
        <f t="shared" si="254"/>
        <v>12.724065344773658</v>
      </c>
      <c r="V62" s="272">
        <f t="shared" si="254"/>
        <v>13.428065344773659</v>
      </c>
      <c r="W62" s="272">
        <f t="shared" si="254"/>
        <v>14.131065344773658</v>
      </c>
      <c r="X62" s="272">
        <f t="shared" si="254"/>
        <v>14.833065344773658</v>
      </c>
      <c r="Y62" s="272">
        <f t="shared" si="254"/>
        <v>15.534065344773659</v>
      </c>
      <c r="Z62" s="272">
        <f t="shared" si="254"/>
        <v>16.244065344773659</v>
      </c>
      <c r="AA62" s="272">
        <f t="shared" si="254"/>
        <v>16.938065344773658</v>
      </c>
      <c r="AB62" s="272">
        <f t="shared" si="254"/>
        <v>17.64006534477366</v>
      </c>
      <c r="AC62" s="272">
        <f t="shared" si="254"/>
        <v>18.302065344773659</v>
      </c>
      <c r="AD62" s="272">
        <f t="shared" si="254"/>
        <v>18.932065344773658</v>
      </c>
      <c r="AE62" s="272">
        <f t="shared" si="254"/>
        <v>19.563065344773658</v>
      </c>
      <c r="AF62" s="272">
        <f t="shared" si="254"/>
        <v>20.196065344773658</v>
      </c>
      <c r="AG62" s="272">
        <f t="shared" si="254"/>
        <v>20.845065344773658</v>
      </c>
      <c r="AH62" s="201"/>
    </row>
    <row r="63" spans="1:128" ht="30" customHeight="1" x14ac:dyDescent="0.2">
      <c r="A63" s="26" t="s">
        <v>8</v>
      </c>
      <c r="B63" s="38" t="s">
        <v>5</v>
      </c>
      <c r="C63" s="279">
        <f t="shared" ref="C63:H63" si="255">20.736+C62</f>
        <v>21.342065344773658</v>
      </c>
      <c r="D63" s="279">
        <f t="shared" si="255"/>
        <v>21.902065344773657</v>
      </c>
      <c r="E63" s="279">
        <f t="shared" si="255"/>
        <v>22.462065344773659</v>
      </c>
      <c r="F63" s="279">
        <f t="shared" si="255"/>
        <v>23.120065344773657</v>
      </c>
      <c r="G63" s="279">
        <f t="shared" si="255"/>
        <v>23.787065344773659</v>
      </c>
      <c r="H63" s="279">
        <f t="shared" si="255"/>
        <v>24.455065344773658</v>
      </c>
      <c r="I63" s="279">
        <f t="shared" ref="I63:J63" si="256">20.736+I62</f>
        <v>25.127065344773658</v>
      </c>
      <c r="J63" s="279">
        <f t="shared" si="256"/>
        <v>25.806065344773657</v>
      </c>
      <c r="K63" s="279">
        <f t="shared" ref="K63:L63" si="257">20.736+K62</f>
        <v>26.487065344773658</v>
      </c>
      <c r="L63" s="279">
        <f t="shared" si="257"/>
        <v>27.16906534477366</v>
      </c>
      <c r="M63" s="279">
        <f t="shared" ref="M63:N63" si="258">20.736+M62</f>
        <v>27.856065344773661</v>
      </c>
      <c r="N63" s="279">
        <f t="shared" si="258"/>
        <v>28.53806534477366</v>
      </c>
      <c r="O63" s="279">
        <f t="shared" ref="O63:T63" si="259">20.736+O62</f>
        <v>29.243065344773662</v>
      </c>
      <c r="P63" s="279">
        <f t="shared" si="259"/>
        <v>29.946065344773658</v>
      </c>
      <c r="Q63" s="279">
        <f t="shared" si="259"/>
        <v>30.648065344773659</v>
      </c>
      <c r="R63" s="279">
        <f t="shared" si="259"/>
        <v>31.351065344773659</v>
      </c>
      <c r="S63" s="279">
        <f t="shared" si="259"/>
        <v>32.053065344773657</v>
      </c>
      <c r="T63" s="279">
        <f t="shared" si="259"/>
        <v>32.757065344773658</v>
      </c>
      <c r="U63" s="279">
        <f t="shared" ref="U63:V63" si="260">20.736+U62</f>
        <v>33.46006534477366</v>
      </c>
      <c r="V63" s="279">
        <f t="shared" si="260"/>
        <v>34.164065344773661</v>
      </c>
      <c r="W63" s="279">
        <f t="shared" ref="W63:X63" si="261">20.736+W62</f>
        <v>34.867065344773657</v>
      </c>
      <c r="X63" s="279">
        <f t="shared" si="261"/>
        <v>35.569065344773662</v>
      </c>
      <c r="Y63" s="279">
        <f t="shared" ref="Y63:Z63" si="262">20.736+Y62</f>
        <v>36.270065344773656</v>
      </c>
      <c r="Z63" s="279">
        <f t="shared" si="262"/>
        <v>36.980065344773664</v>
      </c>
      <c r="AA63" s="279">
        <f t="shared" ref="AA63:AB63" si="263">20.736+AA62</f>
        <v>37.674065344773659</v>
      </c>
      <c r="AB63" s="279">
        <f t="shared" si="263"/>
        <v>38.376065344773664</v>
      </c>
      <c r="AC63" s="279">
        <f t="shared" ref="AC63:AD63" si="264">20.736+AC62</f>
        <v>39.038065344773656</v>
      </c>
      <c r="AD63" s="279">
        <f t="shared" si="264"/>
        <v>39.668065344773659</v>
      </c>
      <c r="AE63" s="279">
        <f t="shared" ref="AE63:AF63" si="265">20.736+AE62</f>
        <v>40.299065344773659</v>
      </c>
      <c r="AF63" s="279">
        <f t="shared" si="265"/>
        <v>40.932065344773662</v>
      </c>
      <c r="AG63" s="279">
        <f t="shared" ref="AG63" si="266">20.736+AG62</f>
        <v>41.581065344773663</v>
      </c>
    </row>
    <row r="64" spans="1:128" ht="30" customHeight="1" x14ac:dyDescent="0.2">
      <c r="A64" s="26" t="s">
        <v>61</v>
      </c>
      <c r="B64" s="38" t="s">
        <v>10</v>
      </c>
      <c r="C64" s="273">
        <v>30</v>
      </c>
      <c r="D64" s="273">
        <v>30</v>
      </c>
      <c r="E64" s="273">
        <v>29</v>
      </c>
      <c r="F64" s="273">
        <v>29</v>
      </c>
      <c r="G64" s="273">
        <v>29</v>
      </c>
      <c r="H64" s="273">
        <v>29</v>
      </c>
      <c r="I64" s="273">
        <v>29</v>
      </c>
      <c r="J64" s="273">
        <v>30</v>
      </c>
      <c r="K64" s="273">
        <v>29</v>
      </c>
      <c r="L64" s="273">
        <v>30</v>
      </c>
      <c r="M64" s="273">
        <v>30</v>
      </c>
      <c r="N64" s="273">
        <v>30</v>
      </c>
      <c r="O64" s="273">
        <v>30</v>
      </c>
      <c r="P64" s="273">
        <v>30</v>
      </c>
      <c r="Q64" s="273">
        <v>30</v>
      </c>
      <c r="R64" s="273">
        <v>30</v>
      </c>
      <c r="S64" s="273">
        <v>30</v>
      </c>
      <c r="T64" s="273">
        <v>30</v>
      </c>
      <c r="U64" s="273">
        <v>30</v>
      </c>
      <c r="V64" s="273">
        <v>30</v>
      </c>
      <c r="W64" s="273">
        <v>30</v>
      </c>
      <c r="X64" s="273">
        <v>30</v>
      </c>
      <c r="Y64" s="273">
        <v>30</v>
      </c>
      <c r="Z64" s="273">
        <v>30</v>
      </c>
      <c r="AA64" s="273">
        <v>30</v>
      </c>
      <c r="AB64" s="273">
        <v>30</v>
      </c>
      <c r="AC64" s="273">
        <v>30</v>
      </c>
      <c r="AD64" s="273">
        <v>27</v>
      </c>
      <c r="AE64" s="273">
        <v>27</v>
      </c>
      <c r="AF64" s="273">
        <v>27</v>
      </c>
      <c r="AG64" s="273">
        <v>28.5</v>
      </c>
      <c r="AH64" s="201"/>
    </row>
    <row r="65" spans="1:35" ht="30" customHeight="1" x14ac:dyDescent="0.2">
      <c r="A65" s="26" t="s">
        <v>62</v>
      </c>
      <c r="B65" s="38" t="s">
        <v>10</v>
      </c>
      <c r="C65" s="273">
        <v>0</v>
      </c>
      <c r="D65" s="273">
        <v>0</v>
      </c>
      <c r="E65" s="273">
        <v>24</v>
      </c>
      <c r="F65" s="273">
        <v>28</v>
      </c>
      <c r="G65" s="273">
        <v>28</v>
      </c>
      <c r="H65" s="273">
        <v>28</v>
      </c>
      <c r="I65" s="273">
        <v>28</v>
      </c>
      <c r="J65" s="273">
        <v>28</v>
      </c>
      <c r="K65" s="273">
        <v>28</v>
      </c>
      <c r="L65" s="273">
        <v>29</v>
      </c>
      <c r="M65" s="273">
        <v>29</v>
      </c>
      <c r="N65" s="273">
        <v>29</v>
      </c>
      <c r="O65" s="273">
        <v>29</v>
      </c>
      <c r="P65" s="273">
        <v>30</v>
      </c>
      <c r="Q65" s="273">
        <v>30</v>
      </c>
      <c r="R65" s="273">
        <v>30</v>
      </c>
      <c r="S65" s="273">
        <v>29</v>
      </c>
      <c r="T65" s="273">
        <v>30</v>
      </c>
      <c r="U65" s="273">
        <v>30</v>
      </c>
      <c r="V65" s="273">
        <v>29</v>
      </c>
      <c r="W65" s="273">
        <v>30</v>
      </c>
      <c r="X65" s="273">
        <v>29</v>
      </c>
      <c r="Y65" s="273">
        <v>29</v>
      </c>
      <c r="Z65" s="273">
        <v>29</v>
      </c>
      <c r="AA65" s="273">
        <v>29</v>
      </c>
      <c r="AB65" s="273">
        <v>29</v>
      </c>
      <c r="AC65" s="273">
        <v>27</v>
      </c>
      <c r="AD65" s="273">
        <v>27</v>
      </c>
      <c r="AE65" s="273">
        <v>26</v>
      </c>
      <c r="AF65" s="273">
        <v>26</v>
      </c>
      <c r="AG65" s="273">
        <v>27</v>
      </c>
      <c r="AH65" s="201"/>
    </row>
    <row r="66" spans="1:35" ht="30" customHeight="1" x14ac:dyDescent="0.2">
      <c r="A66" s="26" t="s">
        <v>63</v>
      </c>
      <c r="B66" s="38" t="s">
        <v>10</v>
      </c>
      <c r="C66" s="273">
        <f>C60*1000/24</f>
        <v>25.252722698902399</v>
      </c>
      <c r="D66" s="273">
        <f t="shared" ref="D66:E66" si="267">D60*1000/24</f>
        <v>23.434199594731513</v>
      </c>
      <c r="E66" s="273">
        <f t="shared" si="267"/>
        <v>24.609407294832831</v>
      </c>
      <c r="F66" s="273">
        <f t="shared" ref="F66:G66" si="268">F60*1000/24</f>
        <v>27.563781180901049</v>
      </c>
      <c r="G66" s="273">
        <f t="shared" si="268"/>
        <v>27.903659270414988</v>
      </c>
      <c r="H66" s="273">
        <f t="shared" ref="H66:I66" si="269">H60*1000/24</f>
        <v>27.911531746031752</v>
      </c>
      <c r="I66" s="273">
        <f t="shared" si="269"/>
        <v>27.995840058694061</v>
      </c>
      <c r="J66" s="273">
        <f t="shared" ref="J66:K66" si="270">J60*1000/24</f>
        <v>28.368697396796062</v>
      </c>
      <c r="K66" s="273">
        <f t="shared" si="270"/>
        <v>28.409516099203334</v>
      </c>
      <c r="L66" s="273">
        <f t="shared" ref="L66:M66" si="271">L60*1000/24</f>
        <v>28.45927084859585</v>
      </c>
      <c r="M66" s="273">
        <f t="shared" si="271"/>
        <v>28.746451341065605</v>
      </c>
      <c r="N66" s="273">
        <f t="shared" ref="N66" si="272">N60*1000/24</f>
        <v>28.464473529411759</v>
      </c>
      <c r="O66" s="273">
        <f t="shared" ref="O66:T66" si="273">O60*1000/24</f>
        <v>29.35357161413231</v>
      </c>
      <c r="P66" s="273">
        <f t="shared" si="273"/>
        <v>29.369484178321681</v>
      </c>
      <c r="Q66" s="273">
        <f t="shared" si="273"/>
        <v>29.383430992736081</v>
      </c>
      <c r="R66" s="273">
        <f t="shared" si="273"/>
        <v>29.320051880505332</v>
      </c>
      <c r="S66" s="273">
        <f t="shared" si="273"/>
        <v>29.339161138701666</v>
      </c>
      <c r="T66" s="273">
        <f t="shared" si="273"/>
        <v>29.405958905717977</v>
      </c>
      <c r="U66" s="273">
        <f t="shared" ref="U66:V66" si="274">U60*1000/24</f>
        <v>29.338877819104969</v>
      </c>
      <c r="V66" s="273">
        <f t="shared" si="274"/>
        <v>29.376791270679334</v>
      </c>
      <c r="W66" s="273">
        <f t="shared" ref="W66:X66" si="275">W60*1000/24</f>
        <v>29.384496374927789</v>
      </c>
      <c r="X66" s="273">
        <f t="shared" si="275"/>
        <v>29.352742924528297</v>
      </c>
      <c r="Y66" s="273">
        <f t="shared" ref="Y66:Z66" si="276">Y60*1000/24</f>
        <v>29.291636902660073</v>
      </c>
      <c r="Z66" s="273">
        <f t="shared" si="276"/>
        <v>29.379294277213859</v>
      </c>
      <c r="AA66" s="273">
        <f t="shared" ref="AA66:AB66" si="277">AA60*1000/24</f>
        <v>29.469667927444281</v>
      </c>
      <c r="AB66" s="273">
        <f t="shared" si="277"/>
        <v>29.314623159351228</v>
      </c>
      <c r="AC66" s="273">
        <f t="shared" ref="AC66:AD66" si="278">AC60*1000/24</f>
        <v>27.63418151301218</v>
      </c>
      <c r="AD66" s="273">
        <f t="shared" si="278"/>
        <v>26.385105540897097</v>
      </c>
      <c r="AE66" s="273">
        <f t="shared" ref="AE66:AF66" si="279">AE60*1000/24</f>
        <v>26.400044273049648</v>
      </c>
      <c r="AF66" s="273">
        <f t="shared" si="279"/>
        <v>26.453850484145971</v>
      </c>
      <c r="AG66" s="273">
        <f t="shared" ref="AG66" si="280">AG60*1000/24</f>
        <v>27.160562161639604</v>
      </c>
      <c r="AH66" s="201"/>
    </row>
    <row r="67" spans="1:35" ht="30" customHeight="1" x14ac:dyDescent="0.2">
      <c r="A67" s="48" t="s">
        <v>12</v>
      </c>
      <c r="B67" s="343"/>
      <c r="C67" s="455" t="s">
        <v>521</v>
      </c>
      <c r="D67" s="456"/>
      <c r="E67" s="456"/>
      <c r="F67" s="456"/>
      <c r="G67" s="456"/>
      <c r="H67" s="456"/>
      <c r="I67" s="456"/>
      <c r="J67" s="456"/>
      <c r="K67" s="456"/>
      <c r="L67" s="456"/>
      <c r="M67" s="456"/>
      <c r="N67" s="456"/>
      <c r="O67" s="456"/>
      <c r="P67" s="456"/>
      <c r="Q67" s="456"/>
      <c r="R67" s="456"/>
      <c r="S67" s="456"/>
      <c r="T67" s="456"/>
      <c r="U67" s="456"/>
      <c r="V67" s="456"/>
      <c r="W67" s="456"/>
      <c r="X67" s="456"/>
      <c r="Y67" s="456"/>
      <c r="Z67" s="456"/>
      <c r="AA67" s="456"/>
      <c r="AB67" s="456"/>
      <c r="AC67" s="456"/>
      <c r="AD67" s="456"/>
      <c r="AE67" s="456"/>
      <c r="AF67" s="456"/>
      <c r="AG67" s="456"/>
      <c r="AH67" s="201"/>
    </row>
    <row r="68" spans="1:35" ht="30" customHeight="1" x14ac:dyDescent="0.2">
      <c r="A68" s="26" t="s">
        <v>78</v>
      </c>
      <c r="B68" s="38" t="s">
        <v>13</v>
      </c>
      <c r="C68" s="270">
        <f>(C60*100000)/(28*24)</f>
        <v>90.188295353222856</v>
      </c>
      <c r="D68" s="270">
        <f t="shared" ref="D68:E68" si="281">(D60*100000)/(28*24)</f>
        <v>83.69356998118397</v>
      </c>
      <c r="E68" s="270">
        <f t="shared" si="281"/>
        <v>87.890740338688673</v>
      </c>
      <c r="F68" s="270">
        <f t="shared" ref="F68:G68" si="282">(F60*100000)/(28*24)</f>
        <v>98.442075646075168</v>
      </c>
      <c r="G68" s="270">
        <f t="shared" si="282"/>
        <v>99.655925965767821</v>
      </c>
      <c r="H68" s="270">
        <f t="shared" ref="H68:I68" si="283">(H60*100000)/(28*24)</f>
        <v>99.684041950113382</v>
      </c>
      <c r="I68" s="270">
        <f t="shared" si="283"/>
        <v>99.985143066764493</v>
      </c>
      <c r="J68" s="270">
        <f t="shared" ref="J68:K68" si="284">(J60*100000)/(28*24)</f>
        <v>101.31677641712879</v>
      </c>
      <c r="K68" s="270">
        <f t="shared" si="284"/>
        <v>101.46255749715478</v>
      </c>
      <c r="L68" s="270">
        <f t="shared" ref="L68:M68" si="285">(L60*100000)/(28*24)</f>
        <v>101.64025303069945</v>
      </c>
      <c r="M68" s="270">
        <f t="shared" si="285"/>
        <v>102.66589764666287</v>
      </c>
      <c r="N68" s="270">
        <f t="shared" ref="N68" si="286">(N60*100000)/(28*24)</f>
        <v>101.65883403361343</v>
      </c>
      <c r="O68" s="270">
        <f t="shared" ref="O68:T68" si="287">(O60*100000)/(28*24)</f>
        <v>104.83418433618681</v>
      </c>
      <c r="P68" s="270">
        <f t="shared" si="287"/>
        <v>104.89101492257743</v>
      </c>
      <c r="Q68" s="270">
        <f t="shared" si="287"/>
        <v>104.94082497405742</v>
      </c>
      <c r="R68" s="270">
        <f t="shared" si="287"/>
        <v>104.71447100180475</v>
      </c>
      <c r="S68" s="270">
        <f t="shared" si="287"/>
        <v>104.78271835250594</v>
      </c>
      <c r="T68" s="270">
        <f t="shared" si="287"/>
        <v>105.02128180613565</v>
      </c>
      <c r="U68" s="270">
        <f t="shared" ref="U68:V68" si="288">(U60*100000)/(28*24)</f>
        <v>104.78170649680347</v>
      </c>
      <c r="V68" s="270">
        <f t="shared" si="288"/>
        <v>104.91711168099762</v>
      </c>
      <c r="W68" s="270">
        <f t="shared" ref="W68:X68" si="289">(W60*100000)/(28*24)</f>
        <v>104.9446299104564</v>
      </c>
      <c r="X68" s="270">
        <f t="shared" si="289"/>
        <v>104.8312247304582</v>
      </c>
      <c r="Y68" s="270">
        <f t="shared" ref="Y68:Z68" si="290">(Y60*100000)/(28*24)</f>
        <v>104.61298893807168</v>
      </c>
      <c r="Z68" s="270">
        <f t="shared" si="290"/>
        <v>104.9260509900495</v>
      </c>
      <c r="AA68" s="270">
        <f t="shared" ref="AA68:AB68" si="291">(AA60*100000)/(28*24)</f>
        <v>105.24881402658673</v>
      </c>
      <c r="AB68" s="270">
        <f t="shared" si="291"/>
        <v>104.69508271196868</v>
      </c>
      <c r="AC68" s="270">
        <f t="shared" ref="AC68:AD68" si="292">(AC60*100000)/(28*24)</f>
        <v>98.69350540361495</v>
      </c>
      <c r="AD68" s="270">
        <f t="shared" si="292"/>
        <v>94.232519788918196</v>
      </c>
      <c r="AE68" s="270">
        <f t="shared" ref="AE68:AF68" si="293">(AE60*100000)/(28*24)</f>
        <v>94.285872403748755</v>
      </c>
      <c r="AF68" s="270">
        <f t="shared" si="293"/>
        <v>94.478037443378454</v>
      </c>
      <c r="AG68" s="270">
        <f t="shared" ref="AG68" si="294">(AG60*100000)/(28*24)</f>
        <v>97.002007720141435</v>
      </c>
      <c r="AH68" s="201"/>
    </row>
    <row r="69" spans="1:35" ht="30" customHeight="1" x14ac:dyDescent="0.2">
      <c r="A69" s="26" t="s">
        <v>79</v>
      </c>
      <c r="B69" s="38" t="s">
        <v>13</v>
      </c>
      <c r="C69" s="270">
        <f t="shared" ref="C69:H69" si="295">(C62*1000)/(28*24*C2)%</f>
        <v>90.188295353222856</v>
      </c>
      <c r="D69" s="270">
        <f t="shared" si="295"/>
        <v>86.760814343278099</v>
      </c>
      <c r="E69" s="270">
        <f t="shared" si="295"/>
        <v>85.618320673296523</v>
      </c>
      <c r="F69" s="270">
        <f t="shared" si="295"/>
        <v>88.69290717163905</v>
      </c>
      <c r="G69" s="270">
        <f t="shared" si="295"/>
        <v>90.805516213501733</v>
      </c>
      <c r="H69" s="270">
        <f t="shared" si="295"/>
        <v>92.238723828711755</v>
      </c>
      <c r="I69" s="270">
        <f t="shared" ref="I69:J69" si="296">(I62*1000)/(28*24*I2)%</f>
        <v>93.347477567467209</v>
      </c>
      <c r="J69" s="270">
        <f t="shared" si="296"/>
        <v>94.309251204867152</v>
      </c>
      <c r="K69" s="270">
        <f t="shared" ref="K69:L69" si="297">(K62*1000)/(28*24*K2)%</f>
        <v>95.090366150358122</v>
      </c>
      <c r="L69" s="270">
        <f t="shared" si="297"/>
        <v>95.730139059131815</v>
      </c>
      <c r="M69" s="270">
        <f t="shared" ref="M69:N69" si="298">(M62*1000)/(28*24*M2)%</f>
        <v>96.321230313496457</v>
      </c>
      <c r="N69" s="270">
        <f t="shared" si="298"/>
        <v>96.751802390546374</v>
      </c>
      <c r="O69" s="270">
        <f t="shared" ref="O69:T69" si="299">(O62*1000)/(28*24*O2)%</f>
        <v>97.37941099786697</v>
      </c>
      <c r="P69" s="270">
        <f t="shared" si="299"/>
        <v>97.896102729311849</v>
      </c>
      <c r="Q69" s="270">
        <f t="shared" si="299"/>
        <v>98.333981594976777</v>
      </c>
      <c r="R69" s="270">
        <f t="shared" si="299"/>
        <v>98.726426197671685</v>
      </c>
      <c r="S69" s="270">
        <f t="shared" si="299"/>
        <v>99.063947345707803</v>
      </c>
      <c r="T69" s="270">
        <f t="shared" si="299"/>
        <v>99.380500535496523</v>
      </c>
      <c r="U69" s="270">
        <f t="shared" ref="U69:V69" si="300">(U62*1000)/(28*24*U2)%</f>
        <v>99.655900256685911</v>
      </c>
      <c r="V69" s="270">
        <f t="shared" si="300"/>
        <v>99.911200481946864</v>
      </c>
      <c r="W69" s="270">
        <f t="shared" ref="W69:X69" si="301">(W62*1000)/(28*24*W2)%</f>
        <v>100.13510023223964</v>
      </c>
      <c r="X69" s="270">
        <f t="shared" si="301"/>
        <v>100.33188139051447</v>
      </c>
      <c r="Y69" s="270">
        <f t="shared" ref="Y69:Z69" si="302">(Y62*1000)/(28*24*Y2)%</f>
        <v>100.50508116442585</v>
      </c>
      <c r="Z69" s="270">
        <f t="shared" si="302"/>
        <v>100.71965119527319</v>
      </c>
      <c r="AA69" s="270">
        <f t="shared" ref="AA69:AB69" si="303">(AA62*1000)/(28*24*AA2)%</f>
        <v>100.82181752841464</v>
      </c>
      <c r="AB69" s="270">
        <f t="shared" si="303"/>
        <v>100.96191245864044</v>
      </c>
      <c r="AC69" s="270">
        <f t="shared" ref="AC69:AD69" si="304">(AC62*1000)/(28*24*AC2)%</f>
        <v>100.87117143283542</v>
      </c>
      <c r="AD69" s="270">
        <f t="shared" si="304"/>
        <v>100.61684388166273</v>
      </c>
      <c r="AE69" s="270">
        <f t="shared" ref="AE69:AF69" si="305">(AE62*1000)/(28*24*AE2)%</f>
        <v>100.38518752449538</v>
      </c>
      <c r="AF69" s="270">
        <f t="shared" si="305"/>
        <v>100.17889555939315</v>
      </c>
      <c r="AG69" s="270">
        <f t="shared" ref="AG69" si="306">(AG62*1000)/(28*24*AG2)%</f>
        <v>100.06271766884437</v>
      </c>
      <c r="AH69" s="201"/>
    </row>
    <row r="70" spans="1:35" ht="30" customHeight="1" x14ac:dyDescent="0.2">
      <c r="A70" s="26" t="s">
        <v>8</v>
      </c>
      <c r="B70" s="38" t="s">
        <v>13</v>
      </c>
      <c r="C70" s="270">
        <f t="shared" ref="C70:H70" si="307">(C63*10^3)/((24*(30+C2)*28)%)</f>
        <v>102.44847035701642</v>
      </c>
      <c r="D70" s="270">
        <f t="shared" si="307"/>
        <v>101.85112232502632</v>
      </c>
      <c r="E70" s="270">
        <f t="shared" si="307"/>
        <v>101.28997720406592</v>
      </c>
      <c r="F70" s="270">
        <f t="shared" si="307"/>
        <v>101.19076218826007</v>
      </c>
      <c r="G70" s="270">
        <f t="shared" si="307"/>
        <v>101.13548190805128</v>
      </c>
      <c r="H70" s="270">
        <f t="shared" si="307"/>
        <v>101.08740635240434</v>
      </c>
      <c r="I70" s="270">
        <f t="shared" ref="I70:J70" si="308">(I63*10^3)/((24*(30+I2)*28)%)</f>
        <v>101.05801699152856</v>
      </c>
      <c r="J70" s="270">
        <f t="shared" si="308"/>
        <v>101.05758671982166</v>
      </c>
      <c r="K70" s="270">
        <f t="shared" ref="K70:L70" si="309">(K63*10^3)/((24*(30+K2)*28)%)</f>
        <v>101.06480977096177</v>
      </c>
      <c r="L70" s="270">
        <f t="shared" si="309"/>
        <v>101.0753919076401</v>
      </c>
      <c r="M70" s="270">
        <f t="shared" ref="M70:N70" si="310">(M63*10^3)/((24*(30+M2)*28)%)</f>
        <v>101.10360534543287</v>
      </c>
      <c r="N70" s="270">
        <f t="shared" si="310"/>
        <v>101.11275986668672</v>
      </c>
      <c r="O70" s="270">
        <f t="shared" ref="O70:T70" si="311">(O63*10^3)/((24*(30+O2)*28)%)</f>
        <v>101.20108438805947</v>
      </c>
      <c r="P70" s="270">
        <f t="shared" si="311"/>
        <v>101.27863008919662</v>
      </c>
      <c r="Q70" s="270">
        <f t="shared" si="311"/>
        <v>101.34942243642084</v>
      </c>
      <c r="R70" s="270">
        <f t="shared" si="311"/>
        <v>101.42037184515289</v>
      </c>
      <c r="S70" s="270">
        <f t="shared" si="311"/>
        <v>101.48513597002805</v>
      </c>
      <c r="T70" s="270">
        <f t="shared" si="311"/>
        <v>101.55340198652547</v>
      </c>
      <c r="U70" s="270">
        <f t="shared" ref="U70:V70" si="312">(U63*10^3)/((24*(30+U2)*28)%)</f>
        <v>101.61584470594529</v>
      </c>
      <c r="V70" s="270">
        <f t="shared" si="312"/>
        <v>101.67876590706447</v>
      </c>
      <c r="W70" s="270">
        <f t="shared" ref="W70:X70" si="313">(W63*10^3)/((24*(30+W2)*28)%)</f>
        <v>101.73630177630034</v>
      </c>
      <c r="X70" s="270">
        <f t="shared" si="313"/>
        <v>101.78876300587702</v>
      </c>
      <c r="Y70" s="270">
        <f t="shared" ref="Y70:Z70" si="314">(Y63*10^3)/((24*(30+Y2)*28)%)</f>
        <v>101.83643683954867</v>
      </c>
      <c r="Z70" s="270">
        <f t="shared" si="314"/>
        <v>101.90714656297857</v>
      </c>
      <c r="AA70" s="270">
        <f t="shared" ref="AA70:AB70" si="315">(AA63*10^3)/((24*(30+AA2)*28)%)</f>
        <v>101.93199498044821</v>
      </c>
      <c r="AB70" s="270">
        <f t="shared" si="315"/>
        <v>101.97721445783817</v>
      </c>
      <c r="AC70" s="270">
        <f t="shared" ref="AC70:AD70" si="316">(AC63*10^3)/((24*(30+AC2)*28)%)</f>
        <v>101.91641955089194</v>
      </c>
      <c r="AD70" s="270">
        <f t="shared" si="316"/>
        <v>101.77561921380763</v>
      </c>
      <c r="AE70" s="270">
        <f t="shared" ref="AE70:AF70" si="317">(AE63*10^3)/((24*(30+AE2)*28)%)</f>
        <v>101.6421139648246</v>
      </c>
      <c r="AF70" s="270">
        <f t="shared" si="317"/>
        <v>101.51801920826802</v>
      </c>
      <c r="AG70" s="270">
        <f t="shared" ref="AG70" si="318">(AG63*10^3)/((24*(30+AG2)*28)%)</f>
        <v>101.43702513849937</v>
      </c>
    </row>
    <row r="71" spans="1:35" ht="30" customHeight="1" x14ac:dyDescent="0.2">
      <c r="A71" s="26" t="s">
        <v>64</v>
      </c>
      <c r="B71" s="38" t="s">
        <v>65</v>
      </c>
      <c r="C71" s="273">
        <v>20.62</v>
      </c>
      <c r="D71" s="273">
        <v>21.5</v>
      </c>
      <c r="E71" s="273">
        <v>24</v>
      </c>
      <c r="F71" s="273">
        <v>24</v>
      </c>
      <c r="G71" s="273">
        <v>24</v>
      </c>
      <c r="H71" s="273">
        <v>24</v>
      </c>
      <c r="I71" s="273">
        <v>24</v>
      </c>
      <c r="J71" s="273">
        <v>24</v>
      </c>
      <c r="K71" s="273">
        <v>24</v>
      </c>
      <c r="L71" s="273">
        <v>24</v>
      </c>
      <c r="M71" s="273">
        <v>24</v>
      </c>
      <c r="N71" s="273">
        <v>24</v>
      </c>
      <c r="O71" s="273">
        <v>24</v>
      </c>
      <c r="P71" s="273">
        <v>24</v>
      </c>
      <c r="Q71" s="273">
        <v>24</v>
      </c>
      <c r="R71" s="273">
        <v>24</v>
      </c>
      <c r="S71" s="273">
        <v>24</v>
      </c>
      <c r="T71" s="273">
        <v>24</v>
      </c>
      <c r="U71" s="273">
        <v>24</v>
      </c>
      <c r="V71" s="273">
        <v>24</v>
      </c>
      <c r="W71" s="273">
        <v>24</v>
      </c>
      <c r="X71" s="273">
        <v>24</v>
      </c>
      <c r="Y71" s="273">
        <v>24</v>
      </c>
      <c r="Z71" s="273">
        <v>24</v>
      </c>
      <c r="AA71" s="273">
        <v>24</v>
      </c>
      <c r="AB71" s="273">
        <v>24</v>
      </c>
      <c r="AC71" s="273">
        <v>24</v>
      </c>
      <c r="AD71" s="273">
        <v>24</v>
      </c>
      <c r="AE71" s="273">
        <v>24</v>
      </c>
      <c r="AF71" s="273">
        <v>24</v>
      </c>
      <c r="AG71" s="273">
        <v>24</v>
      </c>
      <c r="AH71" s="201"/>
    </row>
    <row r="72" spans="1:35" ht="30" customHeight="1" x14ac:dyDescent="0.2">
      <c r="A72" s="26" t="s">
        <v>66</v>
      </c>
      <c r="B72" s="38" t="s">
        <v>65</v>
      </c>
      <c r="C72" s="274">
        <f>C71</f>
        <v>20.62</v>
      </c>
      <c r="D72" s="274">
        <f t="shared" ref="D72:N72" si="319">D71+C72</f>
        <v>42.120000000000005</v>
      </c>
      <c r="E72" s="274">
        <f t="shared" si="319"/>
        <v>66.12</v>
      </c>
      <c r="F72" s="274">
        <f t="shared" si="319"/>
        <v>90.12</v>
      </c>
      <c r="G72" s="274">
        <f t="shared" si="319"/>
        <v>114.12</v>
      </c>
      <c r="H72" s="274">
        <f t="shared" si="319"/>
        <v>138.12</v>
      </c>
      <c r="I72" s="274">
        <f t="shared" si="319"/>
        <v>162.12</v>
      </c>
      <c r="J72" s="274">
        <f t="shared" si="319"/>
        <v>186.12</v>
      </c>
      <c r="K72" s="274">
        <f t="shared" si="319"/>
        <v>210.12</v>
      </c>
      <c r="L72" s="274">
        <f t="shared" si="319"/>
        <v>234.12</v>
      </c>
      <c r="M72" s="274">
        <f t="shared" si="319"/>
        <v>258.12</v>
      </c>
      <c r="N72" s="274">
        <f t="shared" si="319"/>
        <v>282.12</v>
      </c>
      <c r="O72" s="274">
        <f t="shared" ref="O72:AG72" si="320">O71+N72</f>
        <v>306.12</v>
      </c>
      <c r="P72" s="274">
        <f t="shared" si="320"/>
        <v>330.12</v>
      </c>
      <c r="Q72" s="274">
        <f t="shared" si="320"/>
        <v>354.12</v>
      </c>
      <c r="R72" s="274">
        <f t="shared" si="320"/>
        <v>378.12</v>
      </c>
      <c r="S72" s="274">
        <f t="shared" si="320"/>
        <v>402.12</v>
      </c>
      <c r="T72" s="274">
        <f t="shared" si="320"/>
        <v>426.12</v>
      </c>
      <c r="U72" s="274">
        <f t="shared" si="320"/>
        <v>450.12</v>
      </c>
      <c r="V72" s="274">
        <f t="shared" si="320"/>
        <v>474.12</v>
      </c>
      <c r="W72" s="274">
        <f t="shared" si="320"/>
        <v>498.12</v>
      </c>
      <c r="X72" s="274">
        <f t="shared" si="320"/>
        <v>522.12</v>
      </c>
      <c r="Y72" s="274">
        <f t="shared" si="320"/>
        <v>546.12</v>
      </c>
      <c r="Z72" s="274">
        <f t="shared" si="320"/>
        <v>570.12</v>
      </c>
      <c r="AA72" s="274">
        <f t="shared" si="320"/>
        <v>594.12</v>
      </c>
      <c r="AB72" s="274">
        <f t="shared" si="320"/>
        <v>618.12</v>
      </c>
      <c r="AC72" s="274">
        <f t="shared" si="320"/>
        <v>642.12</v>
      </c>
      <c r="AD72" s="274">
        <f t="shared" si="320"/>
        <v>666.12</v>
      </c>
      <c r="AE72" s="274">
        <f t="shared" si="320"/>
        <v>690.12</v>
      </c>
      <c r="AF72" s="274">
        <f t="shared" si="320"/>
        <v>714.12</v>
      </c>
      <c r="AG72" s="274">
        <f t="shared" si="320"/>
        <v>738.12</v>
      </c>
      <c r="AH72" s="201"/>
    </row>
    <row r="73" spans="1:35" ht="30" customHeight="1" x14ac:dyDescent="0.2">
      <c r="A73" s="26" t="s">
        <v>67</v>
      </c>
      <c r="B73" s="418" t="s">
        <v>65</v>
      </c>
      <c r="C73" s="274">
        <f t="shared" ref="C73:H73" si="321">720+C72</f>
        <v>740.62</v>
      </c>
      <c r="D73" s="274">
        <f t="shared" si="321"/>
        <v>762.12</v>
      </c>
      <c r="E73" s="274">
        <f t="shared" si="321"/>
        <v>786.12</v>
      </c>
      <c r="F73" s="274">
        <f t="shared" si="321"/>
        <v>810.12</v>
      </c>
      <c r="G73" s="274">
        <f t="shared" si="321"/>
        <v>834.12</v>
      </c>
      <c r="H73" s="274">
        <f t="shared" si="321"/>
        <v>858.12</v>
      </c>
      <c r="I73" s="274">
        <f t="shared" ref="I73:J73" si="322">720+I72</f>
        <v>882.12</v>
      </c>
      <c r="J73" s="274">
        <f t="shared" si="322"/>
        <v>906.12</v>
      </c>
      <c r="K73" s="274">
        <f t="shared" ref="K73:L73" si="323">720+K72</f>
        <v>930.12</v>
      </c>
      <c r="L73" s="274">
        <f t="shared" si="323"/>
        <v>954.12</v>
      </c>
      <c r="M73" s="274">
        <f t="shared" ref="M73:N73" si="324">720+M72</f>
        <v>978.12</v>
      </c>
      <c r="N73" s="274">
        <f t="shared" si="324"/>
        <v>1002.12</v>
      </c>
      <c r="O73" s="274">
        <f t="shared" ref="O73:T73" si="325">720+O72</f>
        <v>1026.1199999999999</v>
      </c>
      <c r="P73" s="274">
        <f t="shared" si="325"/>
        <v>1050.1199999999999</v>
      </c>
      <c r="Q73" s="274">
        <f t="shared" si="325"/>
        <v>1074.1199999999999</v>
      </c>
      <c r="R73" s="274">
        <f t="shared" si="325"/>
        <v>1098.1199999999999</v>
      </c>
      <c r="S73" s="274">
        <f t="shared" si="325"/>
        <v>1122.1199999999999</v>
      </c>
      <c r="T73" s="274">
        <f t="shared" si="325"/>
        <v>1146.1199999999999</v>
      </c>
      <c r="U73" s="274">
        <f t="shared" ref="U73:V73" si="326">720+U72</f>
        <v>1170.1199999999999</v>
      </c>
      <c r="V73" s="274">
        <f t="shared" si="326"/>
        <v>1194.1199999999999</v>
      </c>
      <c r="W73" s="274">
        <f t="shared" ref="W73:X73" si="327">720+W72</f>
        <v>1218.1199999999999</v>
      </c>
      <c r="X73" s="274">
        <f t="shared" si="327"/>
        <v>1242.1199999999999</v>
      </c>
      <c r="Y73" s="274">
        <f t="shared" ref="Y73:Z73" si="328">720+Y72</f>
        <v>1266.1199999999999</v>
      </c>
      <c r="Z73" s="274">
        <f t="shared" si="328"/>
        <v>1290.1199999999999</v>
      </c>
      <c r="AA73" s="274">
        <f t="shared" ref="AA73:AB73" si="329">720+AA72</f>
        <v>1314.12</v>
      </c>
      <c r="AB73" s="274">
        <f t="shared" si="329"/>
        <v>1338.12</v>
      </c>
      <c r="AC73" s="274">
        <f t="shared" ref="AC73:AD73" si="330">720+AC72</f>
        <v>1362.12</v>
      </c>
      <c r="AD73" s="274">
        <f t="shared" si="330"/>
        <v>1386.12</v>
      </c>
      <c r="AE73" s="274">
        <f t="shared" ref="AE73:AF73" si="331">720+AE72</f>
        <v>1410.12</v>
      </c>
      <c r="AF73" s="274">
        <f t="shared" si="331"/>
        <v>1434.12</v>
      </c>
      <c r="AG73" s="274">
        <f t="shared" ref="AG73" si="332">720+AG72</f>
        <v>1458.12</v>
      </c>
      <c r="AH73" s="201"/>
    </row>
    <row r="74" spans="1:35" ht="30" customHeight="1" x14ac:dyDescent="0.2">
      <c r="A74" s="48" t="s">
        <v>497</v>
      </c>
      <c r="B74" s="450" t="s">
        <v>506</v>
      </c>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2"/>
      <c r="AD74" s="48"/>
      <c r="AE74" s="48"/>
      <c r="AF74" s="48"/>
      <c r="AG74" s="48"/>
      <c r="AH74" s="48"/>
      <c r="AI74" s="48"/>
    </row>
    <row r="75" spans="1:35" ht="30" customHeight="1" x14ac:dyDescent="0.2">
      <c r="A75" s="400" t="s">
        <v>59</v>
      </c>
      <c r="B75" s="401" t="s">
        <v>13</v>
      </c>
      <c r="C75" s="402">
        <f>MIN(C79,(BOILERS!D66/4*100))</f>
        <v>85.916666666666671</v>
      </c>
      <c r="D75" s="402">
        <f>MIN(D79,(BOILERS!E66/4*100))</f>
        <v>89.583333333333343</v>
      </c>
      <c r="E75" s="402">
        <f>MIN(E79,(BOILERS!F66/4*100))</f>
        <v>100</v>
      </c>
      <c r="F75" s="402">
        <f>MIN(F79,(BOILERS!G66/4*100))</f>
        <v>100</v>
      </c>
      <c r="G75" s="402">
        <f>MIN(G79,(BOILERS!H66/4*100))</f>
        <v>100</v>
      </c>
      <c r="H75" s="402">
        <f>MIN(H79,(BOILERS!I66/4*100))</f>
        <v>100</v>
      </c>
      <c r="I75" s="402">
        <f>MIN(I79,(BOILERS!J66/4*100))</f>
        <v>100</v>
      </c>
      <c r="J75" s="402">
        <f>MIN(J79,(BOILERS!K66/4*100))</f>
        <v>100</v>
      </c>
      <c r="K75" s="402">
        <f>MIN(K79,(BOILERS!L66/4*100))</f>
        <v>100</v>
      </c>
      <c r="L75" s="402">
        <f>MIN(L79,(BOILERS!M66/4*100))</f>
        <v>100</v>
      </c>
      <c r="M75" s="402">
        <f>MIN(M79,(BOILERS!N66/4*100))</f>
        <v>100</v>
      </c>
      <c r="N75" s="402">
        <f>MIN(N79,(BOILERS!O66/4*100))</f>
        <v>100</v>
      </c>
      <c r="O75" s="402">
        <f>MIN(O79,(BOILERS!P66/4*100))</f>
        <v>100</v>
      </c>
      <c r="P75" s="402">
        <f>MIN(P79,(BOILERS!Q66/4*100))</f>
        <v>100</v>
      </c>
      <c r="Q75" s="402">
        <f>MIN(Q79,(BOILERS!R66/4*100))</f>
        <v>100</v>
      </c>
      <c r="R75" s="402">
        <f>MIN(R79,(BOILERS!S66/4*100))</f>
        <v>100</v>
      </c>
      <c r="S75" s="402">
        <f>MIN(S79,(BOILERS!T66/4*100))</f>
        <v>100</v>
      </c>
      <c r="T75" s="402">
        <f>MIN(T79,(BOILERS!U66/4*100))</f>
        <v>100</v>
      </c>
      <c r="U75" s="402">
        <f>MIN(U79,(BOILERS!V66/4*100))</f>
        <v>100</v>
      </c>
      <c r="V75" s="402">
        <f>MIN(V79,(BOILERS!W66/4*100))</f>
        <v>100</v>
      </c>
      <c r="W75" s="402">
        <f>MIN(W79,(BOILERS!X66/4*100))</f>
        <v>100</v>
      </c>
      <c r="X75" s="402">
        <f>MIN(X79,(BOILERS!Y66/4*100))</f>
        <v>100</v>
      </c>
      <c r="Y75" s="402">
        <f>MIN(Y79,(BOILERS!Z66/4*100))</f>
        <v>100</v>
      </c>
      <c r="Z75" s="402">
        <f>MIN(Z79,(BOILERS!AA66/4*100))</f>
        <v>100</v>
      </c>
      <c r="AA75" s="402">
        <f>MIN(AA79,(BOILERS!AB66/4*100))</f>
        <v>100</v>
      </c>
      <c r="AB75" s="402">
        <f>MIN(AB79,(BOILERS!AC66/4*100))</f>
        <v>100</v>
      </c>
      <c r="AC75" s="402">
        <f>MIN(AC79,(BOILERS!AD66/4*100))</f>
        <v>100</v>
      </c>
      <c r="AD75" s="402">
        <f>MIN(AD79,(BOILERS!AE66/4*100))</f>
        <v>100</v>
      </c>
      <c r="AE75" s="402">
        <f>MIN(AE79,(BOILERS!AF66/4*100))</f>
        <v>100</v>
      </c>
      <c r="AF75" s="402">
        <f>MIN(AF79,(BOILERS!AG66/4*100))</f>
        <v>100</v>
      </c>
      <c r="AG75" s="402">
        <f>MIN(AG79,(BOILERS!AH66/4*100))</f>
        <v>100</v>
      </c>
    </row>
    <row r="76" spans="1:35" ht="30" customHeight="1" x14ac:dyDescent="0.2">
      <c r="A76" s="400" t="s">
        <v>60</v>
      </c>
      <c r="B76" s="401" t="s">
        <v>13</v>
      </c>
      <c r="C76" s="402">
        <f>C75</f>
        <v>85.916666666666671</v>
      </c>
      <c r="D76" s="270">
        <f>AVERAGE($C75:D75)</f>
        <v>87.75</v>
      </c>
      <c r="E76" s="270">
        <f>AVERAGE($C75:E75)</f>
        <v>91.833333333333329</v>
      </c>
      <c r="F76" s="270">
        <f>AVERAGE($C75:F75)</f>
        <v>93.875</v>
      </c>
      <c r="G76" s="270">
        <f>AVERAGE($C75:G75)</f>
        <v>95.1</v>
      </c>
      <c r="H76" s="270">
        <f>AVERAGE($C75:H75)</f>
        <v>95.916666666666671</v>
      </c>
      <c r="I76" s="270">
        <f>AVERAGE($C75:I75)</f>
        <v>96.5</v>
      </c>
      <c r="J76" s="270">
        <f>AVERAGE($C75:J75)</f>
        <v>96.9375</v>
      </c>
      <c r="K76" s="270">
        <f>AVERAGE($C75:K75)</f>
        <v>97.277777777777771</v>
      </c>
      <c r="L76" s="270">
        <f>AVERAGE($C75:L75)</f>
        <v>97.55</v>
      </c>
      <c r="M76" s="270">
        <f>AVERAGE($C75:M75)</f>
        <v>97.772727272727266</v>
      </c>
      <c r="N76" s="270">
        <f>AVERAGE($C75:N75)</f>
        <v>97.958333333333329</v>
      </c>
      <c r="O76" s="270">
        <f>AVERAGE($C75:O75)</f>
        <v>98.115384615384613</v>
      </c>
      <c r="P76" s="270">
        <f>AVERAGE($C75:P75)</f>
        <v>98.25</v>
      </c>
      <c r="Q76" s="270">
        <f>AVERAGE($C75:Q75)</f>
        <v>98.36666666666666</v>
      </c>
      <c r="R76" s="270">
        <f>AVERAGE($C75:R75)</f>
        <v>98.46875</v>
      </c>
      <c r="S76" s="270">
        <f>AVERAGE($C75:S75)</f>
        <v>98.558823529411768</v>
      </c>
      <c r="T76" s="270">
        <f>AVERAGE($C75:T75)</f>
        <v>98.638888888888886</v>
      </c>
      <c r="U76" s="270">
        <f>AVERAGE($C75:U75)</f>
        <v>98.71052631578948</v>
      </c>
      <c r="V76" s="270">
        <f>AVERAGE($C75:V75)</f>
        <v>98.775000000000006</v>
      </c>
      <c r="W76" s="270">
        <f>AVERAGE($C75:W75)</f>
        <v>98.833333333333329</v>
      </c>
      <c r="X76" s="270">
        <f>AVERAGE($C75:X75)</f>
        <v>98.88636363636364</v>
      </c>
      <c r="Y76" s="270">
        <f>AVERAGE($C75:Y75)</f>
        <v>98.934782608695656</v>
      </c>
      <c r="Z76" s="270">
        <f>AVERAGE($C75:Z75)</f>
        <v>98.979166666666671</v>
      </c>
      <c r="AA76" s="270">
        <f>AVERAGE($C75:AA75)</f>
        <v>99.02</v>
      </c>
      <c r="AB76" s="270">
        <f>AVERAGE($C75:AB75)</f>
        <v>99.057692307692307</v>
      </c>
      <c r="AC76" s="270">
        <f>AVERAGE($C75:AC75)</f>
        <v>99.092592592592595</v>
      </c>
      <c r="AD76" s="270">
        <f>AVERAGE($C75:AD75)</f>
        <v>99.125</v>
      </c>
      <c r="AE76" s="270">
        <f>AVERAGE($C75:AE75)</f>
        <v>99.15517241379311</v>
      </c>
      <c r="AF76" s="270">
        <f>AVERAGE($C75:AF75)</f>
        <v>99.183333333333337</v>
      </c>
      <c r="AG76" s="270">
        <f>AVERAGE($C75:AG75)</f>
        <v>99.209677419354833</v>
      </c>
    </row>
    <row r="77" spans="1:35" ht="30" customHeight="1" x14ac:dyDescent="0.2">
      <c r="A77" s="400" t="s">
        <v>8</v>
      </c>
      <c r="B77" s="401" t="s">
        <v>13</v>
      </c>
      <c r="C77" s="402">
        <f t="shared" ref="C77:H77" si="333">((100*30+C29*C76))/(C29+30)</f>
        <v>98.430791291763342</v>
      </c>
      <c r="D77" s="402">
        <f t="shared" si="333"/>
        <v>98.565708124497178</v>
      </c>
      <c r="E77" s="402">
        <f t="shared" si="333"/>
        <v>99.047011963170206</v>
      </c>
      <c r="F77" s="402">
        <f t="shared" si="333"/>
        <v>99.285133936799838</v>
      </c>
      <c r="G77" s="402">
        <f t="shared" si="333"/>
        <v>99.429665155604624</v>
      </c>
      <c r="H77" s="402">
        <f t="shared" si="333"/>
        <v>99.528760530284572</v>
      </c>
      <c r="I77" s="402">
        <f t="shared" ref="I77:J77" si="334">((100*30+I29*I76))/(I29+30)</f>
        <v>99.605581807011291</v>
      </c>
      <c r="J77" s="402">
        <f t="shared" si="334"/>
        <v>99.654868128357691</v>
      </c>
      <c r="K77" s="402">
        <f t="shared" ref="K77:L77" si="335">((100*30+K29*K76))/(K29+30)</f>
        <v>99.689472509400503</v>
      </c>
      <c r="L77" s="402">
        <f t="shared" si="335"/>
        <v>99.728292965156413</v>
      </c>
      <c r="M77" s="402">
        <f t="shared" ref="M77:N77" si="336">((100*30+M29*M76))/(M29+30)</f>
        <v>99.75179513575506</v>
      </c>
      <c r="N77" s="402">
        <f t="shared" si="336"/>
        <v>99.77539240208597</v>
      </c>
      <c r="O77" s="402">
        <f t="shared" ref="O77:T77" si="337">((100*30+O29*O76))/(O29+30)</f>
        <v>99.791198509744461</v>
      </c>
      <c r="P77" s="402">
        <f t="shared" si="337"/>
        <v>99.80863239294888</v>
      </c>
      <c r="Q77" s="402">
        <f t="shared" si="337"/>
        <v>99.819902999889806</v>
      </c>
      <c r="R77" s="402">
        <f t="shared" si="337"/>
        <v>99.828789159418235</v>
      </c>
      <c r="S77" s="402">
        <f t="shared" si="337"/>
        <v>99.8374366702743</v>
      </c>
      <c r="T77" s="402">
        <f t="shared" si="337"/>
        <v>99.846179343583941</v>
      </c>
      <c r="U77" s="402">
        <f t="shared" ref="U77:V77" si="338">((100*30+U29*U76))/(U29+30)</f>
        <v>99.856223910020063</v>
      </c>
      <c r="V77" s="402">
        <f t="shared" si="338"/>
        <v>99.865220053584082</v>
      </c>
      <c r="W77" s="402">
        <f t="shared" ref="W77:X77" si="339">((100*30+W29*W76))/(W29+30)</f>
        <v>99.869727406432787</v>
      </c>
      <c r="X77" s="402">
        <f t="shared" si="339"/>
        <v>99.877258658988495</v>
      </c>
      <c r="Y77" s="402">
        <f t="shared" ref="Y77:Z77" si="340">((100*30+Y29*Y76))/(Y29+30)</f>
        <v>99.882987476188489</v>
      </c>
      <c r="Z77" s="402">
        <f t="shared" si="340"/>
        <v>99.885861814277362</v>
      </c>
      <c r="AA77" s="402">
        <f t="shared" ref="AA77:AB77" si="341">((100*30+AA29*AA76))/(AA29+30)</f>
        <v>99.89197031827041</v>
      </c>
      <c r="AB77" s="402">
        <f t="shared" si="341"/>
        <v>99.894727904754504</v>
      </c>
      <c r="AC77" s="402">
        <f t="shared" ref="AC77:AD77" si="342">((100*30+AC29*AC76))/(AC29+30)</f>
        <v>99.890677997070142</v>
      </c>
      <c r="AD77" s="402">
        <f t="shared" si="342"/>
        <v>99.893974833421211</v>
      </c>
      <c r="AE77" s="402">
        <f t="shared" ref="AE77:AF77" si="343">((100*30+AE29*AE76))/(AE29+30)</f>
        <v>99.897482257053127</v>
      </c>
      <c r="AF77" s="402">
        <f t="shared" si="343"/>
        <v>99.903086952676347</v>
      </c>
      <c r="AG77" s="402">
        <f t="shared" ref="AG77" si="344">((100*30+AG29*AG76))/(AG29+30)</f>
        <v>99.910192782495415</v>
      </c>
    </row>
    <row r="78" spans="1:35" ht="30" customHeight="1" x14ac:dyDescent="0.2">
      <c r="A78" s="48" t="s">
        <v>502</v>
      </c>
      <c r="B78" s="343"/>
      <c r="C78" s="457"/>
      <c r="D78" s="458"/>
      <c r="E78" s="458"/>
      <c r="F78" s="458"/>
      <c r="G78" s="458"/>
      <c r="H78" s="458"/>
      <c r="I78" s="458"/>
      <c r="J78" s="458"/>
      <c r="K78" s="458"/>
      <c r="L78" s="458"/>
      <c r="M78" s="458"/>
      <c r="N78" s="458"/>
      <c r="O78" s="458"/>
      <c r="P78" s="458"/>
      <c r="Q78" s="458"/>
      <c r="R78" s="458"/>
      <c r="S78" s="458"/>
      <c r="T78" s="458"/>
      <c r="U78" s="458"/>
      <c r="V78" s="458"/>
      <c r="W78" s="458"/>
      <c r="X78" s="458"/>
      <c r="Y78" s="458"/>
      <c r="Z78" s="458"/>
      <c r="AA78" s="458"/>
      <c r="AB78" s="458"/>
      <c r="AC78" s="458"/>
      <c r="AD78" s="458"/>
      <c r="AE78" s="458"/>
      <c r="AF78" s="458"/>
      <c r="AG78" s="458"/>
      <c r="AH78" s="201"/>
    </row>
    <row r="79" spans="1:35" ht="25.5" customHeight="1" x14ac:dyDescent="0.2">
      <c r="A79" s="26" t="s">
        <v>78</v>
      </c>
      <c r="B79" s="38" t="s">
        <v>13</v>
      </c>
      <c r="C79" s="270">
        <f t="shared" ref="C79:H79" si="345">C71*28/(24*28)%</f>
        <v>85.916666666666671</v>
      </c>
      <c r="D79" s="270">
        <f t="shared" si="345"/>
        <v>89.583333333333343</v>
      </c>
      <c r="E79" s="270">
        <f t="shared" si="345"/>
        <v>100</v>
      </c>
      <c r="F79" s="270">
        <f t="shared" si="345"/>
        <v>100</v>
      </c>
      <c r="G79" s="270">
        <f t="shared" si="345"/>
        <v>100</v>
      </c>
      <c r="H79" s="270">
        <f t="shared" si="345"/>
        <v>100</v>
      </c>
      <c r="I79" s="270">
        <f t="shared" ref="I79:J79" si="346">I71*28/(24*28)%</f>
        <v>100</v>
      </c>
      <c r="J79" s="270">
        <f t="shared" si="346"/>
        <v>100</v>
      </c>
      <c r="K79" s="270">
        <f t="shared" ref="K79:L79" si="347">K71*28/(24*28)%</f>
        <v>100</v>
      </c>
      <c r="L79" s="270">
        <f t="shared" si="347"/>
        <v>100</v>
      </c>
      <c r="M79" s="270">
        <f t="shared" ref="M79:N79" si="348">M71*28/(24*28)%</f>
        <v>100</v>
      </c>
      <c r="N79" s="270">
        <f t="shared" si="348"/>
        <v>100</v>
      </c>
      <c r="O79" s="270">
        <f t="shared" ref="O79:T79" si="349">O71*28/(24*28)%</f>
        <v>100</v>
      </c>
      <c r="P79" s="270">
        <f t="shared" si="349"/>
        <v>100</v>
      </c>
      <c r="Q79" s="270">
        <f t="shared" si="349"/>
        <v>100</v>
      </c>
      <c r="R79" s="270">
        <f t="shared" si="349"/>
        <v>100</v>
      </c>
      <c r="S79" s="270">
        <f t="shared" si="349"/>
        <v>100</v>
      </c>
      <c r="T79" s="270">
        <f t="shared" si="349"/>
        <v>100</v>
      </c>
      <c r="U79" s="270">
        <f t="shared" ref="U79:V79" si="350">U71*28/(24*28)%</f>
        <v>100</v>
      </c>
      <c r="V79" s="270">
        <f t="shared" si="350"/>
        <v>100</v>
      </c>
      <c r="W79" s="270">
        <f t="shared" ref="W79:X79" si="351">W71*28/(24*28)%</f>
        <v>100</v>
      </c>
      <c r="X79" s="270">
        <f t="shared" si="351"/>
        <v>100</v>
      </c>
      <c r="Y79" s="270">
        <f t="shared" ref="Y79:Z79" si="352">Y71*28/(24*28)%</f>
        <v>100</v>
      </c>
      <c r="Z79" s="270">
        <f t="shared" si="352"/>
        <v>100</v>
      </c>
      <c r="AA79" s="270">
        <f t="shared" ref="AA79:AB79" si="353">AA71*28/(24*28)%</f>
        <v>100</v>
      </c>
      <c r="AB79" s="270">
        <f t="shared" si="353"/>
        <v>100</v>
      </c>
      <c r="AC79" s="270">
        <f t="shared" ref="AC79:AD79" si="354">AC71*28/(24*28)%</f>
        <v>100</v>
      </c>
      <c r="AD79" s="270">
        <f t="shared" si="354"/>
        <v>100</v>
      </c>
      <c r="AE79" s="270">
        <f t="shared" ref="AE79:AF79" si="355">AE71*28/(24*28)%</f>
        <v>100</v>
      </c>
      <c r="AF79" s="270">
        <f t="shared" si="355"/>
        <v>100</v>
      </c>
      <c r="AG79" s="270">
        <f t="shared" ref="AG79" si="356">AG71*28/(24*28)%</f>
        <v>100</v>
      </c>
      <c r="AH79" s="201"/>
    </row>
    <row r="80" spans="1:35" ht="25.5" customHeight="1" x14ac:dyDescent="0.2">
      <c r="A80" s="26" t="s">
        <v>79</v>
      </c>
      <c r="B80" s="38" t="s">
        <v>13</v>
      </c>
      <c r="C80" s="270">
        <f>C79</f>
        <v>85.916666666666671</v>
      </c>
      <c r="D80" s="270">
        <f>AVERAGE($C79:D79)</f>
        <v>87.75</v>
      </c>
      <c r="E80" s="270">
        <f>AVERAGE($C79:E79)</f>
        <v>91.833333333333329</v>
      </c>
      <c r="F80" s="270">
        <f>AVERAGE($C79:F79)</f>
        <v>93.875</v>
      </c>
      <c r="G80" s="270">
        <f>AVERAGE($C79:G79)</f>
        <v>95.1</v>
      </c>
      <c r="H80" s="270">
        <f>AVERAGE($C79:H79)</f>
        <v>95.916666666666671</v>
      </c>
      <c r="I80" s="270">
        <f>AVERAGE($C79:I79)</f>
        <v>96.5</v>
      </c>
      <c r="J80" s="270">
        <f>AVERAGE($C79:J79)</f>
        <v>96.9375</v>
      </c>
      <c r="K80" s="270">
        <f>AVERAGE($C79:K79)</f>
        <v>97.277777777777771</v>
      </c>
      <c r="L80" s="270">
        <f>AVERAGE($C79:L79)</f>
        <v>97.55</v>
      </c>
      <c r="M80" s="270">
        <f>AVERAGE($C79:M79)</f>
        <v>97.772727272727266</v>
      </c>
      <c r="N80" s="270">
        <f>AVERAGE($C79:N79)</f>
        <v>97.958333333333329</v>
      </c>
      <c r="O80" s="270">
        <f>AVERAGE($C79:O79)</f>
        <v>98.115384615384613</v>
      </c>
      <c r="P80" s="270">
        <f>AVERAGE($C79:P79)</f>
        <v>98.25</v>
      </c>
      <c r="Q80" s="270">
        <f>AVERAGE($C79:Q79)</f>
        <v>98.36666666666666</v>
      </c>
      <c r="R80" s="270">
        <f>AVERAGE($C79:R79)</f>
        <v>98.46875</v>
      </c>
      <c r="S80" s="270">
        <f>AVERAGE($C79:S79)</f>
        <v>98.558823529411768</v>
      </c>
      <c r="T80" s="270">
        <f>AVERAGE($C79:T79)</f>
        <v>98.638888888888886</v>
      </c>
      <c r="U80" s="270">
        <f>AVERAGE($C79:U79)</f>
        <v>98.71052631578948</v>
      </c>
      <c r="V80" s="270">
        <f>AVERAGE($C79:V79)</f>
        <v>98.775000000000006</v>
      </c>
      <c r="W80" s="270">
        <f>AVERAGE($C79:W79)</f>
        <v>98.833333333333329</v>
      </c>
      <c r="X80" s="270">
        <f>AVERAGE($C79:X79)</f>
        <v>98.88636363636364</v>
      </c>
      <c r="Y80" s="270">
        <f>AVERAGE($C79:Y79)</f>
        <v>98.934782608695656</v>
      </c>
      <c r="Z80" s="270">
        <f>AVERAGE($C79:Z79)</f>
        <v>98.979166666666671</v>
      </c>
      <c r="AA80" s="270">
        <f>AVERAGE($C79:AA79)</f>
        <v>99.02</v>
      </c>
      <c r="AB80" s="270">
        <f>AVERAGE($C79:AB79)</f>
        <v>99.057692307692307</v>
      </c>
      <c r="AC80" s="270">
        <f>AVERAGE($C79:AC79)</f>
        <v>99.092592592592595</v>
      </c>
      <c r="AD80" s="270">
        <f>AVERAGE($C79:AD79)</f>
        <v>99.125</v>
      </c>
      <c r="AE80" s="270">
        <f>AVERAGE($C79:AE79)</f>
        <v>99.15517241379311</v>
      </c>
      <c r="AF80" s="270">
        <f>AVERAGE($C79:AF79)</f>
        <v>99.183333333333337</v>
      </c>
      <c r="AG80" s="270">
        <f>AVERAGE($C79:AG79)</f>
        <v>99.209677419354833</v>
      </c>
    </row>
    <row r="81" spans="1:33" ht="25.5" customHeight="1" x14ac:dyDescent="0.2">
      <c r="A81" s="26" t="s">
        <v>8</v>
      </c>
      <c r="B81" s="38" t="s">
        <v>13</v>
      </c>
      <c r="C81" s="270">
        <f>C80</f>
        <v>85.916666666666671</v>
      </c>
      <c r="D81" s="270">
        <f t="shared" ref="D81:I81" si="357">D80</f>
        <v>87.75</v>
      </c>
      <c r="E81" s="270">
        <f t="shared" si="357"/>
        <v>91.833333333333329</v>
      </c>
      <c r="F81" s="270">
        <f t="shared" si="357"/>
        <v>93.875</v>
      </c>
      <c r="G81" s="270">
        <f t="shared" si="357"/>
        <v>95.1</v>
      </c>
      <c r="H81" s="270">
        <f t="shared" si="357"/>
        <v>95.916666666666671</v>
      </c>
      <c r="I81" s="270">
        <f t="shared" si="357"/>
        <v>96.5</v>
      </c>
      <c r="J81" s="270">
        <f t="shared" ref="J81:K81" si="358">J80</f>
        <v>96.9375</v>
      </c>
      <c r="K81" s="270">
        <f t="shared" si="358"/>
        <v>97.277777777777771</v>
      </c>
      <c r="L81" s="270">
        <f t="shared" ref="L81:M81" si="359">L80</f>
        <v>97.55</v>
      </c>
      <c r="M81" s="270">
        <f t="shared" si="359"/>
        <v>97.772727272727266</v>
      </c>
      <c r="N81" s="270">
        <f t="shared" ref="N81" si="360">N80</f>
        <v>97.958333333333329</v>
      </c>
      <c r="O81" s="270">
        <f t="shared" ref="O81:R81" si="361">O80</f>
        <v>98.115384615384613</v>
      </c>
      <c r="P81" s="270">
        <f t="shared" si="361"/>
        <v>98.25</v>
      </c>
      <c r="Q81" s="270">
        <f t="shared" si="361"/>
        <v>98.36666666666666</v>
      </c>
      <c r="R81" s="270">
        <f t="shared" si="361"/>
        <v>98.46875</v>
      </c>
      <c r="S81" s="270">
        <f t="shared" ref="S81:T81" si="362">S80</f>
        <v>98.558823529411768</v>
      </c>
      <c r="T81" s="270">
        <f t="shared" si="362"/>
        <v>98.638888888888886</v>
      </c>
      <c r="U81" s="270">
        <f t="shared" ref="U81:V81" si="363">U80</f>
        <v>98.71052631578948</v>
      </c>
      <c r="V81" s="270">
        <f t="shared" si="363"/>
        <v>98.775000000000006</v>
      </c>
      <c r="W81" s="270">
        <f t="shared" ref="W81:X81" si="364">W80</f>
        <v>98.833333333333329</v>
      </c>
      <c r="X81" s="270">
        <f t="shared" si="364"/>
        <v>98.88636363636364</v>
      </c>
      <c r="Y81" s="270">
        <f t="shared" ref="Y81:Z81" si="365">Y80</f>
        <v>98.934782608695656</v>
      </c>
      <c r="Z81" s="270">
        <f t="shared" si="365"/>
        <v>98.979166666666671</v>
      </c>
      <c r="AA81" s="270">
        <f t="shared" ref="AA81:AB81" si="366">AA80</f>
        <v>99.02</v>
      </c>
      <c r="AB81" s="270">
        <f t="shared" si="366"/>
        <v>99.057692307692307</v>
      </c>
      <c r="AC81" s="270">
        <f t="shared" ref="AC81:AD81" si="367">AC80</f>
        <v>99.092592592592595</v>
      </c>
      <c r="AD81" s="270">
        <f t="shared" si="367"/>
        <v>99.125</v>
      </c>
      <c r="AE81" s="270">
        <f t="shared" ref="AE81:AF81" si="368">AE80</f>
        <v>99.15517241379311</v>
      </c>
      <c r="AF81" s="270">
        <f t="shared" si="368"/>
        <v>99.183333333333337</v>
      </c>
      <c r="AG81" s="270">
        <f t="shared" ref="AG81" si="369">AG80</f>
        <v>99.209677419354833</v>
      </c>
    </row>
    <row r="82" spans="1:33" ht="25.5" customHeight="1" x14ac:dyDescent="0.2">
      <c r="A82" s="49" t="s">
        <v>80</v>
      </c>
      <c r="B82" s="38" t="s">
        <v>70</v>
      </c>
      <c r="C82" s="274">
        <f>Totalizer!D31</f>
        <v>2404</v>
      </c>
      <c r="D82" s="274">
        <f>Totalizer!E31</f>
        <v>2138</v>
      </c>
      <c r="E82" s="274">
        <f>Totalizer!F31</f>
        <v>2554</v>
      </c>
      <c r="F82" s="274">
        <f>Totalizer!G31</f>
        <v>2570</v>
      </c>
      <c r="G82" s="274">
        <f>Totalizer!H31</f>
        <v>2592</v>
      </c>
      <c r="H82" s="274">
        <f>Totalizer!I31</f>
        <v>2621</v>
      </c>
      <c r="I82" s="274">
        <f>Totalizer!J31</f>
        <v>2586</v>
      </c>
      <c r="J82" s="274">
        <f>Totalizer!K31</f>
        <v>2614</v>
      </c>
      <c r="K82" s="274">
        <f>Totalizer!L31</f>
        <v>2667</v>
      </c>
      <c r="L82" s="274">
        <f>Totalizer!M31</f>
        <v>2606</v>
      </c>
      <c r="M82" s="274">
        <f>Totalizer!N31</f>
        <v>2648</v>
      </c>
      <c r="N82" s="274">
        <f>Totalizer!O31</f>
        <v>2592</v>
      </c>
      <c r="O82" s="274">
        <f>Totalizer!P31</f>
        <v>2684</v>
      </c>
      <c r="P82" s="274">
        <f>Totalizer!Q31</f>
        <v>2676</v>
      </c>
      <c r="Q82" s="274">
        <f>Totalizer!R31</f>
        <v>2700</v>
      </c>
      <c r="R82" s="274">
        <f>Totalizer!S31</f>
        <v>2681</v>
      </c>
      <c r="S82" s="274">
        <f>Totalizer!T31</f>
        <v>2708</v>
      </c>
      <c r="T82" s="274">
        <f>Totalizer!U31</f>
        <v>2743</v>
      </c>
      <c r="U82" s="274">
        <f>Totalizer!V31</f>
        <v>2682</v>
      </c>
      <c r="V82" s="274">
        <f>Totalizer!W31</f>
        <v>2714</v>
      </c>
      <c r="W82" s="274">
        <f>Totalizer!X31</f>
        <v>2688</v>
      </c>
      <c r="X82" s="274">
        <f>Totalizer!Y31</f>
        <v>2702</v>
      </c>
      <c r="Y82" s="274">
        <f>Totalizer!Z31</f>
        <v>2718</v>
      </c>
      <c r="Z82" s="274">
        <f>Totalizer!AA31</f>
        <v>2686</v>
      </c>
      <c r="AA82" s="274">
        <f>Totalizer!AB31</f>
        <v>2883</v>
      </c>
      <c r="AB82" s="274">
        <f>Totalizer!AC31</f>
        <v>2534</v>
      </c>
      <c r="AC82" s="274">
        <f>Totalizer!AD31</f>
        <v>2602</v>
      </c>
      <c r="AD82" s="274">
        <f>Totalizer!AE31</f>
        <v>2463</v>
      </c>
      <c r="AE82" s="274">
        <f>Totalizer!AF31</f>
        <v>2461</v>
      </c>
      <c r="AF82" s="274">
        <f>Totalizer!AG31</f>
        <v>2478</v>
      </c>
      <c r="AG82" s="274">
        <f>Totalizer!AH31</f>
        <v>2554</v>
      </c>
    </row>
    <row r="83" spans="1:33" ht="25.5" customHeight="1" x14ac:dyDescent="0.2">
      <c r="A83" s="49" t="s">
        <v>71</v>
      </c>
      <c r="B83" s="38" t="s">
        <v>72</v>
      </c>
      <c r="C83" s="272">
        <f t="shared" ref="C83:H83" si="370">C82/(C60*1000)</f>
        <v>3.9665689858868318</v>
      </c>
      <c r="D83" s="272">
        <f t="shared" si="370"/>
        <v>3.8014241951477223</v>
      </c>
      <c r="E83" s="272">
        <f t="shared" si="370"/>
        <v>4.3242271295583246</v>
      </c>
      <c r="F83" s="272">
        <f t="shared" si="370"/>
        <v>3.884929017196356</v>
      </c>
      <c r="G83" s="272">
        <f t="shared" si="370"/>
        <v>3.8704601053707539</v>
      </c>
      <c r="H83" s="272">
        <f t="shared" si="370"/>
        <v>3.9126599832293238</v>
      </c>
      <c r="I83" s="272">
        <f t="shared" ref="I83:J83" si="371">I82/(I60*1000)</f>
        <v>3.8487860972951378</v>
      </c>
      <c r="J83" s="272">
        <f t="shared" si="371"/>
        <v>3.839325618065482</v>
      </c>
      <c r="K83" s="272">
        <f t="shared" ref="K83:L83" si="372">K82/(K60*1000)</f>
        <v>3.9115414571639322</v>
      </c>
      <c r="L83" s="272">
        <f t="shared" si="372"/>
        <v>3.8153940735516323</v>
      </c>
      <c r="M83" s="272">
        <f t="shared" ref="M83:N83" si="373">M82/(M60*1000)</f>
        <v>3.838154909079758</v>
      </c>
      <c r="N83" s="272">
        <f t="shared" si="373"/>
        <v>3.7942033211471773</v>
      </c>
      <c r="O83" s="272">
        <f t="shared" ref="O83:T83" si="374">O82/(O60*1000)</f>
        <v>3.8098714120189396</v>
      </c>
      <c r="P83" s="272">
        <f t="shared" si="374"/>
        <v>3.7964575517570998</v>
      </c>
      <c r="Q83" s="272">
        <f t="shared" si="374"/>
        <v>3.8286883525552642</v>
      </c>
      <c r="R83" s="272">
        <f t="shared" si="374"/>
        <v>3.8099636995392667</v>
      </c>
      <c r="S83" s="272">
        <f t="shared" si="374"/>
        <v>3.8458268387398928</v>
      </c>
      <c r="T83" s="272">
        <f t="shared" si="374"/>
        <v>3.8866838872050082</v>
      </c>
      <c r="U83" s="272">
        <f t="shared" ref="U83:V83" si="375">U82/(U60*1000)</f>
        <v>3.8089391383344027</v>
      </c>
      <c r="V83" s="272">
        <f t="shared" si="375"/>
        <v>3.8494106552134104</v>
      </c>
      <c r="W83" s="272">
        <f t="shared" ref="W83:X83" si="376">W82/(W60*1000)</f>
        <v>3.811533761577877</v>
      </c>
      <c r="X83" s="272">
        <f t="shared" si="376"/>
        <v>3.8355302474732036</v>
      </c>
      <c r="Y83" s="272">
        <f t="shared" ref="Y83:Z83" si="377">Y82/(Y60*1000)</f>
        <v>3.8662912686083235</v>
      </c>
      <c r="Z83" s="272">
        <f t="shared" si="377"/>
        <v>3.809372192900752</v>
      </c>
      <c r="AA83" s="272">
        <f t="shared" ref="AA83:AB83" si="378">AA82/(AA60*1000)</f>
        <v>4.0762250967928599</v>
      </c>
      <c r="AB83" s="272">
        <f t="shared" si="378"/>
        <v>3.6017291697523577</v>
      </c>
      <c r="AC83" s="272">
        <f t="shared" ref="AC83:AD83" si="379">AC82/(AC60*1000)</f>
        <v>3.9232812672818342</v>
      </c>
      <c r="AD83" s="272">
        <f t="shared" si="379"/>
        <v>3.8895050027725127</v>
      </c>
      <c r="AE83" s="272">
        <f t="shared" ref="AE83:AF83" si="380">AE82/(AE60*1000)</f>
        <v>3.8841475266519083</v>
      </c>
      <c r="AF83" s="272">
        <f t="shared" si="380"/>
        <v>3.9030234960267371</v>
      </c>
      <c r="AG83" s="272">
        <f t="shared" ref="AG83" si="381">AG82/(AG60*1000)</f>
        <v>3.9180583241743405</v>
      </c>
    </row>
    <row r="102" spans="17:38" x14ac:dyDescent="0.2">
      <c r="AH102" s="348"/>
      <c r="AI102" s="348"/>
      <c r="AJ102" s="348"/>
      <c r="AK102" s="348"/>
      <c r="AL102" s="348"/>
    </row>
    <row r="106" spans="17:38" x14ac:dyDescent="0.2">
      <c r="Q106" s="348"/>
      <c r="R106" s="348"/>
      <c r="S106" s="348"/>
      <c r="T106" s="348"/>
      <c r="U106" s="284"/>
      <c r="V106" s="284"/>
      <c r="W106" s="348"/>
      <c r="X106" s="348"/>
      <c r="Y106" s="348"/>
      <c r="Z106" s="348"/>
      <c r="AA106" s="348"/>
      <c r="AB106" s="348"/>
      <c r="AC106" s="348"/>
      <c r="AD106" s="348"/>
      <c r="AE106" s="348"/>
      <c r="AF106" s="348"/>
      <c r="AG106" s="348"/>
    </row>
  </sheetData>
  <autoFilter ref="A1:AH29" xr:uid="{00000000-0009-0000-0000-00000100000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s blank="1"/>
    </filterColumn>
    <filterColumn colId="26" showButton="0"/>
    <filterColumn colId="27" showButton="0"/>
    <filterColumn colId="28" showButton="0"/>
    <filterColumn colId="29" showButton="0"/>
    <filterColumn colId="30" showButton="0"/>
    <filterColumn colId="31" showButton="0"/>
  </autoFilter>
  <mergeCells count="20">
    <mergeCell ref="B74:AC74"/>
    <mergeCell ref="C59:AG59"/>
    <mergeCell ref="C67:AG67"/>
    <mergeCell ref="C78:AG78"/>
    <mergeCell ref="A2:B2"/>
    <mergeCell ref="A4:B4"/>
    <mergeCell ref="A31:B31"/>
    <mergeCell ref="A30:AF30"/>
    <mergeCell ref="C31:AG31"/>
    <mergeCell ref="C32:AG32"/>
    <mergeCell ref="C40:AG40"/>
    <mergeCell ref="C51:AG51"/>
    <mergeCell ref="C24:AG24"/>
    <mergeCell ref="C20:AG20"/>
    <mergeCell ref="C47:AG47"/>
    <mergeCell ref="B1:AG1"/>
    <mergeCell ref="C4:AG4"/>
    <mergeCell ref="C5:AG5"/>
    <mergeCell ref="C13:AG13"/>
    <mergeCell ref="B58:AG58"/>
  </mergeCells>
  <phoneticPr fontId="24" type="noConversion"/>
  <printOptions horizontalCentered="1" verticalCentered="1"/>
  <pageMargins left="0" right="0" top="0" bottom="0" header="0" footer="0"/>
  <pageSetup paperSize="9" scale="4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P91"/>
  <sheetViews>
    <sheetView zoomScale="90" zoomScaleNormal="90" zoomScaleSheetLayoutView="80" workbookViewId="0">
      <pane xSplit="3" ySplit="2" topLeftCell="AB75" activePane="bottomRight" state="frozen"/>
      <selection pane="topRight" activeCell="D1" sqref="D1"/>
      <selection pane="bottomLeft" activeCell="A3" sqref="A3"/>
      <selection pane="bottomRight" activeCell="AJ58" sqref="AJ58"/>
    </sheetView>
  </sheetViews>
  <sheetFormatPr defaultColWidth="9.140625" defaultRowHeight="15" x14ac:dyDescent="0.2"/>
  <cols>
    <col min="1" max="1" width="9" style="155" customWidth="1"/>
    <col min="2" max="2" width="31.5703125" style="156" customWidth="1"/>
    <col min="3" max="3" width="13.85546875" style="157" customWidth="1"/>
    <col min="4" max="4" width="13.28515625" style="157" customWidth="1"/>
    <col min="5" max="5" width="13.85546875" style="121" customWidth="1"/>
    <col min="6" max="6" width="13.28515625" style="157" customWidth="1"/>
    <col min="7" max="7" width="11.5703125" style="157" customWidth="1"/>
    <col min="8" max="8" width="11.85546875" style="157" customWidth="1"/>
    <col min="9" max="9" width="11.42578125" style="157" customWidth="1"/>
    <col min="10" max="10" width="11.5703125" style="157" customWidth="1"/>
    <col min="11" max="11" width="12.7109375" style="157" customWidth="1"/>
    <col min="12" max="12" width="12.5703125" style="157" customWidth="1"/>
    <col min="13" max="13" width="11.85546875" style="157" customWidth="1"/>
    <col min="14" max="14" width="13.140625" style="157" customWidth="1"/>
    <col min="15" max="15" width="12.28515625" style="157" customWidth="1"/>
    <col min="16" max="16" width="12" style="157" customWidth="1"/>
    <col min="17" max="17" width="11.5703125" style="157" customWidth="1"/>
    <col min="18" max="18" width="12.28515625" style="157" customWidth="1"/>
    <col min="19" max="19" width="11.5703125" style="157" customWidth="1"/>
    <col min="20" max="20" width="13.28515625" style="157" customWidth="1"/>
    <col min="21" max="21" width="13.85546875" style="157" customWidth="1"/>
    <col min="22" max="22" width="12.7109375" style="157" customWidth="1"/>
    <col min="23" max="23" width="13.5703125" style="157" customWidth="1"/>
    <col min="24" max="24" width="12.85546875" style="157" customWidth="1"/>
    <col min="25" max="25" width="12.140625" style="157" customWidth="1"/>
    <col min="26" max="26" width="13.140625" style="157" customWidth="1"/>
    <col min="27" max="28" width="11.42578125" style="157" customWidth="1"/>
    <col min="29" max="29" width="12.140625" style="157" customWidth="1"/>
    <col min="30" max="30" width="11.28515625" style="157" customWidth="1"/>
    <col min="31" max="31" width="12.28515625" style="157" customWidth="1"/>
    <col min="32" max="32" width="12.42578125" style="157" customWidth="1"/>
    <col min="33" max="33" width="13" style="157" customWidth="1"/>
    <col min="34" max="34" width="13.28515625" style="157" customWidth="1"/>
    <col min="35" max="35" width="12.85546875" style="157" customWidth="1"/>
    <col min="36" max="36" width="13.85546875" style="54" customWidth="1"/>
    <col min="37" max="37" width="13" style="120" customWidth="1"/>
    <col min="38" max="38" width="13.140625" style="120" bestFit="1" customWidth="1"/>
    <col min="39" max="224" width="9.140625" style="120"/>
    <col min="225" max="16384" width="9.140625" style="121"/>
  </cols>
  <sheetData>
    <row r="1" spans="1:224" ht="26.25" x14ac:dyDescent="0.2">
      <c r="A1" s="479" t="s">
        <v>81</v>
      </c>
      <c r="B1" s="480"/>
      <c r="C1" s="480"/>
      <c r="D1" s="480"/>
      <c r="E1" s="480"/>
      <c r="F1" s="480"/>
      <c r="G1" s="480"/>
      <c r="H1" s="480"/>
      <c r="I1" s="480"/>
      <c r="J1" s="480"/>
      <c r="K1" s="480"/>
      <c r="L1" s="480"/>
      <c r="M1" s="480"/>
      <c r="N1" s="480"/>
      <c r="O1" s="480"/>
      <c r="P1" s="480"/>
      <c r="Q1" s="480"/>
      <c r="R1" s="480"/>
      <c r="S1" s="480"/>
      <c r="T1" s="480"/>
      <c r="U1" s="480"/>
      <c r="V1" s="480"/>
      <c r="W1" s="480"/>
      <c r="X1" s="480"/>
      <c r="Y1" s="480"/>
      <c r="Z1" s="480"/>
      <c r="AA1" s="480"/>
      <c r="AB1" s="480"/>
      <c r="AC1" s="480"/>
      <c r="AD1" s="480"/>
      <c r="AE1" s="480"/>
      <c r="AF1" s="480"/>
      <c r="AG1" s="480"/>
      <c r="AH1" s="324"/>
      <c r="AI1" s="324"/>
      <c r="AJ1" s="481" t="s">
        <v>82</v>
      </c>
    </row>
    <row r="2" spans="1:224" s="54" customFormat="1" ht="15.75" thickBot="1" x14ac:dyDescent="0.25">
      <c r="A2" s="482" t="s">
        <v>0</v>
      </c>
      <c r="B2" s="482"/>
      <c r="C2" s="303">
        <v>45412</v>
      </c>
      <c r="D2" s="303">
        <v>45413</v>
      </c>
      <c r="E2" s="303">
        <v>45414</v>
      </c>
      <c r="F2" s="303">
        <v>45415</v>
      </c>
      <c r="G2" s="303">
        <v>45416</v>
      </c>
      <c r="H2" s="303">
        <v>45417</v>
      </c>
      <c r="I2" s="303">
        <v>45418</v>
      </c>
      <c r="J2" s="303">
        <v>45419</v>
      </c>
      <c r="K2" s="303">
        <v>45420</v>
      </c>
      <c r="L2" s="303">
        <v>45421</v>
      </c>
      <c r="M2" s="303">
        <v>45422</v>
      </c>
      <c r="N2" s="303">
        <v>45423</v>
      </c>
      <c r="O2" s="303">
        <v>45424</v>
      </c>
      <c r="P2" s="303">
        <v>45425</v>
      </c>
      <c r="Q2" s="303">
        <v>45426</v>
      </c>
      <c r="R2" s="303">
        <v>45427</v>
      </c>
      <c r="S2" s="303">
        <v>45428</v>
      </c>
      <c r="T2" s="303">
        <v>45429</v>
      </c>
      <c r="U2" s="303">
        <v>45430</v>
      </c>
      <c r="V2" s="303">
        <v>45431</v>
      </c>
      <c r="W2" s="303">
        <v>45432</v>
      </c>
      <c r="X2" s="303">
        <v>45433</v>
      </c>
      <c r="Y2" s="303">
        <v>45434</v>
      </c>
      <c r="Z2" s="303">
        <v>45435</v>
      </c>
      <c r="AA2" s="303">
        <v>45436</v>
      </c>
      <c r="AB2" s="303">
        <v>45437</v>
      </c>
      <c r="AC2" s="303">
        <v>45438</v>
      </c>
      <c r="AD2" s="303">
        <v>45439</v>
      </c>
      <c r="AE2" s="303">
        <v>45440</v>
      </c>
      <c r="AF2" s="303">
        <v>45441</v>
      </c>
      <c r="AG2" s="303">
        <v>45442</v>
      </c>
      <c r="AH2" s="303">
        <v>45443</v>
      </c>
      <c r="AI2" s="303">
        <v>45444</v>
      </c>
      <c r="AJ2" s="481"/>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2"/>
      <c r="DH2" s="122"/>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2"/>
      <c r="EI2" s="122"/>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2"/>
      <c r="FJ2" s="122"/>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2"/>
      <c r="GK2" s="122"/>
      <c r="GL2" s="122"/>
      <c r="GM2" s="122"/>
      <c r="GN2" s="122"/>
      <c r="GO2" s="122"/>
      <c r="GP2" s="122"/>
      <c r="GQ2" s="122"/>
      <c r="GR2" s="122"/>
      <c r="GS2" s="122"/>
      <c r="GT2" s="122"/>
      <c r="GU2" s="122"/>
      <c r="GV2" s="122"/>
      <c r="GW2" s="122"/>
      <c r="GX2" s="122"/>
      <c r="GY2" s="122"/>
      <c r="GZ2" s="122"/>
      <c r="HA2" s="122"/>
      <c r="HB2" s="122"/>
      <c r="HC2" s="122"/>
      <c r="HD2" s="122"/>
      <c r="HE2" s="122"/>
      <c r="HF2" s="122"/>
      <c r="HG2" s="122"/>
      <c r="HH2" s="122"/>
      <c r="HI2" s="122"/>
      <c r="HJ2" s="122"/>
      <c r="HK2" s="122"/>
      <c r="HL2" s="122"/>
      <c r="HM2" s="122"/>
      <c r="HN2" s="122"/>
      <c r="HO2" s="122"/>
      <c r="HP2" s="122"/>
    </row>
    <row r="3" spans="1:224" ht="20.25" customHeight="1" thickBot="1" x14ac:dyDescent="0.25">
      <c r="A3" s="483" t="s">
        <v>83</v>
      </c>
      <c r="B3" s="123" t="s">
        <v>84</v>
      </c>
      <c r="C3" s="127">
        <v>18943274</v>
      </c>
      <c r="D3" s="127">
        <v>18946692</v>
      </c>
      <c r="E3" s="254">
        <v>18950288</v>
      </c>
      <c r="F3" s="124">
        <v>18954050</v>
      </c>
      <c r="G3" s="124">
        <v>18957848</v>
      </c>
      <c r="H3" s="124">
        <v>18961292</v>
      </c>
      <c r="I3" s="124">
        <v>18965052</v>
      </c>
      <c r="J3" s="256">
        <v>18968972</v>
      </c>
      <c r="K3" s="124">
        <v>18972892</v>
      </c>
      <c r="L3" s="124">
        <v>18976744</v>
      </c>
      <c r="M3" s="124">
        <v>18980694</v>
      </c>
      <c r="N3" s="124">
        <v>18984650</v>
      </c>
      <c r="O3" s="124">
        <v>18988606</v>
      </c>
      <c r="P3" s="124">
        <v>18992640</v>
      </c>
      <c r="Q3" s="124">
        <v>18996636</v>
      </c>
      <c r="R3" s="124">
        <v>19000692</v>
      </c>
      <c r="S3" s="124">
        <v>19004752</v>
      </c>
      <c r="T3" s="124">
        <v>19008750</v>
      </c>
      <c r="U3" s="124">
        <v>19012804</v>
      </c>
      <c r="V3" s="124">
        <v>19016786</v>
      </c>
      <c r="W3" s="124">
        <v>19020738</v>
      </c>
      <c r="X3" s="124">
        <v>19024850</v>
      </c>
      <c r="Y3" s="124">
        <v>19028870</v>
      </c>
      <c r="Z3" s="124">
        <v>19032850</v>
      </c>
      <c r="AA3" s="124">
        <v>19036878</v>
      </c>
      <c r="AB3" s="124">
        <v>19040984</v>
      </c>
      <c r="AC3" s="124">
        <v>19044962</v>
      </c>
      <c r="AD3" s="124">
        <v>19048622</v>
      </c>
      <c r="AE3" s="124">
        <v>19052156</v>
      </c>
      <c r="AF3" s="124">
        <v>19055842</v>
      </c>
      <c r="AG3" s="124">
        <v>19059618</v>
      </c>
      <c r="AH3" s="322">
        <v>19063508</v>
      </c>
      <c r="AI3" s="322"/>
      <c r="AJ3" s="323">
        <f t="shared" ref="AJ3:AJ28" si="0">(AH3-D3)/30/24</f>
        <v>162.24444444444444</v>
      </c>
      <c r="AK3" s="120">
        <v>18588246</v>
      </c>
      <c r="HP3" s="121"/>
    </row>
    <row r="4" spans="1:224" ht="20.25" customHeight="1" thickBot="1" x14ac:dyDescent="0.25">
      <c r="A4" s="483"/>
      <c r="B4" s="126" t="s">
        <v>85</v>
      </c>
      <c r="C4" s="127">
        <v>17940396</v>
      </c>
      <c r="D4" s="127">
        <v>17943716</v>
      </c>
      <c r="E4" s="255">
        <v>17947114</v>
      </c>
      <c r="F4" s="127">
        <v>17950328</v>
      </c>
      <c r="G4" s="127">
        <v>17953440</v>
      </c>
      <c r="H4" s="127">
        <v>17957206</v>
      </c>
      <c r="I4" s="250">
        <v>17961010</v>
      </c>
      <c r="J4" s="250">
        <v>17964934</v>
      </c>
      <c r="K4" s="127">
        <v>17968770</v>
      </c>
      <c r="L4" s="127">
        <v>17972490</v>
      </c>
      <c r="M4" s="127">
        <v>17976366</v>
      </c>
      <c r="N4" s="127">
        <v>17980324</v>
      </c>
      <c r="O4" s="127">
        <v>17984292</v>
      </c>
      <c r="P4" s="127">
        <v>17988336</v>
      </c>
      <c r="Q4" s="127">
        <v>17992342</v>
      </c>
      <c r="R4" s="127">
        <v>17996406</v>
      </c>
      <c r="S4" s="127">
        <v>18000482</v>
      </c>
      <c r="T4" s="127">
        <v>18004488</v>
      </c>
      <c r="U4" s="255">
        <v>18008548</v>
      </c>
      <c r="V4" s="127">
        <v>18012536</v>
      </c>
      <c r="W4" s="127">
        <v>18016554</v>
      </c>
      <c r="X4" s="127">
        <v>18020616</v>
      </c>
      <c r="Y4" s="127">
        <v>18024644</v>
      </c>
      <c r="Z4" s="127">
        <v>18028630</v>
      </c>
      <c r="AA4" s="127">
        <v>18032662</v>
      </c>
      <c r="AB4" s="127">
        <v>18033778</v>
      </c>
      <c r="AC4" s="127">
        <v>18037682</v>
      </c>
      <c r="AD4" s="127">
        <v>18041034</v>
      </c>
      <c r="AE4" s="127">
        <v>18044138</v>
      </c>
      <c r="AF4" s="127">
        <v>18047380</v>
      </c>
      <c r="AG4" s="127">
        <v>18050842</v>
      </c>
      <c r="AH4" s="322">
        <v>18054456</v>
      </c>
      <c r="AI4" s="127"/>
      <c r="AJ4" s="125">
        <f t="shared" si="0"/>
        <v>153.80555555555557</v>
      </c>
      <c r="AK4" s="120">
        <v>17586616</v>
      </c>
      <c r="HP4" s="121"/>
    </row>
    <row r="5" spans="1:224" ht="20.25" customHeight="1" thickBot="1" x14ac:dyDescent="0.25">
      <c r="A5" s="483"/>
      <c r="B5" s="126" t="s">
        <v>86</v>
      </c>
      <c r="C5" s="127">
        <v>11406730</v>
      </c>
      <c r="D5" s="127">
        <v>11409134</v>
      </c>
      <c r="E5" s="255">
        <v>11411272</v>
      </c>
      <c r="F5" s="127">
        <v>11413826</v>
      </c>
      <c r="G5" s="127">
        <v>11416396</v>
      </c>
      <c r="H5" s="127">
        <v>11418988</v>
      </c>
      <c r="I5" s="127">
        <v>11421609</v>
      </c>
      <c r="J5" s="127">
        <v>11424195</v>
      </c>
      <c r="K5" s="127">
        <v>11426809</v>
      </c>
      <c r="L5" s="127">
        <v>11429476</v>
      </c>
      <c r="M5" s="127">
        <v>11432082</v>
      </c>
      <c r="N5" s="127">
        <v>11434730</v>
      </c>
      <c r="O5" s="127">
        <v>11437322</v>
      </c>
      <c r="P5" s="127">
        <v>11440006</v>
      </c>
      <c r="Q5" s="127">
        <v>11442682</v>
      </c>
      <c r="R5" s="127">
        <v>11445382</v>
      </c>
      <c r="S5" s="127">
        <v>11448063</v>
      </c>
      <c r="T5" s="127">
        <v>11450771</v>
      </c>
      <c r="U5" s="255">
        <v>11453514</v>
      </c>
      <c r="V5" s="127">
        <v>11456196</v>
      </c>
      <c r="W5" s="127">
        <v>11458910</v>
      </c>
      <c r="X5" s="127">
        <v>11461598</v>
      </c>
      <c r="Y5" s="127">
        <v>11464300</v>
      </c>
      <c r="Z5" s="127">
        <v>11467018</v>
      </c>
      <c r="AA5" s="127">
        <v>11469704</v>
      </c>
      <c r="AB5" s="127">
        <v>11472587</v>
      </c>
      <c r="AC5" s="127">
        <v>11475121</v>
      </c>
      <c r="AD5" s="127">
        <v>11477723</v>
      </c>
      <c r="AE5" s="127">
        <v>11480186</v>
      </c>
      <c r="AF5" s="127">
        <v>11482647</v>
      </c>
      <c r="AG5" s="127">
        <v>11485125</v>
      </c>
      <c r="AH5" s="127">
        <v>11487679</v>
      </c>
      <c r="AI5" s="127"/>
      <c r="AJ5" s="125">
        <f t="shared" si="0"/>
        <v>109.09027777777777</v>
      </c>
      <c r="AK5" s="120">
        <v>11167660</v>
      </c>
      <c r="HP5" s="121"/>
    </row>
    <row r="6" spans="1:224" ht="20.25" customHeight="1" thickBot="1" x14ac:dyDescent="0.25">
      <c r="A6" s="483"/>
      <c r="B6" s="126" t="s">
        <v>87</v>
      </c>
      <c r="C6" s="127">
        <v>3304159</v>
      </c>
      <c r="D6" s="127">
        <v>3304860</v>
      </c>
      <c r="E6" s="255">
        <v>3305419</v>
      </c>
      <c r="F6" s="127">
        <v>3306129</v>
      </c>
      <c r="G6" s="127">
        <v>3306829</v>
      </c>
      <c r="H6" s="127">
        <v>3307538</v>
      </c>
      <c r="I6" s="127">
        <v>3308262</v>
      </c>
      <c r="J6" s="127">
        <v>3308967</v>
      </c>
      <c r="K6" s="127">
        <v>3309686</v>
      </c>
      <c r="L6" s="127">
        <v>3310401</v>
      </c>
      <c r="M6" s="127">
        <v>3311117</v>
      </c>
      <c r="N6" s="127">
        <v>3311844</v>
      </c>
      <c r="O6" s="127">
        <v>3312553</v>
      </c>
      <c r="P6" s="127">
        <v>3313267</v>
      </c>
      <c r="Q6" s="127">
        <v>3314002</v>
      </c>
      <c r="R6" s="127">
        <v>3314704</v>
      </c>
      <c r="S6" s="127">
        <v>3315422</v>
      </c>
      <c r="T6" s="127">
        <v>3316141</v>
      </c>
      <c r="U6" s="255">
        <v>3316848</v>
      </c>
      <c r="V6" s="127">
        <v>3317554</v>
      </c>
      <c r="W6" s="127">
        <v>3318253</v>
      </c>
      <c r="X6" s="127">
        <v>3318949</v>
      </c>
      <c r="Y6" s="127">
        <v>3319670</v>
      </c>
      <c r="Z6" s="127">
        <v>3320369</v>
      </c>
      <c r="AA6" s="127">
        <v>3321073</v>
      </c>
      <c r="AB6" s="127">
        <v>3321771</v>
      </c>
      <c r="AC6" s="127">
        <v>3322477</v>
      </c>
      <c r="AD6" s="127">
        <v>3323190</v>
      </c>
      <c r="AE6" s="127">
        <v>3323790</v>
      </c>
      <c r="AF6" s="127">
        <v>3324372</v>
      </c>
      <c r="AG6" s="127">
        <v>3324973</v>
      </c>
      <c r="AH6" s="127">
        <v>3325593</v>
      </c>
      <c r="AI6" s="127"/>
      <c r="AJ6" s="125">
        <f t="shared" si="0"/>
        <v>28.795833333333334</v>
      </c>
      <c r="AK6" s="120">
        <v>3240996</v>
      </c>
      <c r="HP6" s="121"/>
    </row>
    <row r="7" spans="1:224" ht="20.25" customHeight="1" thickBot="1" x14ac:dyDescent="0.25">
      <c r="A7" s="483"/>
      <c r="B7" s="126" t="s">
        <v>88</v>
      </c>
      <c r="C7" s="127">
        <v>3299895</v>
      </c>
      <c r="D7" s="127">
        <v>3300617</v>
      </c>
      <c r="E7" s="255">
        <v>3301198</v>
      </c>
      <c r="F7" s="127">
        <v>3301907</v>
      </c>
      <c r="G7" s="127">
        <v>3302620</v>
      </c>
      <c r="H7" s="127">
        <v>3303318</v>
      </c>
      <c r="I7" s="127">
        <v>3304042</v>
      </c>
      <c r="J7" s="127">
        <v>3304753</v>
      </c>
      <c r="K7" s="127">
        <v>3305457</v>
      </c>
      <c r="L7" s="127">
        <v>3306193</v>
      </c>
      <c r="M7" s="127">
        <v>3306901</v>
      </c>
      <c r="N7" s="127">
        <v>3307626</v>
      </c>
      <c r="O7" s="127">
        <v>3308351</v>
      </c>
      <c r="P7" s="127">
        <v>3309062</v>
      </c>
      <c r="Q7" s="127">
        <v>3309793</v>
      </c>
      <c r="R7" s="127">
        <v>3310508</v>
      </c>
      <c r="S7" s="127">
        <v>3311228</v>
      </c>
      <c r="T7" s="127">
        <v>3311973</v>
      </c>
      <c r="U7" s="255">
        <v>3312679</v>
      </c>
      <c r="V7" s="127">
        <v>3313392</v>
      </c>
      <c r="W7" s="127">
        <v>3314106</v>
      </c>
      <c r="X7" s="127">
        <v>3314818</v>
      </c>
      <c r="Y7" s="127">
        <v>3315552</v>
      </c>
      <c r="Z7" s="127">
        <v>3316271</v>
      </c>
      <c r="AA7" s="127">
        <v>3316983</v>
      </c>
      <c r="AB7" s="127">
        <v>3317701</v>
      </c>
      <c r="AC7" s="127">
        <v>3318404</v>
      </c>
      <c r="AD7" s="127">
        <v>3319095</v>
      </c>
      <c r="AE7" s="127">
        <v>3319715</v>
      </c>
      <c r="AF7" s="127">
        <v>3320311</v>
      </c>
      <c r="AG7" s="127">
        <v>3320910</v>
      </c>
      <c r="AH7" s="127">
        <v>3321545</v>
      </c>
      <c r="AI7" s="127"/>
      <c r="AJ7" s="125">
        <f t="shared" si="0"/>
        <v>29.066666666666666</v>
      </c>
      <c r="AK7" s="120">
        <v>3236502</v>
      </c>
      <c r="HP7" s="121"/>
    </row>
    <row r="8" spans="1:224" ht="20.25" customHeight="1" thickBot="1" x14ac:dyDescent="0.25">
      <c r="A8" s="483"/>
      <c r="B8" s="126" t="s">
        <v>89</v>
      </c>
      <c r="C8" s="127">
        <v>3319773</v>
      </c>
      <c r="D8" s="127">
        <v>3320450</v>
      </c>
      <c r="E8" s="255">
        <v>3320975</v>
      </c>
      <c r="F8" s="127">
        <v>3321667</v>
      </c>
      <c r="G8" s="127">
        <v>3322370</v>
      </c>
      <c r="H8" s="127">
        <v>3323072</v>
      </c>
      <c r="I8" s="127">
        <v>3323771</v>
      </c>
      <c r="J8" s="127">
        <v>3324469</v>
      </c>
      <c r="K8" s="127">
        <v>3325175</v>
      </c>
      <c r="L8" s="127">
        <v>3325881</v>
      </c>
      <c r="M8" s="127">
        <v>3326580</v>
      </c>
      <c r="N8" s="127">
        <v>3327297</v>
      </c>
      <c r="O8" s="127">
        <v>3327988</v>
      </c>
      <c r="P8" s="127">
        <v>3328706</v>
      </c>
      <c r="Q8" s="127">
        <v>3329427</v>
      </c>
      <c r="R8" s="127">
        <v>3330124</v>
      </c>
      <c r="S8" s="127">
        <v>3330863</v>
      </c>
      <c r="T8" s="127">
        <v>3331576</v>
      </c>
      <c r="U8" s="255">
        <v>3332289</v>
      </c>
      <c r="V8" s="127">
        <v>3333004</v>
      </c>
      <c r="W8" s="127">
        <v>3333700</v>
      </c>
      <c r="X8" s="127">
        <v>3334420</v>
      </c>
      <c r="Y8" s="127">
        <v>3335160</v>
      </c>
      <c r="Z8" s="127">
        <v>3335876</v>
      </c>
      <c r="AA8" s="127">
        <v>3336603</v>
      </c>
      <c r="AB8" s="127">
        <v>3337330</v>
      </c>
      <c r="AC8" s="127">
        <v>3338041</v>
      </c>
      <c r="AD8" s="127">
        <v>3338758</v>
      </c>
      <c r="AE8" s="127">
        <v>3339350</v>
      </c>
      <c r="AF8" s="127">
        <v>3339926</v>
      </c>
      <c r="AG8" s="127">
        <v>3340494</v>
      </c>
      <c r="AH8" s="127">
        <v>3341120</v>
      </c>
      <c r="AI8" s="127"/>
      <c r="AJ8" s="125">
        <f t="shared" si="0"/>
        <v>28.708333333333332</v>
      </c>
      <c r="AK8" s="120">
        <v>3257847</v>
      </c>
      <c r="HP8" s="121"/>
    </row>
    <row r="9" spans="1:224" ht="20.25" customHeight="1" thickBot="1" x14ac:dyDescent="0.25">
      <c r="A9" s="483"/>
      <c r="B9" s="126" t="s">
        <v>90</v>
      </c>
      <c r="C9" s="127">
        <v>3310081</v>
      </c>
      <c r="D9" s="127">
        <v>3310730</v>
      </c>
      <c r="E9" s="255">
        <v>3311257</v>
      </c>
      <c r="F9" s="127">
        <v>3311921</v>
      </c>
      <c r="G9" s="127">
        <v>3312583</v>
      </c>
      <c r="H9" s="127">
        <v>3313259</v>
      </c>
      <c r="I9" s="127">
        <v>3313922</v>
      </c>
      <c r="J9" s="127">
        <v>3314596</v>
      </c>
      <c r="K9" s="127">
        <v>3315298</v>
      </c>
      <c r="L9" s="127">
        <v>3315982</v>
      </c>
      <c r="M9" s="127">
        <v>3316685</v>
      </c>
      <c r="N9" s="127">
        <v>3317396</v>
      </c>
      <c r="O9" s="127">
        <v>3318071</v>
      </c>
      <c r="P9" s="127">
        <v>3318773</v>
      </c>
      <c r="Q9" s="127">
        <v>3319482</v>
      </c>
      <c r="R9" s="127">
        <v>3320166</v>
      </c>
      <c r="S9" s="127">
        <v>3320873</v>
      </c>
      <c r="T9" s="127">
        <v>3321569</v>
      </c>
      <c r="U9" s="259">
        <v>3322259</v>
      </c>
      <c r="V9" s="127">
        <v>3322938</v>
      </c>
      <c r="W9" s="127">
        <v>3323600</v>
      </c>
      <c r="X9" s="127">
        <v>3324299</v>
      </c>
      <c r="Y9" s="127">
        <v>3325004</v>
      </c>
      <c r="Z9" s="127">
        <v>3325694</v>
      </c>
      <c r="AA9" s="127">
        <v>3326388</v>
      </c>
      <c r="AB9" s="127">
        <v>3327079</v>
      </c>
      <c r="AC9" s="127">
        <v>3327776</v>
      </c>
      <c r="AD9" s="127">
        <v>3328436</v>
      </c>
      <c r="AE9" s="250">
        <v>3328996</v>
      </c>
      <c r="AF9" s="127">
        <v>3329557</v>
      </c>
      <c r="AG9" s="127">
        <v>3330126</v>
      </c>
      <c r="AH9" s="127">
        <v>3330741</v>
      </c>
      <c r="AI9" s="127"/>
      <c r="AJ9" s="125">
        <f t="shared" si="0"/>
        <v>27.793055555555554</v>
      </c>
      <c r="AK9" s="120">
        <v>3250589</v>
      </c>
      <c r="HP9" s="121"/>
    </row>
    <row r="10" spans="1:224" ht="20.25" customHeight="1" thickBot="1" x14ac:dyDescent="0.25">
      <c r="A10" s="483"/>
      <c r="B10" s="126" t="s">
        <v>91</v>
      </c>
      <c r="C10" s="127">
        <v>3213186</v>
      </c>
      <c r="D10" s="127">
        <v>3213905</v>
      </c>
      <c r="E10" s="255">
        <v>3214436</v>
      </c>
      <c r="F10" s="127">
        <v>3215130</v>
      </c>
      <c r="G10" s="127">
        <v>3215849</v>
      </c>
      <c r="H10" s="127">
        <v>3216540</v>
      </c>
      <c r="I10" s="127">
        <v>3217241</v>
      </c>
      <c r="J10" s="127">
        <v>3217932</v>
      </c>
      <c r="K10" s="127">
        <v>3218627</v>
      </c>
      <c r="L10" s="127">
        <v>3219336</v>
      </c>
      <c r="M10" s="127">
        <v>3220035</v>
      </c>
      <c r="N10" s="127">
        <v>3220751</v>
      </c>
      <c r="O10" s="127">
        <v>3221483</v>
      </c>
      <c r="P10" s="127">
        <v>3222204</v>
      </c>
      <c r="Q10" s="127">
        <v>3222943</v>
      </c>
      <c r="R10" s="127">
        <v>3223672</v>
      </c>
      <c r="S10" s="127">
        <v>3224422</v>
      </c>
      <c r="T10" s="127">
        <v>3225166</v>
      </c>
      <c r="U10" s="259">
        <v>3225894</v>
      </c>
      <c r="V10" s="127">
        <v>3226608</v>
      </c>
      <c r="W10" s="127">
        <v>3227328</v>
      </c>
      <c r="X10" s="127">
        <v>3228063</v>
      </c>
      <c r="Y10" s="127">
        <v>3228756</v>
      </c>
      <c r="Z10" s="127">
        <v>3229470</v>
      </c>
      <c r="AA10" s="127">
        <v>3230155</v>
      </c>
      <c r="AB10" s="127">
        <v>3230628</v>
      </c>
      <c r="AC10" s="127">
        <v>3231000</v>
      </c>
      <c r="AD10" s="127">
        <v>3231650</v>
      </c>
      <c r="AE10" s="250">
        <v>3232246</v>
      </c>
      <c r="AF10" s="127">
        <v>3232844</v>
      </c>
      <c r="AG10" s="127">
        <v>3233462</v>
      </c>
      <c r="AH10" s="127">
        <v>3234129</v>
      </c>
      <c r="AI10" s="127"/>
      <c r="AJ10" s="125">
        <f t="shared" si="0"/>
        <v>28.088888888888889</v>
      </c>
      <c r="AK10" s="120">
        <v>3149916</v>
      </c>
      <c r="HP10" s="121"/>
    </row>
    <row r="11" spans="1:224" ht="20.25" customHeight="1" thickBot="1" x14ac:dyDescent="0.25">
      <c r="A11" s="483"/>
      <c r="B11" s="126" t="s">
        <v>92</v>
      </c>
      <c r="C11" s="127">
        <v>3156561</v>
      </c>
      <c r="D11" s="127">
        <v>3157284</v>
      </c>
      <c r="E11" s="255">
        <v>3157881</v>
      </c>
      <c r="F11" s="127">
        <v>3158593</v>
      </c>
      <c r="G11" s="127">
        <v>3159335</v>
      </c>
      <c r="H11" s="127">
        <v>3160065</v>
      </c>
      <c r="I11" s="127">
        <v>3160783</v>
      </c>
      <c r="J11" s="127">
        <v>3161501</v>
      </c>
      <c r="K11" s="127">
        <v>3162233</v>
      </c>
      <c r="L11" s="127">
        <v>3162958</v>
      </c>
      <c r="M11" s="127">
        <v>3163704</v>
      </c>
      <c r="N11" s="127">
        <v>3164450</v>
      </c>
      <c r="O11" s="127">
        <v>3165188</v>
      </c>
      <c r="P11" s="127">
        <v>3165936</v>
      </c>
      <c r="Q11" s="127">
        <v>3166690</v>
      </c>
      <c r="R11" s="127">
        <v>3167438</v>
      </c>
      <c r="S11" s="127">
        <v>3168187</v>
      </c>
      <c r="T11" s="127">
        <v>3168934</v>
      </c>
      <c r="U11" s="259">
        <v>3169683</v>
      </c>
      <c r="V11" s="127">
        <v>3170411</v>
      </c>
      <c r="W11" s="127">
        <v>3171154</v>
      </c>
      <c r="X11" s="127">
        <v>3171901</v>
      </c>
      <c r="Y11" s="127">
        <v>3172628</v>
      </c>
      <c r="Z11" s="127">
        <v>3173373</v>
      </c>
      <c r="AA11" s="127">
        <v>3174092</v>
      </c>
      <c r="AB11" s="127">
        <v>3174820</v>
      </c>
      <c r="AC11" s="127">
        <v>3175557</v>
      </c>
      <c r="AD11" s="127">
        <v>3176234</v>
      </c>
      <c r="AE11" s="127">
        <v>3176835</v>
      </c>
      <c r="AF11" s="127">
        <v>3177449</v>
      </c>
      <c r="AG11" s="127">
        <v>3178089</v>
      </c>
      <c r="AH11" s="127">
        <v>3178750</v>
      </c>
      <c r="AI11" s="127"/>
      <c r="AJ11" s="125">
        <f t="shared" si="0"/>
        <v>29.813888888888886</v>
      </c>
      <c r="AK11" s="120">
        <v>3093083</v>
      </c>
      <c r="HP11" s="121"/>
    </row>
    <row r="12" spans="1:224" ht="20.25" customHeight="1" thickBot="1" x14ac:dyDescent="0.25">
      <c r="A12" s="483"/>
      <c r="B12" s="126" t="s">
        <v>93</v>
      </c>
      <c r="C12" s="127">
        <v>3089636</v>
      </c>
      <c r="D12" s="127">
        <v>3090185</v>
      </c>
      <c r="E12" s="254">
        <v>3090775</v>
      </c>
      <c r="F12" s="127">
        <v>3091427</v>
      </c>
      <c r="G12" s="127">
        <v>3092093</v>
      </c>
      <c r="H12" s="127">
        <v>3092744</v>
      </c>
      <c r="I12" s="127">
        <v>3093413</v>
      </c>
      <c r="J12" s="127">
        <v>3094074</v>
      </c>
      <c r="K12" s="127">
        <v>3094655</v>
      </c>
      <c r="L12" s="127">
        <v>3095166</v>
      </c>
      <c r="M12" s="127">
        <v>3095728</v>
      </c>
      <c r="N12" s="127">
        <v>3096333</v>
      </c>
      <c r="O12" s="127">
        <v>3096991</v>
      </c>
      <c r="P12" s="127">
        <v>3097653</v>
      </c>
      <c r="Q12" s="127">
        <v>3098321</v>
      </c>
      <c r="R12" s="127">
        <v>3099007</v>
      </c>
      <c r="S12" s="127">
        <v>3099674</v>
      </c>
      <c r="T12" s="127">
        <v>3100341</v>
      </c>
      <c r="U12" s="127">
        <v>3101015</v>
      </c>
      <c r="V12" s="127">
        <v>3101677</v>
      </c>
      <c r="W12" s="127">
        <v>3102359</v>
      </c>
      <c r="X12" s="127">
        <v>3103030</v>
      </c>
      <c r="Y12" s="127">
        <v>3103719</v>
      </c>
      <c r="Z12" s="127">
        <v>3104397</v>
      </c>
      <c r="AA12" s="127">
        <v>3105057</v>
      </c>
      <c r="AB12" s="127">
        <v>3105252</v>
      </c>
      <c r="AC12" s="127">
        <v>3105918</v>
      </c>
      <c r="AD12" s="127">
        <v>3106478</v>
      </c>
      <c r="AE12" s="127">
        <v>3107026</v>
      </c>
      <c r="AF12" s="127">
        <v>3107598</v>
      </c>
      <c r="AG12" s="127">
        <v>3108185</v>
      </c>
      <c r="AH12" s="127">
        <v>3108803</v>
      </c>
      <c r="AI12" s="127"/>
      <c r="AJ12" s="125">
        <f t="shared" si="0"/>
        <v>25.858333333333334</v>
      </c>
      <c r="AK12" s="120">
        <v>3029592</v>
      </c>
      <c r="HP12" s="121"/>
    </row>
    <row r="13" spans="1:224" ht="20.25" customHeight="1" thickBot="1" x14ac:dyDescent="0.25">
      <c r="A13" s="483"/>
      <c r="B13" s="126" t="s">
        <v>94</v>
      </c>
      <c r="C13" s="127">
        <v>3129645</v>
      </c>
      <c r="D13" s="127">
        <v>3130244</v>
      </c>
      <c r="E13" s="255">
        <v>3130817</v>
      </c>
      <c r="F13" s="127">
        <v>3131570</v>
      </c>
      <c r="G13" s="127">
        <v>3132315</v>
      </c>
      <c r="H13" s="127">
        <v>3133027</v>
      </c>
      <c r="I13" s="127">
        <v>3133765</v>
      </c>
      <c r="J13" s="127">
        <v>3134513</v>
      </c>
      <c r="K13" s="127">
        <v>3135139</v>
      </c>
      <c r="L13" s="127">
        <v>3135682</v>
      </c>
      <c r="M13" s="127">
        <v>3136320</v>
      </c>
      <c r="N13" s="127">
        <v>3136959</v>
      </c>
      <c r="O13" s="127">
        <v>3137647</v>
      </c>
      <c r="P13" s="127">
        <v>3138387</v>
      </c>
      <c r="Q13" s="127">
        <v>3139110</v>
      </c>
      <c r="R13" s="127">
        <v>3139846</v>
      </c>
      <c r="S13" s="127">
        <v>3140592</v>
      </c>
      <c r="T13" s="127">
        <v>3141306</v>
      </c>
      <c r="U13" s="127">
        <v>3142054</v>
      </c>
      <c r="V13" s="127">
        <v>3142778</v>
      </c>
      <c r="W13" s="127">
        <v>3143498</v>
      </c>
      <c r="X13" s="127">
        <v>3144244</v>
      </c>
      <c r="Y13" s="127">
        <v>3144978</v>
      </c>
      <c r="Z13" s="127">
        <v>3145706</v>
      </c>
      <c r="AA13" s="127">
        <v>3146444</v>
      </c>
      <c r="AB13" s="127">
        <v>3146621</v>
      </c>
      <c r="AC13" s="127">
        <v>3147345</v>
      </c>
      <c r="AD13" s="127">
        <v>3147971</v>
      </c>
      <c r="AE13" s="127">
        <v>3148558</v>
      </c>
      <c r="AF13" s="127">
        <v>3149177</v>
      </c>
      <c r="AG13" s="127">
        <v>3149805</v>
      </c>
      <c r="AH13" s="127">
        <v>3150443</v>
      </c>
      <c r="AI13" s="127"/>
      <c r="AJ13" s="125">
        <f t="shared" si="0"/>
        <v>28.054166666666664</v>
      </c>
      <c r="AK13" s="120">
        <v>3065960</v>
      </c>
      <c r="HP13" s="121"/>
    </row>
    <row r="14" spans="1:224" ht="20.25" customHeight="1" thickBot="1" x14ac:dyDescent="0.25">
      <c r="A14" s="483"/>
      <c r="B14" s="126" t="s">
        <v>95</v>
      </c>
      <c r="C14" s="127">
        <v>3214189</v>
      </c>
      <c r="D14" s="127">
        <v>3214769</v>
      </c>
      <c r="E14" s="255">
        <v>3215349</v>
      </c>
      <c r="F14" s="127">
        <v>3216046</v>
      </c>
      <c r="G14" s="127">
        <v>3216752</v>
      </c>
      <c r="H14" s="127">
        <v>3217457</v>
      </c>
      <c r="I14" s="127">
        <v>3218152</v>
      </c>
      <c r="J14" s="127">
        <v>3218845</v>
      </c>
      <c r="K14" s="127">
        <v>3219449</v>
      </c>
      <c r="L14" s="127">
        <v>3219978</v>
      </c>
      <c r="M14" s="127">
        <v>3220533</v>
      </c>
      <c r="N14" s="127">
        <v>3221163</v>
      </c>
      <c r="O14" s="127">
        <v>3221802</v>
      </c>
      <c r="P14" s="127">
        <v>3222482</v>
      </c>
      <c r="Q14" s="127">
        <v>3223189</v>
      </c>
      <c r="R14" s="127">
        <v>3223888</v>
      </c>
      <c r="S14" s="127">
        <v>3224602</v>
      </c>
      <c r="T14" s="127">
        <v>3225286</v>
      </c>
      <c r="U14" s="127">
        <v>3226001</v>
      </c>
      <c r="V14" s="127">
        <v>3226700</v>
      </c>
      <c r="W14" s="127">
        <v>3227383</v>
      </c>
      <c r="X14" s="127">
        <v>3228107</v>
      </c>
      <c r="Y14" s="127">
        <v>3228825</v>
      </c>
      <c r="Z14" s="127">
        <v>3229519</v>
      </c>
      <c r="AA14" s="127">
        <v>3230222</v>
      </c>
      <c r="AB14" s="127">
        <v>3230433</v>
      </c>
      <c r="AC14" s="127">
        <v>3231123</v>
      </c>
      <c r="AD14" s="127">
        <v>3231704</v>
      </c>
      <c r="AE14" s="127">
        <v>3232270</v>
      </c>
      <c r="AF14" s="127">
        <v>3232847</v>
      </c>
      <c r="AG14" s="127">
        <v>3233445</v>
      </c>
      <c r="AH14" s="127">
        <v>3234065</v>
      </c>
      <c r="AI14" s="127"/>
      <c r="AJ14" s="125">
        <f t="shared" si="0"/>
        <v>26.8</v>
      </c>
      <c r="AK14" s="120">
        <v>3152106</v>
      </c>
      <c r="HP14" s="121"/>
    </row>
    <row r="15" spans="1:224" ht="20.25" customHeight="1" thickBot="1" x14ac:dyDescent="0.25">
      <c r="A15" s="483"/>
      <c r="B15" s="126" t="s">
        <v>96</v>
      </c>
      <c r="C15" s="127">
        <v>3185968</v>
      </c>
      <c r="D15" s="127">
        <v>3186510</v>
      </c>
      <c r="E15" s="255">
        <v>3187142</v>
      </c>
      <c r="F15" s="127">
        <v>3187826</v>
      </c>
      <c r="G15" s="127">
        <v>3188528</v>
      </c>
      <c r="H15" s="127">
        <v>3189226</v>
      </c>
      <c r="I15" s="127">
        <v>3189930</v>
      </c>
      <c r="J15" s="127">
        <v>3190641</v>
      </c>
      <c r="K15" s="127">
        <v>3191226</v>
      </c>
      <c r="L15" s="127">
        <v>3191815</v>
      </c>
      <c r="M15" s="127">
        <v>3192418</v>
      </c>
      <c r="N15" s="127">
        <v>3193071</v>
      </c>
      <c r="O15" s="127">
        <v>3193736</v>
      </c>
      <c r="P15" s="127">
        <v>3194435</v>
      </c>
      <c r="Q15" s="127">
        <v>3195151</v>
      </c>
      <c r="R15" s="127">
        <v>3195873</v>
      </c>
      <c r="S15" s="127">
        <v>3196596</v>
      </c>
      <c r="T15" s="127">
        <v>3197322</v>
      </c>
      <c r="U15" s="127">
        <v>3198032</v>
      </c>
      <c r="V15" s="127">
        <v>3198756</v>
      </c>
      <c r="W15" s="127">
        <v>3199469</v>
      </c>
      <c r="X15" s="127">
        <v>3200211</v>
      </c>
      <c r="Y15" s="127">
        <v>3200959</v>
      </c>
      <c r="Z15" s="127">
        <v>3201664</v>
      </c>
      <c r="AA15" s="127">
        <v>3202378</v>
      </c>
      <c r="AB15" s="127">
        <v>3203095</v>
      </c>
      <c r="AC15" s="127">
        <v>3203787</v>
      </c>
      <c r="AD15" s="127">
        <v>3204399</v>
      </c>
      <c r="AE15" s="127">
        <v>3204973</v>
      </c>
      <c r="AF15" s="127">
        <v>3205577</v>
      </c>
      <c r="AG15" s="127">
        <v>3206215</v>
      </c>
      <c r="AH15" s="127">
        <v>3206862</v>
      </c>
      <c r="AI15" s="127"/>
      <c r="AJ15" s="125">
        <f t="shared" si="0"/>
        <v>28.266666666666666</v>
      </c>
      <c r="AK15" s="120">
        <v>3123478</v>
      </c>
      <c r="HP15" s="121"/>
    </row>
    <row r="16" spans="1:224" ht="20.25" customHeight="1" thickBot="1" x14ac:dyDescent="0.25">
      <c r="A16" s="483"/>
      <c r="B16" s="126" t="s">
        <v>97</v>
      </c>
      <c r="C16" s="127">
        <v>3271569</v>
      </c>
      <c r="D16" s="127">
        <v>3272186</v>
      </c>
      <c r="E16" s="255">
        <v>3272819</v>
      </c>
      <c r="F16" s="127">
        <v>3273536</v>
      </c>
      <c r="G16" s="127">
        <v>3274250</v>
      </c>
      <c r="H16" s="127">
        <v>3274983</v>
      </c>
      <c r="I16" s="127">
        <v>3275695</v>
      </c>
      <c r="J16" s="127">
        <v>3276414</v>
      </c>
      <c r="K16" s="127">
        <v>3277152</v>
      </c>
      <c r="L16" s="127">
        <v>3277883</v>
      </c>
      <c r="M16" s="127">
        <v>3278638</v>
      </c>
      <c r="N16" s="127">
        <v>3279388</v>
      </c>
      <c r="O16" s="127">
        <v>3280133</v>
      </c>
      <c r="P16" s="127">
        <v>3280893</v>
      </c>
      <c r="Q16" s="127">
        <v>3281638</v>
      </c>
      <c r="R16" s="127">
        <v>3282398</v>
      </c>
      <c r="S16" s="127">
        <v>3283133</v>
      </c>
      <c r="T16" s="127">
        <v>3283876</v>
      </c>
      <c r="U16" s="127">
        <v>3284620</v>
      </c>
      <c r="V16" s="127">
        <v>3285354</v>
      </c>
      <c r="W16" s="127">
        <v>3286107</v>
      </c>
      <c r="X16" s="127">
        <v>3286867</v>
      </c>
      <c r="Y16" s="127">
        <v>3287619</v>
      </c>
      <c r="Z16" s="127">
        <v>3288355</v>
      </c>
      <c r="AA16" s="127">
        <v>3289097</v>
      </c>
      <c r="AB16" s="127">
        <v>3289776</v>
      </c>
      <c r="AC16" s="127">
        <v>3290575</v>
      </c>
      <c r="AD16" s="127">
        <v>3291195</v>
      </c>
      <c r="AE16" s="127">
        <v>3291830</v>
      </c>
      <c r="AF16" s="127">
        <v>3292483</v>
      </c>
      <c r="AG16" s="127">
        <v>3293161</v>
      </c>
      <c r="AH16" s="127">
        <v>3293872</v>
      </c>
      <c r="AI16" s="127"/>
      <c r="AJ16" s="125">
        <f t="shared" si="0"/>
        <v>30.119444444444444</v>
      </c>
      <c r="AK16" s="120">
        <v>3206200</v>
      </c>
      <c r="HP16" s="121"/>
    </row>
    <row r="17" spans="1:224" ht="20.25" customHeight="1" thickBot="1" x14ac:dyDescent="0.25">
      <c r="A17" s="483"/>
      <c r="B17" s="126" t="s">
        <v>98</v>
      </c>
      <c r="C17" s="127">
        <v>3091580</v>
      </c>
      <c r="D17" s="127">
        <v>3092269</v>
      </c>
      <c r="E17" s="255">
        <v>3092761</v>
      </c>
      <c r="F17" s="127">
        <v>3093468</v>
      </c>
      <c r="G17" s="127">
        <v>3094172</v>
      </c>
      <c r="H17" s="127">
        <v>3094858</v>
      </c>
      <c r="I17" s="127">
        <v>3095561</v>
      </c>
      <c r="J17" s="127">
        <v>3096231</v>
      </c>
      <c r="K17" s="127">
        <v>3096933</v>
      </c>
      <c r="L17" s="127">
        <v>3097636</v>
      </c>
      <c r="M17" s="127">
        <v>3098338</v>
      </c>
      <c r="N17" s="127">
        <v>3099070</v>
      </c>
      <c r="O17" s="127">
        <v>3099780</v>
      </c>
      <c r="P17" s="127">
        <v>3100500</v>
      </c>
      <c r="Q17" s="127">
        <v>3101245</v>
      </c>
      <c r="R17" s="127">
        <v>3101952</v>
      </c>
      <c r="S17" s="127">
        <v>3102681</v>
      </c>
      <c r="T17" s="127">
        <v>3103416</v>
      </c>
      <c r="U17" s="127">
        <v>3104116</v>
      </c>
      <c r="V17" s="127">
        <v>3104827</v>
      </c>
      <c r="W17" s="127">
        <v>3105527</v>
      </c>
      <c r="X17" s="127">
        <v>3106249</v>
      </c>
      <c r="Y17" s="127">
        <v>3106973</v>
      </c>
      <c r="Z17" s="127">
        <v>3107688</v>
      </c>
      <c r="AA17" s="127">
        <v>3108379</v>
      </c>
      <c r="AB17" s="127">
        <v>3108901</v>
      </c>
      <c r="AC17" s="127">
        <v>3109222</v>
      </c>
      <c r="AD17" s="127">
        <v>3109884</v>
      </c>
      <c r="AE17" s="127">
        <v>3110470</v>
      </c>
      <c r="AF17" s="127">
        <v>3111044</v>
      </c>
      <c r="AG17" s="127">
        <v>3111645</v>
      </c>
      <c r="AH17" s="127">
        <v>3112289</v>
      </c>
      <c r="AI17" s="127"/>
      <c r="AJ17" s="125">
        <f t="shared" si="0"/>
        <v>27.805555555555557</v>
      </c>
      <c r="AK17" s="120">
        <v>3029265</v>
      </c>
      <c r="HP17" s="121"/>
    </row>
    <row r="18" spans="1:224" ht="20.25" customHeight="1" thickBot="1" x14ac:dyDescent="0.25">
      <c r="A18" s="483"/>
      <c r="B18" s="126" t="s">
        <v>99</v>
      </c>
      <c r="C18" s="127">
        <v>3013375</v>
      </c>
      <c r="D18" s="127">
        <v>3014036</v>
      </c>
      <c r="E18" s="255">
        <v>3014493</v>
      </c>
      <c r="F18" s="127">
        <v>3014827</v>
      </c>
      <c r="G18" s="127">
        <v>3015155</v>
      </c>
      <c r="H18" s="127">
        <v>3015569</v>
      </c>
      <c r="I18" s="127">
        <v>3016120</v>
      </c>
      <c r="J18" s="127">
        <v>3016740</v>
      </c>
      <c r="K18" s="127">
        <v>3017422</v>
      </c>
      <c r="L18" s="127">
        <v>3018129</v>
      </c>
      <c r="M18" s="127">
        <v>3018826</v>
      </c>
      <c r="N18" s="127">
        <v>3019552</v>
      </c>
      <c r="O18" s="127">
        <v>3020285</v>
      </c>
      <c r="P18" s="127">
        <v>3021013</v>
      </c>
      <c r="Q18" s="127">
        <v>3021758</v>
      </c>
      <c r="R18" s="127">
        <v>3022530</v>
      </c>
      <c r="S18" s="127">
        <v>3023232</v>
      </c>
      <c r="T18" s="127">
        <v>3023950</v>
      </c>
      <c r="U18" s="127">
        <v>3024678</v>
      </c>
      <c r="V18" s="127">
        <v>3025401</v>
      </c>
      <c r="W18" s="127">
        <v>3026149</v>
      </c>
      <c r="X18" s="127">
        <v>3026880</v>
      </c>
      <c r="Y18" s="127">
        <v>3027620</v>
      </c>
      <c r="Z18" s="127">
        <v>3028367</v>
      </c>
      <c r="AA18" s="127">
        <v>3029107</v>
      </c>
      <c r="AB18" s="127">
        <v>3029895</v>
      </c>
      <c r="AC18" s="127">
        <v>3030557</v>
      </c>
      <c r="AD18" s="127">
        <v>3031166</v>
      </c>
      <c r="AE18" s="127">
        <v>3031747</v>
      </c>
      <c r="AF18" s="127">
        <v>3032340</v>
      </c>
      <c r="AG18" s="127">
        <v>3032957</v>
      </c>
      <c r="AH18" s="127">
        <v>3033612</v>
      </c>
      <c r="AI18" s="127"/>
      <c r="AJ18" s="125">
        <f t="shared" si="0"/>
        <v>27.188888888888886</v>
      </c>
      <c r="AK18" s="120">
        <v>2950450</v>
      </c>
      <c r="HP18" s="121"/>
    </row>
    <row r="19" spans="1:224" ht="20.25" customHeight="1" thickBot="1" x14ac:dyDescent="0.25">
      <c r="A19" s="483"/>
      <c r="B19" s="126" t="s">
        <v>100</v>
      </c>
      <c r="C19" s="127">
        <v>3117143</v>
      </c>
      <c r="D19" s="127">
        <v>3117789</v>
      </c>
      <c r="E19" s="255">
        <v>3118233</v>
      </c>
      <c r="F19" s="127">
        <v>3118570</v>
      </c>
      <c r="G19" s="127">
        <v>3118909</v>
      </c>
      <c r="H19" s="127">
        <v>3119327</v>
      </c>
      <c r="I19" s="127">
        <v>3119873</v>
      </c>
      <c r="J19" s="127">
        <v>3120497</v>
      </c>
      <c r="K19" s="127">
        <v>3121172</v>
      </c>
      <c r="L19" s="127">
        <v>3121855</v>
      </c>
      <c r="M19" s="127">
        <v>3122548</v>
      </c>
      <c r="N19" s="127">
        <v>3123260</v>
      </c>
      <c r="O19" s="127">
        <v>3123965</v>
      </c>
      <c r="P19" s="127">
        <v>3124680</v>
      </c>
      <c r="Q19" s="127">
        <v>3125399</v>
      </c>
      <c r="R19" s="127">
        <v>3126146</v>
      </c>
      <c r="S19" s="127">
        <v>3126860</v>
      </c>
      <c r="T19" s="127">
        <v>3127571</v>
      </c>
      <c r="U19" s="127">
        <v>3128304</v>
      </c>
      <c r="V19" s="127">
        <v>3129009</v>
      </c>
      <c r="W19" s="127">
        <v>3129732</v>
      </c>
      <c r="X19" s="127">
        <v>3130465</v>
      </c>
      <c r="Y19" s="127">
        <v>3131187</v>
      </c>
      <c r="Z19" s="127">
        <v>3131918</v>
      </c>
      <c r="AA19" s="127">
        <v>3132636</v>
      </c>
      <c r="AB19" s="127">
        <v>3133418</v>
      </c>
      <c r="AC19" s="127">
        <v>3134068</v>
      </c>
      <c r="AD19" s="127">
        <v>3134684</v>
      </c>
      <c r="AE19" s="127">
        <v>3135252</v>
      </c>
      <c r="AF19" s="127">
        <v>3135841</v>
      </c>
      <c r="AG19" s="127">
        <v>3136465</v>
      </c>
      <c r="AH19" s="127">
        <v>3137128</v>
      </c>
      <c r="AI19" s="127"/>
      <c r="AJ19" s="125">
        <f t="shared" si="0"/>
        <v>26.859722222222221</v>
      </c>
      <c r="AK19" s="120">
        <v>3054888</v>
      </c>
      <c r="HP19" s="121"/>
    </row>
    <row r="20" spans="1:224" ht="20.25" customHeight="1" thickBot="1" x14ac:dyDescent="0.25">
      <c r="A20" s="483"/>
      <c r="B20" s="126" t="s">
        <v>101</v>
      </c>
      <c r="C20" s="127">
        <v>2997290</v>
      </c>
      <c r="D20" s="127">
        <v>2997894</v>
      </c>
      <c r="E20" s="255">
        <v>2998328</v>
      </c>
      <c r="F20" s="127">
        <v>2998637</v>
      </c>
      <c r="G20" s="127">
        <v>2998937</v>
      </c>
      <c r="H20" s="127">
        <v>2999299</v>
      </c>
      <c r="I20" s="127">
        <v>2999799</v>
      </c>
      <c r="J20" s="127">
        <v>3000402</v>
      </c>
      <c r="K20" s="127">
        <v>3001061</v>
      </c>
      <c r="L20" s="127">
        <v>3001710</v>
      </c>
      <c r="M20" s="127">
        <v>3002374</v>
      </c>
      <c r="N20" s="127">
        <v>3003049</v>
      </c>
      <c r="O20" s="127">
        <v>3003723</v>
      </c>
      <c r="P20" s="127">
        <v>3004414</v>
      </c>
      <c r="Q20" s="127">
        <v>3005104</v>
      </c>
      <c r="R20" s="127">
        <v>3005833</v>
      </c>
      <c r="S20" s="127">
        <v>3006534</v>
      </c>
      <c r="T20" s="127">
        <v>3007227</v>
      </c>
      <c r="U20" s="127">
        <v>3007952</v>
      </c>
      <c r="V20" s="127">
        <v>3008646</v>
      </c>
      <c r="W20" s="127">
        <v>3009358</v>
      </c>
      <c r="X20" s="127">
        <v>3010076</v>
      </c>
      <c r="Y20" s="127">
        <v>3010783</v>
      </c>
      <c r="Z20" s="127">
        <v>3011496</v>
      </c>
      <c r="AA20" s="127">
        <v>3012207</v>
      </c>
      <c r="AB20" s="127">
        <v>3012825</v>
      </c>
      <c r="AC20" s="127">
        <v>3013461</v>
      </c>
      <c r="AD20" s="127">
        <v>3014042</v>
      </c>
      <c r="AE20" s="127">
        <v>3014607</v>
      </c>
      <c r="AF20" s="127">
        <v>3015207</v>
      </c>
      <c r="AG20" s="127">
        <v>3015805</v>
      </c>
      <c r="AH20" s="127">
        <v>3016442</v>
      </c>
      <c r="AI20" s="127"/>
      <c r="AJ20" s="125">
        <f t="shared" si="0"/>
        <v>25.761111111111109</v>
      </c>
      <c r="AK20" s="120">
        <v>2936150</v>
      </c>
      <c r="HP20" s="121"/>
    </row>
    <row r="21" spans="1:224" ht="20.25" customHeight="1" thickBot="1" x14ac:dyDescent="0.25">
      <c r="A21" s="483"/>
      <c r="B21" s="126" t="s">
        <v>102</v>
      </c>
      <c r="C21" s="127">
        <v>2974310</v>
      </c>
      <c r="D21" s="127">
        <v>2974921</v>
      </c>
      <c r="E21" s="255">
        <v>2975389</v>
      </c>
      <c r="F21" s="127">
        <v>2975733</v>
      </c>
      <c r="G21" s="127">
        <v>2976048</v>
      </c>
      <c r="H21" s="127">
        <v>2976451</v>
      </c>
      <c r="I21" s="127">
        <v>2976973</v>
      </c>
      <c r="J21" s="127">
        <v>2977589</v>
      </c>
      <c r="K21" s="127">
        <v>2978247</v>
      </c>
      <c r="L21" s="127">
        <v>2978924</v>
      </c>
      <c r="M21" s="127">
        <v>2979618</v>
      </c>
      <c r="N21" s="127">
        <v>2980299</v>
      </c>
      <c r="O21" s="127">
        <v>2981006</v>
      </c>
      <c r="P21" s="127">
        <v>2981709</v>
      </c>
      <c r="Q21" s="127">
        <v>2982423</v>
      </c>
      <c r="R21" s="127">
        <v>2983119</v>
      </c>
      <c r="S21" s="127">
        <v>2983775</v>
      </c>
      <c r="T21" s="127">
        <v>2984451</v>
      </c>
      <c r="U21" s="127">
        <v>2985161</v>
      </c>
      <c r="V21" s="127">
        <v>2985835</v>
      </c>
      <c r="W21" s="127">
        <v>2986532</v>
      </c>
      <c r="X21" s="127">
        <v>2987218</v>
      </c>
      <c r="Y21" s="127">
        <v>2987910</v>
      </c>
      <c r="Z21" s="127">
        <v>2988607</v>
      </c>
      <c r="AA21" s="127">
        <v>2989312</v>
      </c>
      <c r="AB21" s="127">
        <v>2990041</v>
      </c>
      <c r="AC21" s="127">
        <v>2990664</v>
      </c>
      <c r="AD21" s="127">
        <v>2991248</v>
      </c>
      <c r="AE21" s="127">
        <v>2991832</v>
      </c>
      <c r="AF21" s="127">
        <v>2992423</v>
      </c>
      <c r="AG21" s="127">
        <v>2993039</v>
      </c>
      <c r="AH21" s="127">
        <v>2993693</v>
      </c>
      <c r="AI21" s="127"/>
      <c r="AJ21" s="125">
        <f t="shared" si="0"/>
        <v>26.072222222222223</v>
      </c>
      <c r="AK21" s="120">
        <v>2913120</v>
      </c>
      <c r="HP21" s="121"/>
    </row>
    <row r="22" spans="1:224" ht="20.25" customHeight="1" thickBot="1" x14ac:dyDescent="0.25">
      <c r="A22" s="483"/>
      <c r="B22" s="129" t="s">
        <v>103</v>
      </c>
      <c r="C22" s="127">
        <v>1259117</v>
      </c>
      <c r="D22" s="127">
        <v>1259234</v>
      </c>
      <c r="E22" s="255">
        <v>1259408</v>
      </c>
      <c r="F22" s="127">
        <v>1259554</v>
      </c>
      <c r="G22" s="127">
        <v>1259778</v>
      </c>
      <c r="H22" s="127">
        <v>1259834</v>
      </c>
      <c r="I22" s="127">
        <v>1259850</v>
      </c>
      <c r="J22" s="127">
        <v>1259932</v>
      </c>
      <c r="K22" s="127">
        <v>1260043</v>
      </c>
      <c r="L22" s="127">
        <v>1260258</v>
      </c>
      <c r="M22" s="127">
        <v>1260393</v>
      </c>
      <c r="N22" s="127">
        <v>1260536</v>
      </c>
      <c r="O22" s="127">
        <v>1260640</v>
      </c>
      <c r="P22" s="127">
        <v>1260752</v>
      </c>
      <c r="Q22" s="127">
        <v>1260856</v>
      </c>
      <c r="R22" s="127">
        <v>1261013</v>
      </c>
      <c r="S22" s="127">
        <v>1261137</v>
      </c>
      <c r="T22" s="127">
        <v>1261227</v>
      </c>
      <c r="U22" s="127">
        <v>1261245</v>
      </c>
      <c r="V22" s="127">
        <v>1261270</v>
      </c>
      <c r="W22" s="127">
        <v>1261296</v>
      </c>
      <c r="X22" s="127">
        <v>1261433</v>
      </c>
      <c r="Y22" s="127">
        <v>1261502</v>
      </c>
      <c r="Z22" s="127">
        <v>1261537</v>
      </c>
      <c r="AA22" s="127">
        <v>1261572</v>
      </c>
      <c r="AB22" s="127">
        <v>1261679</v>
      </c>
      <c r="AC22" s="127">
        <v>1261726</v>
      </c>
      <c r="AD22" s="127">
        <v>1261887</v>
      </c>
      <c r="AE22" s="127">
        <v>1261997</v>
      </c>
      <c r="AF22" s="127">
        <v>1262117</v>
      </c>
      <c r="AG22" s="127">
        <v>1262292</v>
      </c>
      <c r="AH22" s="127">
        <v>1262377</v>
      </c>
      <c r="AI22" s="127"/>
      <c r="AJ22" s="125">
        <f t="shared" si="0"/>
        <v>4.365277777777778</v>
      </c>
      <c r="AK22" s="120">
        <v>1251206</v>
      </c>
      <c r="HP22" s="121"/>
    </row>
    <row r="23" spans="1:224" ht="20.25" customHeight="1" thickBot="1" x14ac:dyDescent="0.25">
      <c r="A23" s="483"/>
      <c r="B23" s="129" t="s">
        <v>104</v>
      </c>
      <c r="C23" s="127">
        <v>1429469</v>
      </c>
      <c r="D23" s="127">
        <v>1429580</v>
      </c>
      <c r="E23" s="255">
        <v>1429730</v>
      </c>
      <c r="F23" s="127">
        <v>1429760</v>
      </c>
      <c r="G23" s="127">
        <v>1429797</v>
      </c>
      <c r="H23" s="127">
        <v>1430172</v>
      </c>
      <c r="I23" s="127">
        <v>1430284</v>
      </c>
      <c r="J23" s="127">
        <v>1430335</v>
      </c>
      <c r="K23" s="127">
        <v>1430552</v>
      </c>
      <c r="L23" s="127">
        <v>1430733</v>
      </c>
      <c r="M23" s="127">
        <v>1430786</v>
      </c>
      <c r="N23" s="127">
        <v>1430803</v>
      </c>
      <c r="O23" s="127">
        <v>1430810</v>
      </c>
      <c r="P23" s="127">
        <v>1430885</v>
      </c>
      <c r="Q23" s="127">
        <v>1430886</v>
      </c>
      <c r="R23" s="127">
        <v>1430921</v>
      </c>
      <c r="S23" s="127">
        <v>1430949</v>
      </c>
      <c r="T23" s="127">
        <v>1430987</v>
      </c>
      <c r="U23" s="127">
        <v>1431011</v>
      </c>
      <c r="V23" s="127">
        <v>1431062</v>
      </c>
      <c r="W23" s="127">
        <v>1431093</v>
      </c>
      <c r="X23" s="127">
        <v>1431153</v>
      </c>
      <c r="Y23" s="127">
        <v>1431211</v>
      </c>
      <c r="Z23" s="127">
        <v>1431227</v>
      </c>
      <c r="AA23" s="127">
        <v>1431269</v>
      </c>
      <c r="AB23" s="127">
        <v>1431473</v>
      </c>
      <c r="AC23" s="127">
        <v>1431489</v>
      </c>
      <c r="AD23" s="127">
        <v>1431517</v>
      </c>
      <c r="AE23" s="127">
        <v>1431534</v>
      </c>
      <c r="AF23" s="127">
        <v>1431560</v>
      </c>
      <c r="AG23" s="127">
        <v>1431571</v>
      </c>
      <c r="AH23" s="127">
        <v>1431587</v>
      </c>
      <c r="AI23" s="127"/>
      <c r="AJ23" s="125">
        <f t="shared" si="0"/>
        <v>2.7875000000000001</v>
      </c>
      <c r="AK23" s="120">
        <v>1424751</v>
      </c>
      <c r="HP23" s="121"/>
    </row>
    <row r="24" spans="1:224" ht="20.25" customHeight="1" thickBot="1" x14ac:dyDescent="0.25">
      <c r="A24" s="483"/>
      <c r="B24" s="129" t="s">
        <v>105</v>
      </c>
      <c r="C24" s="127">
        <v>249084</v>
      </c>
      <c r="D24" s="127">
        <v>249092</v>
      </c>
      <c r="E24" s="255">
        <v>249094</v>
      </c>
      <c r="F24" s="127">
        <v>249096</v>
      </c>
      <c r="G24" s="127">
        <v>249098</v>
      </c>
      <c r="H24" s="127">
        <v>249099</v>
      </c>
      <c r="I24" s="127">
        <v>249101</v>
      </c>
      <c r="J24" s="127">
        <v>249108</v>
      </c>
      <c r="K24" s="127">
        <v>249109</v>
      </c>
      <c r="L24" s="127">
        <v>249113</v>
      </c>
      <c r="M24" s="127">
        <v>249115</v>
      </c>
      <c r="N24" s="127">
        <v>249120</v>
      </c>
      <c r="O24" s="127">
        <v>249121</v>
      </c>
      <c r="P24" s="127">
        <v>249121</v>
      </c>
      <c r="Q24" s="127">
        <v>249123</v>
      </c>
      <c r="R24" s="127">
        <v>249125</v>
      </c>
      <c r="S24" s="127">
        <v>249127</v>
      </c>
      <c r="T24" s="127">
        <v>249127</v>
      </c>
      <c r="U24" s="127">
        <v>249131</v>
      </c>
      <c r="V24" s="127">
        <v>249134</v>
      </c>
      <c r="W24" s="127">
        <v>249138</v>
      </c>
      <c r="X24" s="127">
        <v>249140</v>
      </c>
      <c r="Y24" s="127">
        <v>249142</v>
      </c>
      <c r="Z24" s="127">
        <v>249143</v>
      </c>
      <c r="AA24" s="127">
        <v>249145</v>
      </c>
      <c r="AB24" s="127">
        <v>249168</v>
      </c>
      <c r="AC24" s="127">
        <v>249171</v>
      </c>
      <c r="AD24" s="127">
        <v>249177</v>
      </c>
      <c r="AE24" s="127">
        <v>249182</v>
      </c>
      <c r="AF24" s="127">
        <v>249186</v>
      </c>
      <c r="AG24" s="127">
        <v>249194</v>
      </c>
      <c r="AH24" s="127">
        <v>249201</v>
      </c>
      <c r="AI24" s="127"/>
      <c r="AJ24" s="125">
        <f t="shared" si="0"/>
        <v>0.15138888888888888</v>
      </c>
      <c r="AK24" s="120">
        <v>246697</v>
      </c>
      <c r="HP24" s="121"/>
    </row>
    <row r="25" spans="1:224" ht="20.25" customHeight="1" thickBot="1" x14ac:dyDescent="0.25">
      <c r="A25" s="483"/>
      <c r="B25" s="129" t="s">
        <v>106</v>
      </c>
      <c r="C25" s="127">
        <v>2110625</v>
      </c>
      <c r="D25" s="127">
        <v>2111181</v>
      </c>
      <c r="E25" s="255">
        <v>2112159</v>
      </c>
      <c r="F25" s="127">
        <v>2113019</v>
      </c>
      <c r="G25" s="127">
        <v>2113787</v>
      </c>
      <c r="H25" s="127">
        <v>2114674</v>
      </c>
      <c r="I25" s="127">
        <v>2115600</v>
      </c>
      <c r="J25" s="127">
        <v>2116453</v>
      </c>
      <c r="K25" s="127">
        <v>2117266</v>
      </c>
      <c r="L25" s="127">
        <v>2118016</v>
      </c>
      <c r="M25" s="127">
        <v>2118657</v>
      </c>
      <c r="N25" s="127">
        <v>2119221</v>
      </c>
      <c r="O25" s="127">
        <v>2119783</v>
      </c>
      <c r="P25" s="127">
        <v>2120314</v>
      </c>
      <c r="Q25" s="127">
        <v>2120886</v>
      </c>
      <c r="R25" s="127">
        <v>2121436</v>
      </c>
      <c r="S25" s="127">
        <v>2121971</v>
      </c>
      <c r="T25" s="127">
        <v>2122557</v>
      </c>
      <c r="U25" s="127">
        <v>2123149</v>
      </c>
      <c r="V25" s="127">
        <v>2123757</v>
      </c>
      <c r="W25" s="127">
        <v>2124342</v>
      </c>
      <c r="X25" s="127">
        <v>2124895</v>
      </c>
      <c r="Y25" s="127">
        <v>2125492</v>
      </c>
      <c r="Z25" s="127">
        <v>2126119</v>
      </c>
      <c r="AA25" s="127">
        <v>2126747</v>
      </c>
      <c r="AB25" s="127">
        <v>2127421</v>
      </c>
      <c r="AC25" s="127">
        <v>2128093</v>
      </c>
      <c r="AD25" s="127">
        <v>2128879</v>
      </c>
      <c r="AE25" s="127">
        <v>2129666</v>
      </c>
      <c r="AF25" s="127">
        <v>2130453</v>
      </c>
      <c r="AG25" s="127">
        <v>2131231</v>
      </c>
      <c r="AH25" s="127">
        <v>2131988</v>
      </c>
      <c r="AI25" s="127"/>
      <c r="AJ25" s="125">
        <f t="shared" si="0"/>
        <v>28.898611111111112</v>
      </c>
      <c r="AK25" s="120">
        <v>2057406</v>
      </c>
      <c r="HP25" s="121"/>
    </row>
    <row r="26" spans="1:224" s="131" customFormat="1" ht="20.25" customHeight="1" thickBot="1" x14ac:dyDescent="0.25">
      <c r="A26" s="483"/>
      <c r="B26" s="129" t="s">
        <v>107</v>
      </c>
      <c r="C26" s="127">
        <v>246313</v>
      </c>
      <c r="D26" s="127">
        <v>249329</v>
      </c>
      <c r="E26" s="255">
        <v>251710.39</v>
      </c>
      <c r="F26" s="127">
        <v>254526.59</v>
      </c>
      <c r="G26" s="127">
        <v>257422</v>
      </c>
      <c r="H26" s="127">
        <v>259869</v>
      </c>
      <c r="I26" s="127">
        <v>262583</v>
      </c>
      <c r="J26" s="127">
        <v>265514</v>
      </c>
      <c r="K26" s="127">
        <v>268506</v>
      </c>
      <c r="L26" s="127">
        <v>271449</v>
      </c>
      <c r="M26" s="127">
        <v>273894</v>
      </c>
      <c r="N26" s="127">
        <v>277461</v>
      </c>
      <c r="O26" s="127">
        <v>280497</v>
      </c>
      <c r="P26" s="127">
        <v>283550</v>
      </c>
      <c r="Q26" s="127">
        <v>286619</v>
      </c>
      <c r="R26" s="127">
        <v>289706</v>
      </c>
      <c r="S26" s="127">
        <v>292748</v>
      </c>
      <c r="T26" s="127">
        <v>295753</v>
      </c>
      <c r="U26" s="127">
        <v>298777</v>
      </c>
      <c r="V26" s="127">
        <v>301749</v>
      </c>
      <c r="W26" s="127">
        <v>304758.71000000002</v>
      </c>
      <c r="X26" s="127">
        <v>307857</v>
      </c>
      <c r="Y26" s="127">
        <v>310879</v>
      </c>
      <c r="Z26" s="127">
        <v>313893</v>
      </c>
      <c r="AA26" s="127">
        <v>316931</v>
      </c>
      <c r="AB26" s="127">
        <v>319999</v>
      </c>
      <c r="AC26" s="127">
        <v>322986</v>
      </c>
      <c r="AD26" s="127">
        <v>325762</v>
      </c>
      <c r="AE26" s="127">
        <v>328504</v>
      </c>
      <c r="AF26" s="127">
        <v>331202</v>
      </c>
      <c r="AG26" s="127">
        <v>334062</v>
      </c>
      <c r="AH26" s="127">
        <v>336976</v>
      </c>
      <c r="AI26" s="127"/>
      <c r="AJ26" s="125">
        <f t="shared" si="0"/>
        <v>121.73194444444444</v>
      </c>
      <c r="AK26" s="130">
        <v>15613</v>
      </c>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c r="CV26" s="130"/>
      <c r="CW26" s="130"/>
      <c r="CX26" s="130"/>
      <c r="CY26" s="130"/>
      <c r="CZ26" s="130"/>
      <c r="DA26" s="130"/>
      <c r="DB26" s="130"/>
      <c r="DC26" s="130"/>
      <c r="DD26" s="130"/>
      <c r="DE26" s="130"/>
      <c r="DF26" s="130"/>
      <c r="DG26" s="130"/>
      <c r="DH26" s="130"/>
      <c r="DI26" s="130"/>
      <c r="DJ26" s="130"/>
      <c r="DK26" s="130"/>
      <c r="DL26" s="130"/>
      <c r="DM26" s="130"/>
      <c r="DN26" s="130"/>
      <c r="DO26" s="130"/>
      <c r="DP26" s="130"/>
      <c r="DQ26" s="130"/>
      <c r="DR26" s="130"/>
      <c r="DS26" s="130"/>
      <c r="DT26" s="130"/>
      <c r="DU26" s="130"/>
      <c r="DV26" s="130"/>
      <c r="DW26" s="130"/>
      <c r="DX26" s="130"/>
      <c r="DY26" s="130"/>
      <c r="DZ26" s="130"/>
      <c r="EA26" s="130"/>
      <c r="EB26" s="130"/>
      <c r="EC26" s="130"/>
      <c r="ED26" s="130"/>
      <c r="EE26" s="130"/>
      <c r="EF26" s="130"/>
      <c r="EG26" s="130"/>
      <c r="EH26" s="130"/>
      <c r="EI26" s="130"/>
      <c r="EJ26" s="130"/>
      <c r="EK26" s="130"/>
      <c r="EL26" s="130"/>
      <c r="EM26" s="130"/>
      <c r="EN26" s="130"/>
      <c r="EO26" s="130"/>
      <c r="EP26" s="130"/>
      <c r="EQ26" s="130"/>
      <c r="ER26" s="130"/>
      <c r="ES26" s="130"/>
      <c r="ET26" s="130"/>
      <c r="EU26" s="130"/>
      <c r="EV26" s="130"/>
      <c r="EW26" s="130"/>
      <c r="EX26" s="130"/>
      <c r="EY26" s="130"/>
      <c r="EZ26" s="130"/>
      <c r="FA26" s="130"/>
      <c r="FB26" s="130"/>
      <c r="FC26" s="130"/>
      <c r="FD26" s="130"/>
      <c r="FE26" s="130"/>
      <c r="FF26" s="130"/>
      <c r="FG26" s="130"/>
      <c r="FH26" s="130"/>
      <c r="FI26" s="130"/>
      <c r="FJ26" s="130"/>
      <c r="FK26" s="130"/>
      <c r="FL26" s="130"/>
      <c r="FM26" s="130"/>
      <c r="FN26" s="130"/>
      <c r="FO26" s="130"/>
      <c r="FP26" s="130"/>
      <c r="FQ26" s="130"/>
      <c r="FR26" s="130"/>
      <c r="FS26" s="130"/>
      <c r="FT26" s="130"/>
      <c r="FU26" s="130"/>
      <c r="FV26" s="130"/>
      <c r="FW26" s="130"/>
      <c r="FX26" s="130"/>
      <c r="FY26" s="130"/>
      <c r="FZ26" s="130"/>
      <c r="GA26" s="130"/>
      <c r="GB26" s="130"/>
      <c r="GC26" s="130"/>
      <c r="GD26" s="130"/>
      <c r="GE26" s="130"/>
      <c r="GF26" s="130"/>
      <c r="GG26" s="130"/>
      <c r="GH26" s="130"/>
      <c r="GI26" s="130"/>
      <c r="GJ26" s="130"/>
      <c r="GK26" s="130"/>
      <c r="GL26" s="130"/>
      <c r="GM26" s="130"/>
      <c r="GN26" s="130"/>
      <c r="GO26" s="130"/>
      <c r="GP26" s="130"/>
      <c r="GQ26" s="130"/>
      <c r="GR26" s="130"/>
      <c r="GS26" s="130"/>
      <c r="GT26" s="130"/>
      <c r="GU26" s="130"/>
      <c r="GV26" s="130"/>
      <c r="GW26" s="130"/>
      <c r="GX26" s="130"/>
      <c r="GY26" s="130"/>
      <c r="GZ26" s="130"/>
      <c r="HA26" s="130"/>
      <c r="HB26" s="130"/>
      <c r="HC26" s="130"/>
      <c r="HD26" s="130"/>
      <c r="HE26" s="130"/>
      <c r="HF26" s="130"/>
      <c r="HG26" s="130"/>
      <c r="HH26" s="130"/>
      <c r="HI26" s="130"/>
      <c r="HJ26" s="130"/>
      <c r="HK26" s="130"/>
      <c r="HL26" s="130"/>
      <c r="HM26" s="130"/>
      <c r="HN26" s="130"/>
      <c r="HO26" s="130"/>
    </row>
    <row r="27" spans="1:224" ht="20.25" customHeight="1" thickBot="1" x14ac:dyDescent="0.25">
      <c r="A27" s="483"/>
      <c r="B27" s="129" t="s">
        <v>108</v>
      </c>
      <c r="C27" s="127">
        <v>11316</v>
      </c>
      <c r="D27" s="128">
        <v>11419</v>
      </c>
      <c r="E27" s="255">
        <v>11464.919</v>
      </c>
      <c r="F27" s="127">
        <v>11541.918</v>
      </c>
      <c r="G27" s="127">
        <v>11663</v>
      </c>
      <c r="H27" s="127">
        <v>11688</v>
      </c>
      <c r="I27" s="127">
        <v>11692</v>
      </c>
      <c r="J27" s="127">
        <v>11729</v>
      </c>
      <c r="K27" s="127">
        <v>11786</v>
      </c>
      <c r="L27" s="127">
        <v>11901</v>
      </c>
      <c r="M27" s="127">
        <v>11947</v>
      </c>
      <c r="N27" s="127">
        <v>12001</v>
      </c>
      <c r="O27" s="127">
        <v>12007</v>
      </c>
      <c r="P27" s="133">
        <v>12022</v>
      </c>
      <c r="Q27" s="127">
        <v>12031</v>
      </c>
      <c r="R27" s="127">
        <v>12090</v>
      </c>
      <c r="S27" s="127">
        <v>12121</v>
      </c>
      <c r="T27" s="127">
        <v>12139</v>
      </c>
      <c r="U27" s="127">
        <v>12143</v>
      </c>
      <c r="V27" s="133">
        <v>12146</v>
      </c>
      <c r="W27" s="127">
        <v>12154.115</v>
      </c>
      <c r="X27" s="127">
        <v>12221</v>
      </c>
      <c r="Y27" s="127">
        <v>12250</v>
      </c>
      <c r="Z27" s="127">
        <v>12256</v>
      </c>
      <c r="AA27" s="127">
        <v>12268</v>
      </c>
      <c r="AB27" s="127">
        <v>12313</v>
      </c>
      <c r="AC27" s="127">
        <v>12334</v>
      </c>
      <c r="AD27" s="127">
        <v>12415</v>
      </c>
      <c r="AE27" s="127">
        <v>12465</v>
      </c>
      <c r="AF27" s="127">
        <v>12520</v>
      </c>
      <c r="AG27" s="127">
        <v>12610</v>
      </c>
      <c r="AH27" s="128">
        <v>12641</v>
      </c>
      <c r="AI27" s="128"/>
      <c r="AJ27" s="125">
        <f t="shared" si="0"/>
        <v>1.6972222222222222</v>
      </c>
      <c r="AK27" s="120">
        <v>7846</v>
      </c>
      <c r="HP27" s="121"/>
    </row>
    <row r="28" spans="1:224" ht="20.25" customHeight="1" thickBot="1" x14ac:dyDescent="0.25">
      <c r="A28" s="483"/>
      <c r="B28" s="132" t="s">
        <v>109</v>
      </c>
      <c r="C28" s="128">
        <v>267610</v>
      </c>
      <c r="D28" s="128">
        <v>268060</v>
      </c>
      <c r="E28" s="372">
        <v>268673</v>
      </c>
      <c r="F28" s="133">
        <v>269364</v>
      </c>
      <c r="G28" s="133">
        <v>270023</v>
      </c>
      <c r="H28" s="133">
        <v>270756</v>
      </c>
      <c r="I28" s="133">
        <v>271440</v>
      </c>
      <c r="J28" s="133">
        <v>272088</v>
      </c>
      <c r="K28" s="127">
        <v>272666</v>
      </c>
      <c r="L28" s="133">
        <v>273373</v>
      </c>
      <c r="M28" s="127">
        <v>274435</v>
      </c>
      <c r="N28" s="127">
        <v>274502</v>
      </c>
      <c r="O28" s="133">
        <v>274784</v>
      </c>
      <c r="P28" s="133">
        <v>275173</v>
      </c>
      <c r="Q28" s="127">
        <v>275634</v>
      </c>
      <c r="R28" s="133">
        <v>276081</v>
      </c>
      <c r="S28" s="133">
        <v>276499</v>
      </c>
      <c r="T28" s="127">
        <v>276951</v>
      </c>
      <c r="U28" s="133">
        <v>277384</v>
      </c>
      <c r="V28" s="127">
        <v>277839</v>
      </c>
      <c r="W28" s="127">
        <v>278257</v>
      </c>
      <c r="X28" s="127">
        <v>278708</v>
      </c>
      <c r="Y28" s="127">
        <v>279145</v>
      </c>
      <c r="Z28" s="133">
        <v>279579</v>
      </c>
      <c r="AA28" s="133">
        <v>280023</v>
      </c>
      <c r="AB28" s="133">
        <v>280476</v>
      </c>
      <c r="AC28" s="127">
        <v>280951</v>
      </c>
      <c r="AD28" s="133">
        <v>281610</v>
      </c>
      <c r="AE28" s="133">
        <v>282250</v>
      </c>
      <c r="AF28" s="133">
        <v>282863</v>
      </c>
      <c r="AG28" s="128">
        <v>283533</v>
      </c>
      <c r="AH28" s="128">
        <v>284127</v>
      </c>
      <c r="AI28" s="128"/>
      <c r="AJ28" s="125">
        <f t="shared" si="0"/>
        <v>22.31527777777778</v>
      </c>
      <c r="AK28" s="120">
        <v>219407</v>
      </c>
      <c r="HP28" s="121"/>
    </row>
    <row r="29" spans="1:224" s="131" customFormat="1" ht="20.25" customHeight="1" x14ac:dyDescent="0.2">
      <c r="A29" s="484" t="s">
        <v>110</v>
      </c>
      <c r="B29" s="134" t="s">
        <v>111</v>
      </c>
      <c r="C29" s="304"/>
      <c r="D29" s="304">
        <f t="shared" ref="D29:O31" si="1">D3-C3</f>
        <v>3418</v>
      </c>
      <c r="E29" s="304">
        <f t="shared" si="1"/>
        <v>3596</v>
      </c>
      <c r="F29" s="304">
        <f t="shared" si="1"/>
        <v>3762</v>
      </c>
      <c r="G29" s="304">
        <f t="shared" si="1"/>
        <v>3798</v>
      </c>
      <c r="H29" s="304">
        <f t="shared" si="1"/>
        <v>3444</v>
      </c>
      <c r="I29" s="304">
        <f t="shared" si="1"/>
        <v>3760</v>
      </c>
      <c r="J29" s="304">
        <f t="shared" si="1"/>
        <v>3920</v>
      </c>
      <c r="K29" s="304">
        <f t="shared" si="1"/>
        <v>3920</v>
      </c>
      <c r="L29" s="304">
        <f t="shared" si="1"/>
        <v>3852</v>
      </c>
      <c r="M29" s="304">
        <f t="shared" si="1"/>
        <v>3950</v>
      </c>
      <c r="N29" s="304">
        <f t="shared" si="1"/>
        <v>3956</v>
      </c>
      <c r="O29" s="304">
        <f t="shared" si="1"/>
        <v>3956</v>
      </c>
      <c r="P29" s="304">
        <f t="shared" ref="P29:R31" si="2">P3-O3</f>
        <v>4034</v>
      </c>
      <c r="Q29" s="304">
        <f t="shared" si="2"/>
        <v>3996</v>
      </c>
      <c r="R29" s="304">
        <f t="shared" si="2"/>
        <v>4056</v>
      </c>
      <c r="S29" s="304">
        <f t="shared" ref="S29:AH29" si="3">S3-R3</f>
        <v>4060</v>
      </c>
      <c r="T29" s="304">
        <f t="shared" si="3"/>
        <v>3998</v>
      </c>
      <c r="U29" s="304">
        <f t="shared" si="3"/>
        <v>4054</v>
      </c>
      <c r="V29" s="304">
        <f t="shared" si="3"/>
        <v>3982</v>
      </c>
      <c r="W29" s="304">
        <f t="shared" si="3"/>
        <v>3952</v>
      </c>
      <c r="X29" s="304">
        <f t="shared" si="3"/>
        <v>4112</v>
      </c>
      <c r="Y29" s="304">
        <f t="shared" si="3"/>
        <v>4020</v>
      </c>
      <c r="Z29" s="304">
        <f t="shared" si="3"/>
        <v>3980</v>
      </c>
      <c r="AA29" s="304">
        <f t="shared" si="3"/>
        <v>4028</v>
      </c>
      <c r="AB29" s="304">
        <f t="shared" si="3"/>
        <v>4106</v>
      </c>
      <c r="AC29" s="304">
        <f t="shared" si="3"/>
        <v>3978</v>
      </c>
      <c r="AD29" s="304">
        <f t="shared" si="3"/>
        <v>3660</v>
      </c>
      <c r="AE29" s="304">
        <f t="shared" si="3"/>
        <v>3534</v>
      </c>
      <c r="AF29" s="304">
        <f t="shared" si="3"/>
        <v>3686</v>
      </c>
      <c r="AG29" s="304">
        <f t="shared" si="3"/>
        <v>3776</v>
      </c>
      <c r="AH29" s="304">
        <f t="shared" si="3"/>
        <v>3890</v>
      </c>
      <c r="AI29" s="319"/>
      <c r="AJ29" s="282">
        <f t="shared" ref="AJ29:AJ39" si="4">AVERAGE(D29:AH29)/24</f>
        <v>161.60483870967741</v>
      </c>
      <c r="AK29" s="130">
        <v>3862</v>
      </c>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W29" s="130"/>
      <c r="CX29" s="130"/>
      <c r="CY29" s="130"/>
      <c r="CZ29" s="130"/>
      <c r="DA29" s="130"/>
      <c r="DB29" s="130"/>
      <c r="DC29" s="130"/>
      <c r="DD29" s="130"/>
      <c r="DE29" s="130"/>
      <c r="DF29" s="130"/>
      <c r="DG29" s="130"/>
      <c r="DH29" s="130"/>
      <c r="DI29" s="130"/>
      <c r="DJ29" s="130"/>
      <c r="DK29" s="130"/>
      <c r="DL29" s="130"/>
      <c r="DM29" s="130"/>
      <c r="DN29" s="130"/>
      <c r="DO29" s="130"/>
      <c r="DP29" s="130"/>
      <c r="DQ29" s="130"/>
      <c r="DR29" s="130"/>
      <c r="DS29" s="130"/>
      <c r="DT29" s="130"/>
      <c r="DU29" s="130"/>
      <c r="DV29" s="130"/>
      <c r="DW29" s="130"/>
      <c r="DX29" s="130"/>
      <c r="DY29" s="130"/>
      <c r="DZ29" s="130"/>
      <c r="EA29" s="130"/>
      <c r="EB29" s="130"/>
      <c r="EC29" s="130"/>
      <c r="ED29" s="130"/>
      <c r="EE29" s="130"/>
      <c r="EF29" s="130"/>
      <c r="EG29" s="130"/>
      <c r="EH29" s="130"/>
      <c r="EI29" s="130"/>
      <c r="EJ29" s="130"/>
      <c r="EK29" s="130"/>
      <c r="EL29" s="130"/>
      <c r="EM29" s="130"/>
      <c r="EN29" s="130"/>
      <c r="EO29" s="130"/>
      <c r="EP29" s="130"/>
      <c r="EQ29" s="130"/>
      <c r="ER29" s="130"/>
      <c r="ES29" s="130"/>
      <c r="ET29" s="130"/>
      <c r="EU29" s="130"/>
      <c r="EV29" s="130"/>
      <c r="EW29" s="130"/>
      <c r="EX29" s="130"/>
      <c r="EY29" s="130"/>
      <c r="EZ29" s="130"/>
      <c r="FA29" s="130"/>
      <c r="FB29" s="130"/>
      <c r="FC29" s="130"/>
      <c r="FD29" s="130"/>
      <c r="FE29" s="130"/>
      <c r="FF29" s="130"/>
      <c r="FG29" s="130"/>
      <c r="FH29" s="130"/>
      <c r="FI29" s="130"/>
      <c r="FJ29" s="130"/>
      <c r="FK29" s="130"/>
      <c r="FL29" s="130"/>
      <c r="FM29" s="130"/>
      <c r="FN29" s="130"/>
      <c r="FO29" s="130"/>
      <c r="FP29" s="130"/>
      <c r="FQ29" s="130"/>
      <c r="FR29" s="130"/>
      <c r="FS29" s="130"/>
      <c r="FT29" s="130"/>
      <c r="FU29" s="130"/>
      <c r="FV29" s="130"/>
      <c r="FW29" s="130"/>
      <c r="FX29" s="130"/>
      <c r="FY29" s="130"/>
      <c r="FZ29" s="130"/>
      <c r="GA29" s="130"/>
      <c r="GB29" s="130"/>
      <c r="GC29" s="130"/>
      <c r="GD29" s="130"/>
      <c r="GE29" s="130"/>
      <c r="GF29" s="130"/>
      <c r="GG29" s="130"/>
      <c r="GH29" s="130"/>
      <c r="GI29" s="130"/>
      <c r="GJ29" s="130"/>
      <c r="GK29" s="130"/>
      <c r="GL29" s="130"/>
      <c r="GM29" s="130"/>
      <c r="GN29" s="130"/>
      <c r="GO29" s="130"/>
      <c r="GP29" s="130"/>
      <c r="GQ29" s="130"/>
      <c r="GR29" s="130"/>
      <c r="GS29" s="130"/>
      <c r="GT29" s="130"/>
      <c r="GU29" s="130"/>
      <c r="GV29" s="130"/>
      <c r="GW29" s="130"/>
      <c r="GX29" s="130"/>
      <c r="GY29" s="130"/>
      <c r="GZ29" s="130"/>
      <c r="HA29" s="130"/>
      <c r="HB29" s="130"/>
      <c r="HC29" s="130"/>
      <c r="HD29" s="130"/>
      <c r="HE29" s="130"/>
      <c r="HF29" s="130"/>
      <c r="HG29" s="130"/>
      <c r="HH29" s="130"/>
      <c r="HI29" s="130"/>
      <c r="HJ29" s="130"/>
      <c r="HK29" s="130"/>
      <c r="HL29" s="130"/>
      <c r="HM29" s="130"/>
      <c r="HN29" s="130"/>
      <c r="HO29" s="130"/>
      <c r="HP29" s="130"/>
    </row>
    <row r="30" spans="1:224" s="131" customFormat="1" ht="20.25" customHeight="1" x14ac:dyDescent="0.2">
      <c r="A30" s="485"/>
      <c r="B30" s="135" t="s">
        <v>112</v>
      </c>
      <c r="C30" s="304"/>
      <c r="D30" s="304">
        <f t="shared" si="1"/>
        <v>3320</v>
      </c>
      <c r="E30" s="304">
        <f t="shared" ref="E30:O30" si="5">E4-D4</f>
        <v>3398</v>
      </c>
      <c r="F30" s="304">
        <f t="shared" si="5"/>
        <v>3214</v>
      </c>
      <c r="G30" s="304">
        <f t="shared" si="5"/>
        <v>3112</v>
      </c>
      <c r="H30" s="304">
        <f t="shared" si="5"/>
        <v>3766</v>
      </c>
      <c r="I30" s="304">
        <f t="shared" si="5"/>
        <v>3804</v>
      </c>
      <c r="J30" s="304">
        <f t="shared" si="5"/>
        <v>3924</v>
      </c>
      <c r="K30" s="304">
        <f t="shared" si="5"/>
        <v>3836</v>
      </c>
      <c r="L30" s="304">
        <f t="shared" si="5"/>
        <v>3720</v>
      </c>
      <c r="M30" s="304">
        <f t="shared" si="5"/>
        <v>3876</v>
      </c>
      <c r="N30" s="304">
        <f t="shared" si="5"/>
        <v>3958</v>
      </c>
      <c r="O30" s="304">
        <f t="shared" si="5"/>
        <v>3968</v>
      </c>
      <c r="P30" s="304">
        <f t="shared" si="2"/>
        <v>4044</v>
      </c>
      <c r="Q30" s="304">
        <f t="shared" si="2"/>
        <v>4006</v>
      </c>
      <c r="R30" s="304">
        <f t="shared" si="2"/>
        <v>4064</v>
      </c>
      <c r="S30" s="304">
        <f t="shared" ref="S30:AH30" si="6">S4-R4</f>
        <v>4076</v>
      </c>
      <c r="T30" s="304">
        <f t="shared" si="6"/>
        <v>4006</v>
      </c>
      <c r="U30" s="304">
        <f t="shared" si="6"/>
        <v>4060</v>
      </c>
      <c r="V30" s="304">
        <f t="shared" si="6"/>
        <v>3988</v>
      </c>
      <c r="W30" s="304">
        <f t="shared" si="6"/>
        <v>4018</v>
      </c>
      <c r="X30" s="304">
        <f t="shared" si="6"/>
        <v>4062</v>
      </c>
      <c r="Y30" s="304">
        <f t="shared" si="6"/>
        <v>4028</v>
      </c>
      <c r="Z30" s="304">
        <f t="shared" si="6"/>
        <v>3986</v>
      </c>
      <c r="AA30" s="304">
        <f t="shared" si="6"/>
        <v>4032</v>
      </c>
      <c r="AB30" s="304">
        <f t="shared" si="6"/>
        <v>1116</v>
      </c>
      <c r="AC30" s="304">
        <f t="shared" si="6"/>
        <v>3904</v>
      </c>
      <c r="AD30" s="304">
        <f t="shared" si="6"/>
        <v>3352</v>
      </c>
      <c r="AE30" s="304">
        <f t="shared" si="6"/>
        <v>3104</v>
      </c>
      <c r="AF30" s="304">
        <f t="shared" si="6"/>
        <v>3242</v>
      </c>
      <c r="AG30" s="304">
        <f t="shared" si="6"/>
        <v>3462</v>
      </c>
      <c r="AH30" s="304">
        <f t="shared" si="6"/>
        <v>3614</v>
      </c>
      <c r="AI30" s="320"/>
      <c r="AJ30" s="283">
        <f t="shared" si="4"/>
        <v>153.30645161290323</v>
      </c>
      <c r="AK30" s="130">
        <v>4000</v>
      </c>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c r="CX30" s="130"/>
      <c r="CY30" s="130"/>
      <c r="CZ30" s="130"/>
      <c r="DA30" s="130"/>
      <c r="DB30" s="130"/>
      <c r="DC30" s="130"/>
      <c r="DD30" s="130"/>
      <c r="DE30" s="130"/>
      <c r="DF30" s="130"/>
      <c r="DG30" s="130"/>
      <c r="DH30" s="130"/>
      <c r="DI30" s="130"/>
      <c r="DJ30" s="130"/>
      <c r="DK30" s="130"/>
      <c r="DL30" s="130"/>
      <c r="DM30" s="130"/>
      <c r="DN30" s="130"/>
      <c r="DO30" s="130"/>
      <c r="DP30" s="130"/>
      <c r="DQ30" s="130"/>
      <c r="DR30" s="130"/>
      <c r="DS30" s="130"/>
      <c r="DT30" s="130"/>
      <c r="DU30" s="130"/>
      <c r="DV30" s="130"/>
      <c r="DW30" s="130"/>
      <c r="DX30" s="130"/>
      <c r="DY30" s="130"/>
      <c r="DZ30" s="130"/>
      <c r="EA30" s="130"/>
      <c r="EB30" s="130"/>
      <c r="EC30" s="130"/>
      <c r="ED30" s="130"/>
      <c r="EE30" s="130"/>
      <c r="EF30" s="130"/>
      <c r="EG30" s="130"/>
      <c r="EH30" s="130"/>
      <c r="EI30" s="130"/>
      <c r="EJ30" s="130"/>
      <c r="EK30" s="130"/>
      <c r="EL30" s="130"/>
      <c r="EM30" s="130"/>
      <c r="EN30" s="130"/>
      <c r="EO30" s="130"/>
      <c r="EP30" s="130"/>
      <c r="EQ30" s="130"/>
      <c r="ER30" s="130"/>
      <c r="ES30" s="130"/>
      <c r="ET30" s="130"/>
      <c r="EU30" s="130"/>
      <c r="EV30" s="130"/>
      <c r="EW30" s="130"/>
      <c r="EX30" s="130"/>
      <c r="EY30" s="130"/>
      <c r="EZ30" s="130"/>
      <c r="FA30" s="130"/>
      <c r="FB30" s="130"/>
      <c r="FC30" s="130"/>
      <c r="FD30" s="130"/>
      <c r="FE30" s="130"/>
      <c r="FF30" s="130"/>
      <c r="FG30" s="130"/>
      <c r="FH30" s="130"/>
      <c r="FI30" s="130"/>
      <c r="FJ30" s="130"/>
      <c r="FK30" s="130"/>
      <c r="FL30" s="130"/>
      <c r="FM30" s="130"/>
      <c r="FN30" s="130"/>
      <c r="FO30" s="130"/>
      <c r="FP30" s="130"/>
      <c r="FQ30" s="130"/>
      <c r="FR30" s="130"/>
      <c r="FS30" s="130"/>
      <c r="FT30" s="130"/>
      <c r="FU30" s="130"/>
      <c r="FV30" s="130"/>
      <c r="FW30" s="130"/>
      <c r="FX30" s="130"/>
      <c r="FY30" s="130"/>
      <c r="FZ30" s="130"/>
      <c r="GA30" s="130"/>
      <c r="GB30" s="130"/>
      <c r="GC30" s="130"/>
      <c r="GD30" s="130"/>
      <c r="GE30" s="130"/>
      <c r="GF30" s="130"/>
      <c r="GG30" s="130"/>
      <c r="GH30" s="130"/>
      <c r="GI30" s="130"/>
      <c r="GJ30" s="130"/>
      <c r="GK30" s="130"/>
      <c r="GL30" s="130"/>
      <c r="GM30" s="130"/>
      <c r="GN30" s="130"/>
      <c r="GO30" s="130"/>
      <c r="GP30" s="130"/>
      <c r="GQ30" s="130"/>
      <c r="GR30" s="130"/>
      <c r="GS30" s="130"/>
      <c r="GT30" s="130"/>
      <c r="GU30" s="130"/>
      <c r="GV30" s="130"/>
      <c r="GW30" s="130"/>
      <c r="GX30" s="130"/>
      <c r="GY30" s="130"/>
      <c r="GZ30" s="130"/>
      <c r="HA30" s="130"/>
      <c r="HB30" s="130"/>
      <c r="HC30" s="130"/>
      <c r="HD30" s="130"/>
      <c r="HE30" s="130"/>
      <c r="HF30" s="130"/>
      <c r="HG30" s="130"/>
      <c r="HH30" s="130"/>
      <c r="HI30" s="130"/>
      <c r="HJ30" s="130"/>
      <c r="HK30" s="130"/>
      <c r="HL30" s="130"/>
      <c r="HM30" s="130"/>
      <c r="HN30" s="130"/>
      <c r="HO30" s="130"/>
      <c r="HP30" s="130"/>
    </row>
    <row r="31" spans="1:224" s="131" customFormat="1" ht="20.25" customHeight="1" x14ac:dyDescent="0.2">
      <c r="A31" s="485"/>
      <c r="B31" s="135" t="s">
        <v>113</v>
      </c>
      <c r="C31" s="304"/>
      <c r="D31" s="304">
        <f t="shared" si="1"/>
        <v>2404</v>
      </c>
      <c r="E31" s="304">
        <f t="shared" si="1"/>
        <v>2138</v>
      </c>
      <c r="F31" s="304">
        <f t="shared" si="1"/>
        <v>2554</v>
      </c>
      <c r="G31" s="304">
        <f t="shared" si="1"/>
        <v>2570</v>
      </c>
      <c r="H31" s="304">
        <f t="shared" si="1"/>
        <v>2592</v>
      </c>
      <c r="I31" s="304">
        <f t="shared" si="1"/>
        <v>2621</v>
      </c>
      <c r="J31" s="304">
        <f t="shared" si="1"/>
        <v>2586</v>
      </c>
      <c r="K31" s="304">
        <f t="shared" si="1"/>
        <v>2614</v>
      </c>
      <c r="L31" s="304">
        <f t="shared" si="1"/>
        <v>2667</v>
      </c>
      <c r="M31" s="304">
        <f t="shared" si="1"/>
        <v>2606</v>
      </c>
      <c r="N31" s="304">
        <f t="shared" si="1"/>
        <v>2648</v>
      </c>
      <c r="O31" s="304">
        <f t="shared" si="1"/>
        <v>2592</v>
      </c>
      <c r="P31" s="304">
        <f t="shared" si="2"/>
        <v>2684</v>
      </c>
      <c r="Q31" s="304">
        <f t="shared" si="2"/>
        <v>2676</v>
      </c>
      <c r="R31" s="304">
        <f t="shared" si="2"/>
        <v>2700</v>
      </c>
      <c r="S31" s="304">
        <f t="shared" ref="S31:AH31" si="7">S5-R5</f>
        <v>2681</v>
      </c>
      <c r="T31" s="304">
        <f t="shared" si="7"/>
        <v>2708</v>
      </c>
      <c r="U31" s="304">
        <f t="shared" si="7"/>
        <v>2743</v>
      </c>
      <c r="V31" s="304">
        <f t="shared" si="7"/>
        <v>2682</v>
      </c>
      <c r="W31" s="304">
        <f t="shared" si="7"/>
        <v>2714</v>
      </c>
      <c r="X31" s="304">
        <f t="shared" si="7"/>
        <v>2688</v>
      </c>
      <c r="Y31" s="304">
        <f t="shared" si="7"/>
        <v>2702</v>
      </c>
      <c r="Z31" s="304">
        <f t="shared" si="7"/>
        <v>2718</v>
      </c>
      <c r="AA31" s="304">
        <f t="shared" si="7"/>
        <v>2686</v>
      </c>
      <c r="AB31" s="304">
        <f t="shared" si="7"/>
        <v>2883</v>
      </c>
      <c r="AC31" s="304">
        <f t="shared" si="7"/>
        <v>2534</v>
      </c>
      <c r="AD31" s="304">
        <f t="shared" si="7"/>
        <v>2602</v>
      </c>
      <c r="AE31" s="304">
        <f t="shared" si="7"/>
        <v>2463</v>
      </c>
      <c r="AF31" s="304">
        <f t="shared" si="7"/>
        <v>2461</v>
      </c>
      <c r="AG31" s="304">
        <f t="shared" si="7"/>
        <v>2478</v>
      </c>
      <c r="AH31" s="304">
        <f t="shared" si="7"/>
        <v>2554</v>
      </c>
      <c r="AI31" s="320"/>
      <c r="AJ31" s="283">
        <f t="shared" si="4"/>
        <v>108.80241935483872</v>
      </c>
      <c r="AK31" s="130">
        <v>2626</v>
      </c>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c r="BW31" s="130"/>
      <c r="BX31" s="130"/>
      <c r="BY31" s="130"/>
      <c r="BZ31" s="130"/>
      <c r="CA31" s="130"/>
      <c r="CB31" s="130"/>
      <c r="CC31" s="130"/>
      <c r="CD31" s="130"/>
      <c r="CE31" s="130"/>
      <c r="CF31" s="130"/>
      <c r="CG31" s="130"/>
      <c r="CH31" s="130"/>
      <c r="CI31" s="130"/>
      <c r="CJ31" s="130"/>
      <c r="CK31" s="130"/>
      <c r="CL31" s="130"/>
      <c r="CM31" s="130"/>
      <c r="CN31" s="130"/>
      <c r="CO31" s="130"/>
      <c r="CP31" s="130"/>
      <c r="CQ31" s="130"/>
      <c r="CR31" s="130"/>
      <c r="CS31" s="130"/>
      <c r="CT31" s="130"/>
      <c r="CU31" s="130"/>
      <c r="CV31" s="130"/>
      <c r="CW31" s="130"/>
      <c r="CX31" s="130"/>
      <c r="CY31" s="130"/>
      <c r="CZ31" s="130"/>
      <c r="DA31" s="130"/>
      <c r="DB31" s="130"/>
      <c r="DC31" s="130"/>
      <c r="DD31" s="130"/>
      <c r="DE31" s="130"/>
      <c r="DF31" s="130"/>
      <c r="DG31" s="130"/>
      <c r="DH31" s="130"/>
      <c r="DI31" s="130"/>
      <c r="DJ31" s="130"/>
      <c r="DK31" s="130"/>
      <c r="DL31" s="130"/>
      <c r="DM31" s="130"/>
      <c r="DN31" s="130"/>
      <c r="DO31" s="130"/>
      <c r="DP31" s="130"/>
      <c r="DQ31" s="130"/>
      <c r="DR31" s="130"/>
      <c r="DS31" s="130"/>
      <c r="DT31" s="130"/>
      <c r="DU31" s="130"/>
      <c r="DV31" s="130"/>
      <c r="DW31" s="130"/>
      <c r="DX31" s="130"/>
      <c r="DY31" s="130"/>
      <c r="DZ31" s="130"/>
      <c r="EA31" s="130"/>
      <c r="EB31" s="130"/>
      <c r="EC31" s="130"/>
      <c r="ED31" s="130"/>
      <c r="EE31" s="130"/>
      <c r="EF31" s="130"/>
      <c r="EG31" s="130"/>
      <c r="EH31" s="130"/>
      <c r="EI31" s="130"/>
      <c r="EJ31" s="130"/>
      <c r="EK31" s="130"/>
      <c r="EL31" s="130"/>
      <c r="EM31" s="130"/>
      <c r="EN31" s="130"/>
      <c r="EO31" s="130"/>
      <c r="EP31" s="130"/>
      <c r="EQ31" s="130"/>
      <c r="ER31" s="130"/>
      <c r="ES31" s="130"/>
      <c r="ET31" s="130"/>
      <c r="EU31" s="130"/>
      <c r="EV31" s="130"/>
      <c r="EW31" s="130"/>
      <c r="EX31" s="130"/>
      <c r="EY31" s="130"/>
      <c r="EZ31" s="130"/>
      <c r="FA31" s="130"/>
      <c r="FB31" s="130"/>
      <c r="FC31" s="130"/>
      <c r="FD31" s="130"/>
      <c r="FE31" s="130"/>
      <c r="FF31" s="130"/>
      <c r="FG31" s="130"/>
      <c r="FH31" s="130"/>
      <c r="FI31" s="130"/>
      <c r="FJ31" s="130"/>
      <c r="FK31" s="130"/>
      <c r="FL31" s="130"/>
      <c r="FM31" s="130"/>
      <c r="FN31" s="130"/>
      <c r="FO31" s="130"/>
      <c r="FP31" s="130"/>
      <c r="FQ31" s="130"/>
      <c r="FR31" s="130"/>
      <c r="FS31" s="130"/>
      <c r="FT31" s="130"/>
      <c r="FU31" s="130"/>
      <c r="FV31" s="130"/>
      <c r="FW31" s="130"/>
      <c r="FX31" s="130"/>
      <c r="FY31" s="130"/>
      <c r="FZ31" s="130"/>
      <c r="GA31" s="130"/>
      <c r="GB31" s="130"/>
      <c r="GC31" s="130"/>
      <c r="GD31" s="130"/>
      <c r="GE31" s="130"/>
      <c r="GF31" s="130"/>
      <c r="GG31" s="130"/>
      <c r="GH31" s="130"/>
      <c r="GI31" s="130"/>
      <c r="GJ31" s="130"/>
      <c r="GK31" s="130"/>
      <c r="GL31" s="130"/>
      <c r="GM31" s="130"/>
      <c r="GN31" s="130"/>
      <c r="GO31" s="130"/>
      <c r="GP31" s="130"/>
      <c r="GQ31" s="130"/>
      <c r="GR31" s="130"/>
      <c r="GS31" s="130"/>
      <c r="GT31" s="130"/>
      <c r="GU31" s="130"/>
      <c r="GV31" s="130"/>
      <c r="GW31" s="130"/>
      <c r="GX31" s="130"/>
      <c r="GY31" s="130"/>
      <c r="GZ31" s="130"/>
      <c r="HA31" s="130"/>
      <c r="HB31" s="130"/>
      <c r="HC31" s="130"/>
      <c r="HD31" s="130"/>
      <c r="HE31" s="130"/>
      <c r="HF31" s="130"/>
      <c r="HG31" s="130"/>
      <c r="HH31" s="130"/>
      <c r="HI31" s="130"/>
      <c r="HJ31" s="130"/>
      <c r="HK31" s="130"/>
      <c r="HL31" s="130"/>
      <c r="HM31" s="130"/>
      <c r="HN31" s="130"/>
      <c r="HO31" s="130"/>
      <c r="HP31" s="130"/>
    </row>
    <row r="32" spans="1:224" s="131" customFormat="1" ht="20.25" customHeight="1" x14ac:dyDescent="0.2">
      <c r="A32" s="485"/>
      <c r="B32" s="136" t="s">
        <v>114</v>
      </c>
      <c r="C32" s="304"/>
      <c r="D32" s="304">
        <f t="shared" ref="D32:O38" si="8">D22-C22</f>
        <v>117</v>
      </c>
      <c r="E32" s="304">
        <f t="shared" si="8"/>
        <v>174</v>
      </c>
      <c r="F32" s="304">
        <f t="shared" si="8"/>
        <v>146</v>
      </c>
      <c r="G32" s="304">
        <f t="shared" si="8"/>
        <v>224</v>
      </c>
      <c r="H32" s="304">
        <f t="shared" si="8"/>
        <v>56</v>
      </c>
      <c r="I32" s="304">
        <f t="shared" si="8"/>
        <v>16</v>
      </c>
      <c r="J32" s="304">
        <f t="shared" si="8"/>
        <v>82</v>
      </c>
      <c r="K32" s="304">
        <f t="shared" si="8"/>
        <v>111</v>
      </c>
      <c r="L32" s="304">
        <f t="shared" si="8"/>
        <v>215</v>
      </c>
      <c r="M32" s="304">
        <f t="shared" si="8"/>
        <v>135</v>
      </c>
      <c r="N32" s="304">
        <f t="shared" si="8"/>
        <v>143</v>
      </c>
      <c r="O32" s="304">
        <f t="shared" si="8"/>
        <v>104</v>
      </c>
      <c r="P32" s="304">
        <f t="shared" ref="P32:R38" si="9">P22-O22</f>
        <v>112</v>
      </c>
      <c r="Q32" s="304">
        <f t="shared" si="9"/>
        <v>104</v>
      </c>
      <c r="R32" s="304">
        <f t="shared" si="9"/>
        <v>157</v>
      </c>
      <c r="S32" s="304">
        <f t="shared" ref="S32:AH32" si="10">S22-R22</f>
        <v>124</v>
      </c>
      <c r="T32" s="304">
        <f t="shared" si="10"/>
        <v>90</v>
      </c>
      <c r="U32" s="304">
        <f t="shared" si="10"/>
        <v>18</v>
      </c>
      <c r="V32" s="304">
        <f t="shared" si="10"/>
        <v>25</v>
      </c>
      <c r="W32" s="304">
        <f t="shared" si="10"/>
        <v>26</v>
      </c>
      <c r="X32" s="304">
        <f t="shared" si="10"/>
        <v>137</v>
      </c>
      <c r="Y32" s="304">
        <f t="shared" si="10"/>
        <v>69</v>
      </c>
      <c r="Z32" s="304">
        <f t="shared" si="10"/>
        <v>35</v>
      </c>
      <c r="AA32" s="304">
        <f t="shared" si="10"/>
        <v>35</v>
      </c>
      <c r="AB32" s="304">
        <f t="shared" si="10"/>
        <v>107</v>
      </c>
      <c r="AC32" s="304">
        <f t="shared" si="10"/>
        <v>47</v>
      </c>
      <c r="AD32" s="304">
        <f t="shared" si="10"/>
        <v>161</v>
      </c>
      <c r="AE32" s="304">
        <f t="shared" si="10"/>
        <v>110</v>
      </c>
      <c r="AF32" s="304">
        <f t="shared" si="10"/>
        <v>120</v>
      </c>
      <c r="AG32" s="304">
        <f t="shared" si="10"/>
        <v>175</v>
      </c>
      <c r="AH32" s="304">
        <f t="shared" si="10"/>
        <v>85</v>
      </c>
      <c r="AI32" s="320"/>
      <c r="AJ32" s="283">
        <f t="shared" si="4"/>
        <v>4.381720430107527</v>
      </c>
      <c r="AK32" s="130">
        <v>691</v>
      </c>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0"/>
      <c r="CQ32" s="130"/>
      <c r="CR32" s="130"/>
      <c r="CS32" s="130"/>
      <c r="CT32" s="130"/>
      <c r="CU32" s="130"/>
      <c r="CV32" s="130"/>
      <c r="CW32" s="130"/>
      <c r="CX32" s="130"/>
      <c r="CY32" s="130"/>
      <c r="CZ32" s="130"/>
      <c r="DA32" s="130"/>
      <c r="DB32" s="130"/>
      <c r="DC32" s="130"/>
      <c r="DD32" s="130"/>
      <c r="DE32" s="130"/>
      <c r="DF32" s="130"/>
      <c r="DG32" s="130"/>
      <c r="DH32" s="130"/>
      <c r="DI32" s="130"/>
      <c r="DJ32" s="130"/>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30"/>
      <c r="EP32" s="130"/>
      <c r="EQ32" s="130"/>
      <c r="ER32" s="130"/>
      <c r="ES32" s="130"/>
      <c r="ET32" s="130"/>
      <c r="EU32" s="130"/>
      <c r="EV32" s="130"/>
      <c r="EW32" s="130"/>
      <c r="EX32" s="130"/>
      <c r="EY32" s="130"/>
      <c r="EZ32" s="130"/>
      <c r="FA32" s="130"/>
      <c r="FB32" s="130"/>
      <c r="FC32" s="130"/>
      <c r="FD32" s="130"/>
      <c r="FE32" s="130"/>
      <c r="FF32" s="130"/>
      <c r="FG32" s="130"/>
      <c r="FH32" s="130"/>
      <c r="FI32" s="130"/>
      <c r="FJ32" s="130"/>
      <c r="FK32" s="130"/>
      <c r="FL32" s="130"/>
      <c r="FM32" s="130"/>
      <c r="FN32" s="130"/>
      <c r="FO32" s="130"/>
      <c r="FP32" s="130"/>
      <c r="FQ32" s="130"/>
      <c r="FR32" s="130"/>
      <c r="FS32" s="130"/>
      <c r="FT32" s="130"/>
      <c r="FU32" s="130"/>
      <c r="FV32" s="130"/>
      <c r="FW32" s="130"/>
      <c r="FX32" s="130"/>
      <c r="FY32" s="130"/>
      <c r="FZ32" s="130"/>
      <c r="GA32" s="130"/>
      <c r="GB32" s="130"/>
      <c r="GC32" s="130"/>
      <c r="GD32" s="130"/>
      <c r="GE32" s="130"/>
      <c r="GF32" s="130"/>
      <c r="GG32" s="130"/>
      <c r="GH32" s="130"/>
      <c r="GI32" s="130"/>
      <c r="GJ32" s="130"/>
      <c r="GK32" s="130"/>
      <c r="GL32" s="130"/>
      <c r="GM32" s="130"/>
      <c r="GN32" s="130"/>
      <c r="GO32" s="130"/>
      <c r="GP32" s="130"/>
      <c r="GQ32" s="130"/>
      <c r="GR32" s="130"/>
      <c r="GS32" s="130"/>
      <c r="GT32" s="130"/>
      <c r="GU32" s="130"/>
      <c r="GV32" s="130"/>
      <c r="GW32" s="130"/>
      <c r="GX32" s="130"/>
      <c r="GY32" s="130"/>
      <c r="GZ32" s="130"/>
      <c r="HA32" s="130"/>
      <c r="HB32" s="130"/>
      <c r="HC32" s="130"/>
      <c r="HD32" s="130"/>
      <c r="HE32" s="130"/>
      <c r="HF32" s="130"/>
      <c r="HG32" s="130"/>
      <c r="HH32" s="130"/>
      <c r="HI32" s="130"/>
      <c r="HJ32" s="130"/>
      <c r="HK32" s="130"/>
      <c r="HL32" s="130"/>
      <c r="HM32" s="130"/>
      <c r="HN32" s="130"/>
      <c r="HO32" s="130"/>
      <c r="HP32" s="130"/>
    </row>
    <row r="33" spans="1:224" s="131" customFormat="1" ht="20.25" customHeight="1" x14ac:dyDescent="0.2">
      <c r="A33" s="485"/>
      <c r="B33" s="136" t="s">
        <v>115</v>
      </c>
      <c r="C33" s="304"/>
      <c r="D33" s="304">
        <f t="shared" si="8"/>
        <v>111</v>
      </c>
      <c r="E33" s="304">
        <f t="shared" si="8"/>
        <v>150</v>
      </c>
      <c r="F33" s="304">
        <f t="shared" si="8"/>
        <v>30</v>
      </c>
      <c r="G33" s="304">
        <f t="shared" si="8"/>
        <v>37</v>
      </c>
      <c r="H33" s="304">
        <f t="shared" si="8"/>
        <v>375</v>
      </c>
      <c r="I33" s="304">
        <f t="shared" si="8"/>
        <v>112</v>
      </c>
      <c r="J33" s="304">
        <f t="shared" si="8"/>
        <v>51</v>
      </c>
      <c r="K33" s="304">
        <f t="shared" si="8"/>
        <v>217</v>
      </c>
      <c r="L33" s="304">
        <f t="shared" si="8"/>
        <v>181</v>
      </c>
      <c r="M33" s="304">
        <f t="shared" si="8"/>
        <v>53</v>
      </c>
      <c r="N33" s="304">
        <f t="shared" si="8"/>
        <v>17</v>
      </c>
      <c r="O33" s="304">
        <f t="shared" si="8"/>
        <v>7</v>
      </c>
      <c r="P33" s="304">
        <f t="shared" si="9"/>
        <v>75</v>
      </c>
      <c r="Q33" s="304">
        <f t="shared" si="9"/>
        <v>1</v>
      </c>
      <c r="R33" s="304">
        <f t="shared" si="9"/>
        <v>35</v>
      </c>
      <c r="S33" s="304">
        <f t="shared" ref="S33:AH33" si="11">S23-R23</f>
        <v>28</v>
      </c>
      <c r="T33" s="304">
        <f t="shared" si="11"/>
        <v>38</v>
      </c>
      <c r="U33" s="304">
        <f t="shared" si="11"/>
        <v>24</v>
      </c>
      <c r="V33" s="304">
        <f t="shared" si="11"/>
        <v>51</v>
      </c>
      <c r="W33" s="304">
        <f t="shared" si="11"/>
        <v>31</v>
      </c>
      <c r="X33" s="304">
        <f t="shared" si="11"/>
        <v>60</v>
      </c>
      <c r="Y33" s="304">
        <f t="shared" si="11"/>
        <v>58</v>
      </c>
      <c r="Z33" s="304">
        <f t="shared" si="11"/>
        <v>16</v>
      </c>
      <c r="AA33" s="304">
        <f t="shared" si="11"/>
        <v>42</v>
      </c>
      <c r="AB33" s="304">
        <f t="shared" si="11"/>
        <v>204</v>
      </c>
      <c r="AC33" s="304">
        <f t="shared" si="11"/>
        <v>16</v>
      </c>
      <c r="AD33" s="304">
        <f t="shared" si="11"/>
        <v>28</v>
      </c>
      <c r="AE33" s="304">
        <f t="shared" si="11"/>
        <v>17</v>
      </c>
      <c r="AF33" s="304">
        <f t="shared" si="11"/>
        <v>26</v>
      </c>
      <c r="AG33" s="304">
        <f t="shared" si="11"/>
        <v>11</v>
      </c>
      <c r="AH33" s="304">
        <f t="shared" si="11"/>
        <v>16</v>
      </c>
      <c r="AI33" s="320"/>
      <c r="AJ33" s="283">
        <f t="shared" si="4"/>
        <v>2.8467741935483875</v>
      </c>
      <c r="AK33" s="130">
        <v>683</v>
      </c>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c r="CX33" s="130"/>
      <c r="CY33" s="130"/>
      <c r="CZ33" s="130"/>
      <c r="DA33" s="130"/>
      <c r="DB33" s="130"/>
      <c r="DC33" s="130"/>
      <c r="DD33" s="130"/>
      <c r="DE33" s="130"/>
      <c r="DF33" s="130"/>
      <c r="DG33" s="130"/>
      <c r="DH33" s="130"/>
      <c r="DI33" s="130"/>
      <c r="DJ33" s="130"/>
      <c r="DK33" s="130"/>
      <c r="DL33" s="130"/>
      <c r="DM33" s="130"/>
      <c r="DN33" s="130"/>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0"/>
      <c r="GJ33" s="130"/>
      <c r="GK33" s="130"/>
      <c r="GL33" s="130"/>
      <c r="GM33" s="130"/>
      <c r="GN33" s="130"/>
      <c r="GO33" s="130"/>
      <c r="GP33" s="130"/>
      <c r="GQ33" s="130"/>
      <c r="GR33" s="130"/>
      <c r="GS33" s="130"/>
      <c r="GT33" s="130"/>
      <c r="GU33" s="130"/>
      <c r="GV33" s="130"/>
      <c r="GW33" s="130"/>
      <c r="GX33" s="130"/>
      <c r="GY33" s="130"/>
      <c r="GZ33" s="130"/>
      <c r="HA33" s="130"/>
      <c r="HB33" s="130"/>
      <c r="HC33" s="130"/>
      <c r="HD33" s="130"/>
      <c r="HE33" s="130"/>
      <c r="HF33" s="130"/>
      <c r="HG33" s="130"/>
      <c r="HH33" s="130"/>
      <c r="HI33" s="130"/>
      <c r="HJ33" s="130"/>
      <c r="HK33" s="130"/>
      <c r="HL33" s="130"/>
      <c r="HM33" s="130"/>
      <c r="HN33" s="130"/>
      <c r="HO33" s="130"/>
      <c r="HP33" s="130"/>
    </row>
    <row r="34" spans="1:224" s="131" customFormat="1" ht="20.25" customHeight="1" x14ac:dyDescent="0.2">
      <c r="A34" s="485"/>
      <c r="B34" s="136" t="s">
        <v>116</v>
      </c>
      <c r="C34" s="304"/>
      <c r="D34" s="304">
        <f t="shared" si="8"/>
        <v>8</v>
      </c>
      <c r="E34" s="304">
        <f t="shared" si="8"/>
        <v>2</v>
      </c>
      <c r="F34" s="304">
        <f t="shared" si="8"/>
        <v>2</v>
      </c>
      <c r="G34" s="304">
        <f t="shared" si="8"/>
        <v>2</v>
      </c>
      <c r="H34" s="304">
        <f t="shared" si="8"/>
        <v>1</v>
      </c>
      <c r="I34" s="304">
        <f t="shared" si="8"/>
        <v>2</v>
      </c>
      <c r="J34" s="304">
        <f t="shared" si="8"/>
        <v>7</v>
      </c>
      <c r="K34" s="304">
        <f t="shared" si="8"/>
        <v>1</v>
      </c>
      <c r="L34" s="304">
        <f t="shared" si="8"/>
        <v>4</v>
      </c>
      <c r="M34" s="304">
        <f t="shared" si="8"/>
        <v>2</v>
      </c>
      <c r="N34" s="304">
        <f t="shared" si="8"/>
        <v>5</v>
      </c>
      <c r="O34" s="304">
        <f t="shared" si="8"/>
        <v>1</v>
      </c>
      <c r="P34" s="304">
        <f t="shared" si="9"/>
        <v>0</v>
      </c>
      <c r="Q34" s="304">
        <f t="shared" si="9"/>
        <v>2</v>
      </c>
      <c r="R34" s="304">
        <f t="shared" si="9"/>
        <v>2</v>
      </c>
      <c r="S34" s="304">
        <f t="shared" ref="S34:AH34" si="12">S24-R24</f>
        <v>2</v>
      </c>
      <c r="T34" s="304">
        <f t="shared" si="12"/>
        <v>0</v>
      </c>
      <c r="U34" s="304">
        <f t="shared" si="12"/>
        <v>4</v>
      </c>
      <c r="V34" s="304">
        <f t="shared" si="12"/>
        <v>3</v>
      </c>
      <c r="W34" s="304">
        <f t="shared" si="12"/>
        <v>4</v>
      </c>
      <c r="X34" s="304">
        <f t="shared" si="12"/>
        <v>2</v>
      </c>
      <c r="Y34" s="304">
        <f t="shared" si="12"/>
        <v>2</v>
      </c>
      <c r="Z34" s="304">
        <f t="shared" si="12"/>
        <v>1</v>
      </c>
      <c r="AA34" s="304">
        <f t="shared" si="12"/>
        <v>2</v>
      </c>
      <c r="AB34" s="304">
        <f t="shared" si="12"/>
        <v>23</v>
      </c>
      <c r="AC34" s="304">
        <f t="shared" si="12"/>
        <v>3</v>
      </c>
      <c r="AD34" s="304">
        <f t="shared" si="12"/>
        <v>6</v>
      </c>
      <c r="AE34" s="304">
        <f t="shared" si="12"/>
        <v>5</v>
      </c>
      <c r="AF34" s="304">
        <f t="shared" si="12"/>
        <v>4</v>
      </c>
      <c r="AG34" s="304">
        <f t="shared" si="12"/>
        <v>8</v>
      </c>
      <c r="AH34" s="304">
        <f t="shared" si="12"/>
        <v>7</v>
      </c>
      <c r="AI34" s="320"/>
      <c r="AJ34" s="283">
        <f t="shared" si="4"/>
        <v>0.15725806451612903</v>
      </c>
      <c r="AK34" s="130">
        <v>699</v>
      </c>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c r="CX34" s="130"/>
      <c r="CY34" s="130"/>
      <c r="CZ34" s="130"/>
      <c r="DA34" s="130"/>
      <c r="DB34" s="130"/>
      <c r="DC34" s="130"/>
      <c r="DD34" s="130"/>
      <c r="DE34" s="130"/>
      <c r="DF34" s="130"/>
      <c r="DG34" s="130"/>
      <c r="DH34" s="130"/>
      <c r="DI34" s="130"/>
      <c r="DJ34" s="130"/>
      <c r="DK34" s="130"/>
      <c r="DL34" s="130"/>
      <c r="DM34" s="130"/>
      <c r="DN34" s="130"/>
      <c r="DO34" s="130"/>
      <c r="DP34" s="130"/>
      <c r="DQ34" s="130"/>
      <c r="DR34" s="130"/>
      <c r="DS34" s="130"/>
      <c r="DT34" s="130"/>
      <c r="DU34" s="130"/>
      <c r="DV34" s="130"/>
      <c r="DW34" s="130"/>
      <c r="DX34" s="130"/>
      <c r="DY34" s="130"/>
      <c r="DZ34" s="130"/>
      <c r="EA34" s="130"/>
      <c r="EB34" s="130"/>
      <c r="EC34" s="130"/>
      <c r="ED34" s="130"/>
      <c r="EE34" s="130"/>
      <c r="EF34" s="130"/>
      <c r="EG34" s="130"/>
      <c r="EH34" s="130"/>
      <c r="EI34" s="130"/>
      <c r="EJ34" s="130"/>
      <c r="EK34" s="130"/>
      <c r="EL34" s="130"/>
      <c r="EM34" s="130"/>
      <c r="EN34" s="130"/>
      <c r="EO34" s="130"/>
      <c r="EP34" s="130"/>
      <c r="EQ34" s="130"/>
      <c r="ER34" s="130"/>
      <c r="ES34" s="130"/>
      <c r="ET34" s="130"/>
      <c r="EU34" s="130"/>
      <c r="EV34" s="130"/>
      <c r="EW34" s="130"/>
      <c r="EX34" s="130"/>
      <c r="EY34" s="130"/>
      <c r="EZ34" s="130"/>
      <c r="FA34" s="130"/>
      <c r="FB34" s="130"/>
      <c r="FC34" s="130"/>
      <c r="FD34" s="130"/>
      <c r="FE34" s="130"/>
      <c r="FF34" s="130"/>
      <c r="FG34" s="130"/>
      <c r="FH34" s="130"/>
      <c r="FI34" s="130"/>
      <c r="FJ34" s="130"/>
      <c r="FK34" s="130"/>
      <c r="FL34" s="130"/>
      <c r="FM34" s="130"/>
      <c r="FN34" s="130"/>
      <c r="FO34" s="130"/>
      <c r="FP34" s="130"/>
      <c r="FQ34" s="130"/>
      <c r="FR34" s="130"/>
      <c r="FS34" s="130"/>
      <c r="FT34" s="130"/>
      <c r="FU34" s="130"/>
      <c r="FV34" s="130"/>
      <c r="FW34" s="130"/>
      <c r="FX34" s="130"/>
      <c r="FY34" s="130"/>
      <c r="FZ34" s="130"/>
      <c r="GA34" s="130"/>
      <c r="GB34" s="130"/>
      <c r="GC34" s="130"/>
      <c r="GD34" s="130"/>
      <c r="GE34" s="130"/>
      <c r="GF34" s="130"/>
      <c r="GG34" s="130"/>
      <c r="GH34" s="130"/>
      <c r="GI34" s="130"/>
      <c r="GJ34" s="130"/>
      <c r="GK34" s="130"/>
      <c r="GL34" s="130"/>
      <c r="GM34" s="130"/>
      <c r="GN34" s="130"/>
      <c r="GO34" s="130"/>
      <c r="GP34" s="130"/>
      <c r="GQ34" s="130"/>
      <c r="GR34" s="130"/>
      <c r="GS34" s="130"/>
      <c r="GT34" s="130"/>
      <c r="GU34" s="130"/>
      <c r="GV34" s="130"/>
      <c r="GW34" s="130"/>
      <c r="GX34" s="130"/>
      <c r="GY34" s="130"/>
      <c r="GZ34" s="130"/>
      <c r="HA34" s="130"/>
      <c r="HB34" s="130"/>
      <c r="HC34" s="130"/>
      <c r="HD34" s="130"/>
      <c r="HE34" s="130"/>
      <c r="HF34" s="130"/>
      <c r="HG34" s="130"/>
      <c r="HH34" s="130"/>
      <c r="HI34" s="130"/>
      <c r="HJ34" s="130"/>
      <c r="HK34" s="130"/>
      <c r="HL34" s="130"/>
      <c r="HM34" s="130"/>
      <c r="HN34" s="130"/>
      <c r="HO34" s="130"/>
      <c r="HP34" s="130"/>
    </row>
    <row r="35" spans="1:224" s="131" customFormat="1" ht="20.25" customHeight="1" x14ac:dyDescent="0.2">
      <c r="A35" s="485"/>
      <c r="B35" s="136" t="s">
        <v>117</v>
      </c>
      <c r="C35" s="304"/>
      <c r="D35" s="304">
        <f t="shared" si="8"/>
        <v>556</v>
      </c>
      <c r="E35" s="304">
        <f t="shared" si="8"/>
        <v>978</v>
      </c>
      <c r="F35" s="304">
        <f t="shared" si="8"/>
        <v>860</v>
      </c>
      <c r="G35" s="304">
        <f t="shared" si="8"/>
        <v>768</v>
      </c>
      <c r="H35" s="304">
        <f t="shared" si="8"/>
        <v>887</v>
      </c>
      <c r="I35" s="304">
        <f t="shared" si="8"/>
        <v>926</v>
      </c>
      <c r="J35" s="304">
        <f t="shared" si="8"/>
        <v>853</v>
      </c>
      <c r="K35" s="304">
        <f t="shared" si="8"/>
        <v>813</v>
      </c>
      <c r="L35" s="304">
        <f t="shared" si="8"/>
        <v>750</v>
      </c>
      <c r="M35" s="304">
        <f t="shared" si="8"/>
        <v>641</v>
      </c>
      <c r="N35" s="304">
        <f t="shared" si="8"/>
        <v>564</v>
      </c>
      <c r="O35" s="304">
        <f t="shared" si="8"/>
        <v>562</v>
      </c>
      <c r="P35" s="304">
        <f t="shared" si="9"/>
        <v>531</v>
      </c>
      <c r="Q35" s="304">
        <f t="shared" si="9"/>
        <v>572</v>
      </c>
      <c r="R35" s="304">
        <f t="shared" si="9"/>
        <v>550</v>
      </c>
      <c r="S35" s="304">
        <f t="shared" ref="S35:AH35" si="13">S25-R25</f>
        <v>535</v>
      </c>
      <c r="T35" s="304">
        <f t="shared" si="13"/>
        <v>586</v>
      </c>
      <c r="U35" s="304">
        <f t="shared" si="13"/>
        <v>592</v>
      </c>
      <c r="V35" s="304">
        <f t="shared" si="13"/>
        <v>608</v>
      </c>
      <c r="W35" s="304">
        <f t="shared" si="13"/>
        <v>585</v>
      </c>
      <c r="X35" s="304">
        <f t="shared" si="13"/>
        <v>553</v>
      </c>
      <c r="Y35" s="304">
        <f t="shared" si="13"/>
        <v>597</v>
      </c>
      <c r="Z35" s="304">
        <f t="shared" si="13"/>
        <v>627</v>
      </c>
      <c r="AA35" s="304">
        <f t="shared" si="13"/>
        <v>628</v>
      </c>
      <c r="AB35" s="304">
        <f t="shared" si="13"/>
        <v>674</v>
      </c>
      <c r="AC35" s="304">
        <f t="shared" si="13"/>
        <v>672</v>
      </c>
      <c r="AD35" s="304">
        <f t="shared" si="13"/>
        <v>786</v>
      </c>
      <c r="AE35" s="304">
        <f t="shared" si="13"/>
        <v>787</v>
      </c>
      <c r="AF35" s="304">
        <f t="shared" si="13"/>
        <v>787</v>
      </c>
      <c r="AG35" s="304">
        <f t="shared" si="13"/>
        <v>778</v>
      </c>
      <c r="AH35" s="304">
        <f t="shared" si="13"/>
        <v>757</v>
      </c>
      <c r="AI35" s="320"/>
      <c r="AJ35" s="283">
        <f t="shared" si="4"/>
        <v>28.713709677419356</v>
      </c>
      <c r="AK35" s="130">
        <v>689</v>
      </c>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0"/>
      <c r="CQ35" s="130"/>
      <c r="CR35" s="130"/>
      <c r="CS35" s="130"/>
      <c r="CT35" s="130"/>
      <c r="CU35" s="130"/>
      <c r="CV35" s="130"/>
      <c r="CW35" s="130"/>
      <c r="CX35" s="130"/>
      <c r="CY35" s="130"/>
      <c r="CZ35" s="130"/>
      <c r="DA35" s="130"/>
      <c r="DB35" s="130"/>
      <c r="DC35" s="130"/>
      <c r="DD35" s="130"/>
      <c r="DE35" s="130"/>
      <c r="DF35" s="130"/>
      <c r="DG35" s="130"/>
      <c r="DH35" s="130"/>
      <c r="DI35" s="130"/>
      <c r="DJ35" s="130"/>
      <c r="DK35" s="130"/>
      <c r="DL35" s="130"/>
      <c r="DM35" s="130"/>
      <c r="DN35" s="130"/>
      <c r="DO35" s="130"/>
      <c r="DP35" s="130"/>
      <c r="DQ35" s="130"/>
      <c r="DR35" s="130"/>
      <c r="DS35" s="130"/>
      <c r="DT35" s="130"/>
      <c r="DU35" s="130"/>
      <c r="DV35" s="130"/>
      <c r="DW35" s="130"/>
      <c r="DX35" s="130"/>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c r="FJ35" s="130"/>
      <c r="FK35" s="130"/>
      <c r="FL35" s="130"/>
      <c r="FM35" s="130"/>
      <c r="FN35" s="130"/>
      <c r="FO35" s="130"/>
      <c r="FP35" s="130"/>
      <c r="FQ35" s="130"/>
      <c r="FR35" s="130"/>
      <c r="FS35" s="130"/>
      <c r="FT35" s="130"/>
      <c r="FU35" s="130"/>
      <c r="FV35" s="130"/>
      <c r="FW35" s="130"/>
      <c r="FX35" s="130"/>
      <c r="FY35" s="130"/>
      <c r="FZ35" s="130"/>
      <c r="GA35" s="130"/>
      <c r="GB35" s="130"/>
      <c r="GC35" s="130"/>
      <c r="GD35" s="130"/>
      <c r="GE35" s="130"/>
      <c r="GF35" s="130"/>
      <c r="GG35" s="130"/>
      <c r="GH35" s="130"/>
      <c r="GI35" s="130"/>
      <c r="GJ35" s="130"/>
      <c r="GK35" s="130"/>
      <c r="GL35" s="130"/>
      <c r="GM35" s="130"/>
      <c r="GN35" s="130"/>
      <c r="GO35" s="130"/>
      <c r="GP35" s="130"/>
      <c r="GQ35" s="130"/>
      <c r="GR35" s="130"/>
      <c r="GS35" s="130"/>
      <c r="GT35" s="130"/>
      <c r="GU35" s="130"/>
      <c r="GV35" s="130"/>
      <c r="GW35" s="130"/>
      <c r="GX35" s="130"/>
      <c r="GY35" s="130"/>
      <c r="GZ35" s="130"/>
      <c r="HA35" s="130"/>
      <c r="HB35" s="130"/>
      <c r="HC35" s="130"/>
      <c r="HD35" s="130"/>
      <c r="HE35" s="130"/>
      <c r="HF35" s="130"/>
      <c r="HG35" s="130"/>
      <c r="HH35" s="130"/>
      <c r="HI35" s="130"/>
      <c r="HJ35" s="130"/>
      <c r="HK35" s="130"/>
      <c r="HL35" s="130"/>
      <c r="HM35" s="130"/>
      <c r="HN35" s="130"/>
      <c r="HO35" s="130"/>
      <c r="HP35" s="130"/>
    </row>
    <row r="36" spans="1:224" ht="27" customHeight="1" x14ac:dyDescent="0.2">
      <c r="A36" s="485"/>
      <c r="B36" s="136" t="s">
        <v>118</v>
      </c>
      <c r="C36" s="304"/>
      <c r="D36" s="304">
        <f t="shared" ref="D36:O36" si="14">D26-C26</f>
        <v>3016</v>
      </c>
      <c r="E36" s="304">
        <f t="shared" si="14"/>
        <v>2381.390000000014</v>
      </c>
      <c r="F36" s="304">
        <f t="shared" si="14"/>
        <v>2816.1999999999825</v>
      </c>
      <c r="G36" s="304">
        <f t="shared" si="14"/>
        <v>2895.4100000000035</v>
      </c>
      <c r="H36" s="304">
        <f t="shared" si="14"/>
        <v>2447</v>
      </c>
      <c r="I36" s="304">
        <f t="shared" si="14"/>
        <v>2714</v>
      </c>
      <c r="J36" s="304">
        <f t="shared" si="14"/>
        <v>2931</v>
      </c>
      <c r="K36" s="304">
        <f t="shared" si="14"/>
        <v>2992</v>
      </c>
      <c r="L36" s="304">
        <f t="shared" si="14"/>
        <v>2943</v>
      </c>
      <c r="M36" s="304">
        <f t="shared" si="14"/>
        <v>2445</v>
      </c>
      <c r="N36" s="304">
        <f t="shared" si="14"/>
        <v>3567</v>
      </c>
      <c r="O36" s="304">
        <f t="shared" si="14"/>
        <v>3036</v>
      </c>
      <c r="P36" s="304">
        <f t="shared" si="9"/>
        <v>3053</v>
      </c>
      <c r="Q36" s="304">
        <f t="shared" si="9"/>
        <v>3069</v>
      </c>
      <c r="R36" s="304">
        <f t="shared" si="9"/>
        <v>3087</v>
      </c>
      <c r="S36" s="304">
        <f t="shared" ref="S36:AH36" si="15">S26-R26</f>
        <v>3042</v>
      </c>
      <c r="T36" s="304">
        <f t="shared" si="15"/>
        <v>3005</v>
      </c>
      <c r="U36" s="304">
        <f t="shared" si="15"/>
        <v>3024</v>
      </c>
      <c r="V36" s="304">
        <f t="shared" si="15"/>
        <v>2972</v>
      </c>
      <c r="W36" s="304">
        <f t="shared" si="15"/>
        <v>3009.710000000021</v>
      </c>
      <c r="X36" s="304">
        <f t="shared" si="15"/>
        <v>3098.289999999979</v>
      </c>
      <c r="Y36" s="304">
        <f t="shared" si="15"/>
        <v>3022</v>
      </c>
      <c r="Z36" s="304">
        <f t="shared" si="15"/>
        <v>3014</v>
      </c>
      <c r="AA36" s="304">
        <f t="shared" si="15"/>
        <v>3038</v>
      </c>
      <c r="AB36" s="304">
        <f t="shared" si="15"/>
        <v>3068</v>
      </c>
      <c r="AC36" s="304">
        <f t="shared" si="15"/>
        <v>2987</v>
      </c>
      <c r="AD36" s="304">
        <f t="shared" si="15"/>
        <v>2776</v>
      </c>
      <c r="AE36" s="304">
        <f t="shared" si="15"/>
        <v>2742</v>
      </c>
      <c r="AF36" s="304">
        <f t="shared" si="15"/>
        <v>2698</v>
      </c>
      <c r="AG36" s="304">
        <f t="shared" si="15"/>
        <v>2860</v>
      </c>
      <c r="AH36" s="304">
        <f t="shared" si="15"/>
        <v>2914</v>
      </c>
      <c r="AI36" s="320"/>
      <c r="AJ36" s="283">
        <f t="shared" si="4"/>
        <v>121.85887096774194</v>
      </c>
      <c r="AK36" s="120">
        <v>734</v>
      </c>
    </row>
    <row r="37" spans="1:224" ht="20.25" customHeight="1" x14ac:dyDescent="0.2">
      <c r="A37" s="485"/>
      <c r="B37" s="136" t="s">
        <v>119</v>
      </c>
      <c r="C37" s="304"/>
      <c r="D37" s="304">
        <f t="shared" si="8"/>
        <v>103</v>
      </c>
      <c r="E37" s="304">
        <f t="shared" si="8"/>
        <v>45.918999999999869</v>
      </c>
      <c r="F37" s="304">
        <f t="shared" si="8"/>
        <v>76.998999999999796</v>
      </c>
      <c r="G37" s="304">
        <f t="shared" si="8"/>
        <v>121.08200000000033</v>
      </c>
      <c r="H37" s="304">
        <f t="shared" si="8"/>
        <v>25</v>
      </c>
      <c r="I37" s="304">
        <f t="shared" si="8"/>
        <v>4</v>
      </c>
      <c r="J37" s="304">
        <f t="shared" si="8"/>
        <v>37</v>
      </c>
      <c r="K37" s="304">
        <f t="shared" si="8"/>
        <v>57</v>
      </c>
      <c r="L37" s="304">
        <f t="shared" si="8"/>
        <v>115</v>
      </c>
      <c r="M37" s="304">
        <f t="shared" si="8"/>
        <v>46</v>
      </c>
      <c r="N37" s="304">
        <f t="shared" si="8"/>
        <v>54</v>
      </c>
      <c r="O37" s="304">
        <f t="shared" si="8"/>
        <v>6</v>
      </c>
      <c r="P37" s="304">
        <f t="shared" si="9"/>
        <v>15</v>
      </c>
      <c r="Q37" s="304">
        <f t="shared" si="9"/>
        <v>9</v>
      </c>
      <c r="R37" s="304">
        <f t="shared" si="9"/>
        <v>59</v>
      </c>
      <c r="S37" s="304">
        <f t="shared" ref="S37:AH37" si="16">S27-R27</f>
        <v>31</v>
      </c>
      <c r="T37" s="304">
        <f t="shared" si="16"/>
        <v>18</v>
      </c>
      <c r="U37" s="304">
        <f t="shared" si="16"/>
        <v>4</v>
      </c>
      <c r="V37" s="304">
        <f t="shared" si="16"/>
        <v>3</v>
      </c>
      <c r="W37" s="304">
        <f t="shared" si="16"/>
        <v>8.1149999999997817</v>
      </c>
      <c r="X37" s="304">
        <f t="shared" si="16"/>
        <v>66.885000000000218</v>
      </c>
      <c r="Y37" s="304">
        <f t="shared" si="16"/>
        <v>29</v>
      </c>
      <c r="Z37" s="304">
        <f t="shared" si="16"/>
        <v>6</v>
      </c>
      <c r="AA37" s="304">
        <f t="shared" si="16"/>
        <v>12</v>
      </c>
      <c r="AB37" s="304">
        <f t="shared" si="16"/>
        <v>45</v>
      </c>
      <c r="AC37" s="304">
        <f t="shared" si="16"/>
        <v>21</v>
      </c>
      <c r="AD37" s="304">
        <f t="shared" si="16"/>
        <v>81</v>
      </c>
      <c r="AE37" s="304">
        <f t="shared" si="16"/>
        <v>50</v>
      </c>
      <c r="AF37" s="304">
        <f t="shared" si="16"/>
        <v>55</v>
      </c>
      <c r="AG37" s="304">
        <f t="shared" si="16"/>
        <v>90</v>
      </c>
      <c r="AH37" s="304">
        <f t="shared" si="16"/>
        <v>31</v>
      </c>
      <c r="AI37" s="320"/>
      <c r="AJ37" s="283">
        <f t="shared" si="4"/>
        <v>1.7809139784946237</v>
      </c>
      <c r="AK37" s="120">
        <v>732</v>
      </c>
    </row>
    <row r="38" spans="1:224" s="131" customFormat="1" ht="36.75" customHeight="1" x14ac:dyDescent="0.2">
      <c r="A38" s="485"/>
      <c r="B38" s="136" t="s">
        <v>120</v>
      </c>
      <c r="C38" s="304"/>
      <c r="D38" s="304">
        <f t="shared" si="8"/>
        <v>450</v>
      </c>
      <c r="E38" s="304">
        <f t="shared" si="8"/>
        <v>613</v>
      </c>
      <c r="F38" s="304">
        <f t="shared" si="8"/>
        <v>691</v>
      </c>
      <c r="G38" s="304">
        <f t="shared" si="8"/>
        <v>659</v>
      </c>
      <c r="H38" s="304">
        <f t="shared" si="8"/>
        <v>733</v>
      </c>
      <c r="I38" s="304">
        <f t="shared" si="8"/>
        <v>684</v>
      </c>
      <c r="J38" s="304">
        <f t="shared" si="8"/>
        <v>648</v>
      </c>
      <c r="K38" s="304">
        <f t="shared" si="8"/>
        <v>578</v>
      </c>
      <c r="L38" s="304">
        <f t="shared" si="8"/>
        <v>707</v>
      </c>
      <c r="M38" s="304">
        <f t="shared" si="8"/>
        <v>1062</v>
      </c>
      <c r="N38" s="304">
        <f t="shared" si="8"/>
        <v>67</v>
      </c>
      <c r="O38" s="304">
        <f t="shared" si="8"/>
        <v>282</v>
      </c>
      <c r="P38" s="304">
        <f t="shared" si="9"/>
        <v>389</v>
      </c>
      <c r="Q38" s="304">
        <f t="shared" si="9"/>
        <v>461</v>
      </c>
      <c r="R38" s="304">
        <f t="shared" si="9"/>
        <v>447</v>
      </c>
      <c r="S38" s="304">
        <f t="shared" ref="S38:AH38" si="17">S28-R28</f>
        <v>418</v>
      </c>
      <c r="T38" s="304">
        <f t="shared" si="17"/>
        <v>452</v>
      </c>
      <c r="U38" s="304">
        <f t="shared" si="17"/>
        <v>433</v>
      </c>
      <c r="V38" s="304">
        <f t="shared" si="17"/>
        <v>455</v>
      </c>
      <c r="W38" s="304">
        <f t="shared" si="17"/>
        <v>418</v>
      </c>
      <c r="X38" s="304">
        <f t="shared" si="17"/>
        <v>451</v>
      </c>
      <c r="Y38" s="304">
        <f t="shared" si="17"/>
        <v>437</v>
      </c>
      <c r="Z38" s="304">
        <f t="shared" si="17"/>
        <v>434</v>
      </c>
      <c r="AA38" s="304">
        <f t="shared" si="17"/>
        <v>444</v>
      </c>
      <c r="AB38" s="304">
        <f t="shared" si="17"/>
        <v>453</v>
      </c>
      <c r="AC38" s="304">
        <f t="shared" si="17"/>
        <v>475</v>
      </c>
      <c r="AD38" s="304">
        <f t="shared" si="17"/>
        <v>659</v>
      </c>
      <c r="AE38" s="304">
        <f t="shared" si="17"/>
        <v>640</v>
      </c>
      <c r="AF38" s="304">
        <f t="shared" si="17"/>
        <v>613</v>
      </c>
      <c r="AG38" s="304">
        <f t="shared" si="17"/>
        <v>670</v>
      </c>
      <c r="AH38" s="304">
        <f t="shared" si="17"/>
        <v>594</v>
      </c>
      <c r="AI38" s="320"/>
      <c r="AJ38" s="283">
        <f t="shared" si="4"/>
        <v>22.2002688172043</v>
      </c>
      <c r="AK38" s="130">
        <v>691</v>
      </c>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0"/>
      <c r="CQ38" s="130"/>
      <c r="CR38" s="130"/>
      <c r="CS38" s="130"/>
      <c r="CT38" s="130"/>
      <c r="CU38" s="130"/>
      <c r="CV38" s="130"/>
      <c r="CW38" s="130"/>
      <c r="CX38" s="130"/>
      <c r="CY38" s="130"/>
      <c r="CZ38" s="130"/>
      <c r="DA38" s="130"/>
      <c r="DB38" s="130"/>
      <c r="DC38" s="130"/>
      <c r="DD38" s="130"/>
      <c r="DE38" s="130"/>
      <c r="DF38" s="130"/>
      <c r="DG38" s="130"/>
      <c r="DH38" s="130"/>
      <c r="DI38" s="130"/>
      <c r="DJ38" s="130"/>
      <c r="DK38" s="130"/>
      <c r="DL38" s="130"/>
      <c r="DM38" s="130"/>
      <c r="DN38" s="130"/>
      <c r="DO38" s="130"/>
      <c r="DP38" s="130"/>
      <c r="DQ38" s="130"/>
      <c r="DR38" s="130"/>
      <c r="DS38" s="130"/>
      <c r="DT38" s="130"/>
      <c r="DU38" s="130"/>
      <c r="DV38" s="130"/>
      <c r="DW38" s="130"/>
      <c r="DX38" s="130"/>
      <c r="DY38" s="130"/>
      <c r="DZ38" s="130"/>
      <c r="EA38" s="130"/>
      <c r="EB38" s="130"/>
      <c r="EC38" s="130"/>
      <c r="ED38" s="130"/>
      <c r="EE38" s="130"/>
      <c r="EF38" s="130"/>
      <c r="EG38" s="130"/>
      <c r="EH38" s="130"/>
      <c r="EI38" s="130"/>
      <c r="EJ38" s="130"/>
      <c r="EK38" s="130"/>
      <c r="EL38" s="130"/>
      <c r="EM38" s="130"/>
      <c r="EN38" s="130"/>
      <c r="EO38" s="130"/>
      <c r="EP38" s="130"/>
      <c r="EQ38" s="130"/>
      <c r="ER38" s="130"/>
      <c r="ES38" s="130"/>
      <c r="ET38" s="130"/>
      <c r="EU38" s="130"/>
      <c r="EV38" s="130"/>
      <c r="EW38" s="130"/>
      <c r="EX38" s="130"/>
      <c r="EY38" s="130"/>
      <c r="EZ38" s="130"/>
      <c r="FA38" s="130"/>
      <c r="FB38" s="130"/>
      <c r="FC38" s="130"/>
      <c r="FD38" s="130"/>
      <c r="FE38" s="130"/>
      <c r="FF38" s="130"/>
      <c r="FG38" s="130"/>
      <c r="FH38" s="130"/>
      <c r="FI38" s="130"/>
      <c r="FJ38" s="130"/>
      <c r="FK38" s="130"/>
      <c r="FL38" s="130"/>
      <c r="FM38" s="130"/>
      <c r="FN38" s="130"/>
      <c r="FO38" s="130"/>
      <c r="FP38" s="130"/>
      <c r="FQ38" s="130"/>
      <c r="FR38" s="130"/>
      <c r="FS38" s="130"/>
      <c r="FT38" s="130"/>
      <c r="FU38" s="130"/>
      <c r="FV38" s="130"/>
      <c r="FW38" s="130"/>
      <c r="FX38" s="130"/>
      <c r="FY38" s="130"/>
      <c r="FZ38" s="130"/>
      <c r="GA38" s="130"/>
      <c r="GB38" s="130"/>
      <c r="GC38" s="130"/>
      <c r="GD38" s="130"/>
      <c r="GE38" s="130"/>
      <c r="GF38" s="130"/>
      <c r="GG38" s="130"/>
      <c r="GH38" s="130"/>
      <c r="GI38" s="130"/>
      <c r="GJ38" s="130"/>
      <c r="GK38" s="130"/>
      <c r="GL38" s="130"/>
      <c r="GM38" s="130"/>
      <c r="GN38" s="130"/>
      <c r="GO38" s="130"/>
      <c r="GP38" s="130"/>
      <c r="GQ38" s="130"/>
      <c r="GR38" s="130"/>
      <c r="GS38" s="130"/>
      <c r="GT38" s="130"/>
      <c r="GU38" s="130"/>
      <c r="GV38" s="130"/>
      <c r="GW38" s="130"/>
      <c r="GX38" s="130"/>
      <c r="GY38" s="130"/>
      <c r="GZ38" s="130"/>
      <c r="HA38" s="130"/>
      <c r="HB38" s="130"/>
      <c r="HC38" s="130"/>
      <c r="HD38" s="130"/>
      <c r="HE38" s="130"/>
      <c r="HF38" s="130"/>
      <c r="HG38" s="130"/>
      <c r="HH38" s="130"/>
      <c r="HI38" s="130"/>
      <c r="HJ38" s="130"/>
      <c r="HK38" s="130"/>
      <c r="HL38" s="130"/>
      <c r="HM38" s="130"/>
      <c r="HN38" s="130"/>
      <c r="HO38" s="130"/>
      <c r="HP38" s="130"/>
    </row>
    <row r="39" spans="1:224" s="131" customFormat="1" ht="45.75" thickBot="1" x14ac:dyDescent="0.25">
      <c r="A39" s="486"/>
      <c r="B39" s="137" t="s">
        <v>121</v>
      </c>
      <c r="C39" s="304"/>
      <c r="D39" s="304">
        <f t="shared" ref="D39:E39" si="18">SUM(D32:D35)-D38</f>
        <v>342</v>
      </c>
      <c r="E39" s="304">
        <f t="shared" si="18"/>
        <v>691</v>
      </c>
      <c r="F39" s="304">
        <f t="shared" ref="F39:G39" si="19">SUM(F32:F35)-F38</f>
        <v>347</v>
      </c>
      <c r="G39" s="304">
        <f t="shared" si="19"/>
        <v>372</v>
      </c>
      <c r="H39" s="304">
        <f t="shared" ref="H39:I39" si="20">SUM(H32:H35)-H38</f>
        <v>586</v>
      </c>
      <c r="I39" s="304">
        <f t="shared" si="20"/>
        <v>372</v>
      </c>
      <c r="J39" s="304">
        <f t="shared" ref="J39:K39" si="21">SUM(J32:J35)-J38</f>
        <v>345</v>
      </c>
      <c r="K39" s="304">
        <f t="shared" si="21"/>
        <v>564</v>
      </c>
      <c r="L39" s="304">
        <f t="shared" ref="L39:M39" si="22">SUM(L32:L35)-L38</f>
        <v>443</v>
      </c>
      <c r="M39" s="304">
        <f t="shared" si="22"/>
        <v>-231</v>
      </c>
      <c r="N39" s="304">
        <f t="shared" ref="N39:O39" si="23">SUM(N32:N35)-N38</f>
        <v>662</v>
      </c>
      <c r="O39" s="304">
        <f t="shared" si="23"/>
        <v>392</v>
      </c>
      <c r="P39" s="304">
        <f t="shared" ref="P39:U39" si="24">SUM(P32:P35)-P38</f>
        <v>329</v>
      </c>
      <c r="Q39" s="304">
        <f t="shared" si="24"/>
        <v>218</v>
      </c>
      <c r="R39" s="304">
        <f t="shared" si="24"/>
        <v>297</v>
      </c>
      <c r="S39" s="304">
        <f t="shared" si="24"/>
        <v>271</v>
      </c>
      <c r="T39" s="304">
        <f t="shared" si="24"/>
        <v>262</v>
      </c>
      <c r="U39" s="304">
        <f t="shared" si="24"/>
        <v>205</v>
      </c>
      <c r="V39" s="304">
        <f t="shared" ref="V39:W39" si="25">SUM(V32:V35)-V38</f>
        <v>232</v>
      </c>
      <c r="W39" s="304">
        <f t="shared" si="25"/>
        <v>228</v>
      </c>
      <c r="X39" s="304">
        <f t="shared" ref="X39:Y39" si="26">SUM(X32:X35)-X38</f>
        <v>301</v>
      </c>
      <c r="Y39" s="304">
        <f t="shared" si="26"/>
        <v>289</v>
      </c>
      <c r="Z39" s="304">
        <f t="shared" ref="Z39:AA39" si="27">SUM(Z32:Z35)-Z38</f>
        <v>245</v>
      </c>
      <c r="AA39" s="304">
        <f t="shared" si="27"/>
        <v>263</v>
      </c>
      <c r="AB39" s="304">
        <f t="shared" ref="AB39:AC39" si="28">SUM(AB32:AB35)-AB38</f>
        <v>555</v>
      </c>
      <c r="AC39" s="304">
        <f t="shared" si="28"/>
        <v>263</v>
      </c>
      <c r="AD39" s="304">
        <f t="shared" ref="AD39:AE39" si="29">SUM(AD32:AD35)-AD38</f>
        <v>322</v>
      </c>
      <c r="AE39" s="304">
        <f t="shared" si="29"/>
        <v>279</v>
      </c>
      <c r="AF39" s="304">
        <f t="shared" ref="AF39:AG39" si="30">SUM(AF32:AF35)-AF38</f>
        <v>324</v>
      </c>
      <c r="AG39" s="304">
        <f t="shared" si="30"/>
        <v>302</v>
      </c>
      <c r="AH39" s="304">
        <f t="shared" ref="AH39" si="31">SUM(AH32:AH35)-AH38</f>
        <v>271</v>
      </c>
      <c r="AI39" s="321"/>
      <c r="AJ39" s="292">
        <f t="shared" si="4"/>
        <v>13.899193548387096</v>
      </c>
      <c r="AK39" s="130">
        <v>720</v>
      </c>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c r="CV39" s="130"/>
      <c r="CW39" s="130"/>
      <c r="CX39" s="130"/>
      <c r="CY39" s="130"/>
      <c r="CZ39" s="130"/>
      <c r="DA39" s="130"/>
      <c r="DB39" s="130"/>
      <c r="DC39" s="130"/>
      <c r="DD39" s="130"/>
      <c r="DE39" s="130"/>
      <c r="DF39" s="130"/>
      <c r="DG39" s="130"/>
      <c r="DH39" s="130"/>
      <c r="DI39" s="130"/>
      <c r="DJ39" s="130"/>
      <c r="DK39" s="130"/>
      <c r="DL39" s="130"/>
      <c r="DM39" s="130"/>
      <c r="DN39" s="130"/>
      <c r="DO39" s="130"/>
      <c r="DP39" s="130"/>
      <c r="DQ39" s="130"/>
      <c r="DR39" s="130"/>
      <c r="DS39" s="130"/>
      <c r="DT39" s="130"/>
      <c r="DU39" s="130"/>
      <c r="DV39" s="130"/>
      <c r="DW39" s="130"/>
      <c r="DX39" s="130"/>
      <c r="DY39" s="130"/>
      <c r="DZ39" s="130"/>
      <c r="EA39" s="130"/>
      <c r="EB39" s="130"/>
      <c r="EC39" s="130"/>
      <c r="ED39" s="130"/>
      <c r="EE39" s="130"/>
      <c r="EF39" s="130"/>
      <c r="EG39" s="130"/>
      <c r="EH39" s="130"/>
      <c r="EI39" s="130"/>
      <c r="EJ39" s="130"/>
      <c r="EK39" s="130"/>
      <c r="EL39" s="130"/>
      <c r="EM39" s="130"/>
      <c r="EN39" s="130"/>
      <c r="EO39" s="130"/>
      <c r="EP39" s="130"/>
      <c r="EQ39" s="130"/>
      <c r="ER39" s="130"/>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30"/>
      <c r="GJ39" s="130"/>
      <c r="GK39" s="130"/>
      <c r="GL39" s="130"/>
      <c r="GM39" s="130"/>
      <c r="GN39" s="130"/>
      <c r="GO39" s="130"/>
      <c r="GP39" s="130"/>
      <c r="GQ39" s="130"/>
      <c r="GR39" s="130"/>
      <c r="GS39" s="130"/>
      <c r="GT39" s="130"/>
      <c r="GU39" s="130"/>
      <c r="GV39" s="130"/>
      <c r="GW39" s="130"/>
      <c r="GX39" s="130"/>
      <c r="GY39" s="130"/>
      <c r="GZ39" s="130"/>
      <c r="HA39" s="130"/>
      <c r="HB39" s="130"/>
      <c r="HC39" s="130"/>
      <c r="HD39" s="130"/>
      <c r="HE39" s="130"/>
      <c r="HF39" s="130"/>
      <c r="HG39" s="130"/>
      <c r="HH39" s="130"/>
      <c r="HI39" s="130"/>
      <c r="HJ39" s="130"/>
      <c r="HK39" s="130"/>
      <c r="HL39" s="130"/>
      <c r="HM39" s="130"/>
      <c r="HN39" s="130"/>
      <c r="HO39" s="130"/>
      <c r="HP39" s="130"/>
    </row>
    <row r="40" spans="1:224" ht="28.5" customHeight="1" thickBot="1" x14ac:dyDescent="0.25">
      <c r="A40" s="487" t="s">
        <v>122</v>
      </c>
      <c r="B40" s="138" t="s">
        <v>123</v>
      </c>
      <c r="C40" s="141"/>
      <c r="D40" s="141"/>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41"/>
      <c r="AH40" s="141"/>
      <c r="AI40" s="141"/>
      <c r="AJ40" s="293"/>
    </row>
    <row r="41" spans="1:224" ht="29.25" thickBot="1" x14ac:dyDescent="0.25">
      <c r="A41" s="488"/>
      <c r="B41" s="140" t="s">
        <v>124</v>
      </c>
      <c r="C41" s="141">
        <v>17286872</v>
      </c>
      <c r="D41" s="141">
        <v>17295716</v>
      </c>
      <c r="E41" s="373">
        <v>17304646</v>
      </c>
      <c r="F41" s="141">
        <v>17311714</v>
      </c>
      <c r="G41" s="141">
        <v>17318538</v>
      </c>
      <c r="H41" s="141">
        <v>17324980</v>
      </c>
      <c r="I41" s="141">
        <v>17332144</v>
      </c>
      <c r="J41" s="141">
        <v>17339910</v>
      </c>
      <c r="K41" s="141">
        <v>17346672</v>
      </c>
      <c r="L41" s="141">
        <v>17353182</v>
      </c>
      <c r="M41" s="141">
        <v>17360364</v>
      </c>
      <c r="N41" s="141">
        <v>17367098</v>
      </c>
      <c r="O41" s="141">
        <v>17372850</v>
      </c>
      <c r="P41" s="141">
        <v>17378980</v>
      </c>
      <c r="Q41" s="141">
        <v>17385618</v>
      </c>
      <c r="R41" s="141">
        <v>17392022</v>
      </c>
      <c r="S41" s="141">
        <v>17397958</v>
      </c>
      <c r="T41" s="141">
        <v>17404120</v>
      </c>
      <c r="U41" s="141">
        <v>17410782</v>
      </c>
      <c r="V41" s="141">
        <v>17416814</v>
      </c>
      <c r="W41" s="141">
        <v>17423592</v>
      </c>
      <c r="X41" s="141">
        <v>17430742</v>
      </c>
      <c r="Y41" s="141">
        <v>17437714</v>
      </c>
      <c r="Z41" s="141">
        <v>17444704</v>
      </c>
      <c r="AA41" s="141">
        <v>17451026</v>
      </c>
      <c r="AB41" s="141">
        <v>17457164</v>
      </c>
      <c r="AC41" s="141">
        <v>17464818</v>
      </c>
      <c r="AD41" s="141">
        <v>17466934</v>
      </c>
      <c r="AE41" s="141">
        <v>17469516</v>
      </c>
      <c r="AF41" s="141">
        <v>17473158</v>
      </c>
      <c r="AG41" s="141">
        <v>17480126</v>
      </c>
      <c r="AH41" s="141">
        <v>17485412</v>
      </c>
      <c r="AI41" s="141">
        <v>17490724</v>
      </c>
      <c r="AJ41" s="294"/>
      <c r="AK41" s="120">
        <v>16680604</v>
      </c>
      <c r="AL41" s="365">
        <v>16012053</v>
      </c>
    </row>
    <row r="42" spans="1:224" ht="29.25" thickBot="1" x14ac:dyDescent="0.25">
      <c r="A42" s="488"/>
      <c r="B42" s="140" t="s">
        <v>125</v>
      </c>
      <c r="C42" s="141">
        <v>21934091</v>
      </c>
      <c r="D42" s="141">
        <v>21944974</v>
      </c>
      <c r="E42" s="373">
        <v>21955322</v>
      </c>
      <c r="F42" s="141">
        <v>21967354</v>
      </c>
      <c r="G42" s="141">
        <v>21978519</v>
      </c>
      <c r="H42" s="141">
        <v>21989687</v>
      </c>
      <c r="I42" s="141">
        <v>21999602</v>
      </c>
      <c r="J42" s="141">
        <v>22010557</v>
      </c>
      <c r="K42" s="141">
        <v>22020222</v>
      </c>
      <c r="L42" s="141">
        <v>22031019</v>
      </c>
      <c r="M42" s="141">
        <v>22042236</v>
      </c>
      <c r="N42" s="141">
        <v>22053680</v>
      </c>
      <c r="O42" s="141">
        <v>22063722</v>
      </c>
      <c r="P42" s="141">
        <v>22073947</v>
      </c>
      <c r="Q42" s="141">
        <v>22084766</v>
      </c>
      <c r="R42" s="141">
        <v>22095347</v>
      </c>
      <c r="S42" s="141">
        <v>22105242</v>
      </c>
      <c r="T42" s="141">
        <v>22117045</v>
      </c>
      <c r="U42" s="141">
        <v>22128445</v>
      </c>
      <c r="V42" s="141">
        <v>22139461</v>
      </c>
      <c r="W42" s="141">
        <v>22150934</v>
      </c>
      <c r="X42" s="141">
        <v>22162650</v>
      </c>
      <c r="Y42" s="141">
        <v>22174044</v>
      </c>
      <c r="Z42" s="141">
        <v>22185356</v>
      </c>
      <c r="AA42" s="141">
        <v>22197695</v>
      </c>
      <c r="AB42" s="141">
        <v>22208385</v>
      </c>
      <c r="AC42" s="141">
        <v>22217692</v>
      </c>
      <c r="AD42" s="141">
        <v>22221934</v>
      </c>
      <c r="AE42" s="141">
        <v>22227014</v>
      </c>
      <c r="AF42" s="141">
        <v>22235421</v>
      </c>
      <c r="AG42" s="141">
        <v>22245610</v>
      </c>
      <c r="AH42" s="141">
        <v>22255700</v>
      </c>
      <c r="AI42" s="141">
        <v>22264587</v>
      </c>
      <c r="AJ42" s="294"/>
      <c r="AK42" s="120">
        <v>21067220</v>
      </c>
      <c r="AL42" s="365">
        <v>20325959</v>
      </c>
    </row>
    <row r="43" spans="1:224" ht="29.25" thickBot="1" x14ac:dyDescent="0.25">
      <c r="A43" s="488"/>
      <c r="B43" s="140" t="s">
        <v>126</v>
      </c>
      <c r="C43" s="141"/>
      <c r="D43" s="141"/>
      <c r="E43" s="373"/>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294"/>
      <c r="AL43" s="365"/>
    </row>
    <row r="44" spans="1:224" ht="29.25" thickBot="1" x14ac:dyDescent="0.25">
      <c r="A44" s="488"/>
      <c r="B44" s="140" t="s">
        <v>127</v>
      </c>
      <c r="C44" s="141">
        <v>11783385</v>
      </c>
      <c r="D44" s="141">
        <v>11791815</v>
      </c>
      <c r="E44" s="373">
        <v>11799825</v>
      </c>
      <c r="F44" s="141">
        <v>11805540</v>
      </c>
      <c r="G44" s="141">
        <v>11808846</v>
      </c>
      <c r="H44" s="141">
        <v>11811870</v>
      </c>
      <c r="I44" s="141">
        <v>11815204</v>
      </c>
      <c r="J44" s="141">
        <v>11817613</v>
      </c>
      <c r="K44" s="141">
        <v>11820817</v>
      </c>
      <c r="L44" s="141">
        <v>11823618</v>
      </c>
      <c r="M44" s="141">
        <v>11826639</v>
      </c>
      <c r="N44" s="141">
        <v>11829597</v>
      </c>
      <c r="O44" s="141">
        <v>11833092</v>
      </c>
      <c r="P44" s="141">
        <v>11837536</v>
      </c>
      <c r="Q44" s="141">
        <v>11841477</v>
      </c>
      <c r="R44" s="141">
        <v>11844887</v>
      </c>
      <c r="S44" s="141">
        <v>11848455</v>
      </c>
      <c r="T44" s="141">
        <v>11851442</v>
      </c>
      <c r="U44" s="141">
        <v>11854391</v>
      </c>
      <c r="V44" s="141">
        <v>11857657</v>
      </c>
      <c r="W44" s="141">
        <v>11860555</v>
      </c>
      <c r="X44" s="141">
        <v>11863317</v>
      </c>
      <c r="Y44" s="141">
        <v>11865888</v>
      </c>
      <c r="Z44" s="141">
        <v>11868700</v>
      </c>
      <c r="AA44" s="141">
        <v>11871571</v>
      </c>
      <c r="AB44" s="141">
        <v>11874552</v>
      </c>
      <c r="AC44" s="141">
        <v>11880095</v>
      </c>
      <c r="AD44" s="141">
        <v>11883676</v>
      </c>
      <c r="AE44" s="141">
        <v>11885725</v>
      </c>
      <c r="AF44" s="141">
        <v>11888077</v>
      </c>
      <c r="AG44" s="141">
        <v>11890651</v>
      </c>
      <c r="AH44" s="141">
        <v>11893934</v>
      </c>
      <c r="AI44" s="141">
        <v>11896406</v>
      </c>
      <c r="AJ44" s="294"/>
      <c r="AK44" s="120">
        <v>11291613</v>
      </c>
      <c r="AL44" s="365">
        <v>10789170</v>
      </c>
    </row>
    <row r="45" spans="1:224" ht="29.25" thickBot="1" x14ac:dyDescent="0.25">
      <c r="A45" s="488"/>
      <c r="B45" s="249" t="s">
        <v>128</v>
      </c>
      <c r="C45" s="141">
        <v>17409416</v>
      </c>
      <c r="D45" s="141">
        <v>17414198</v>
      </c>
      <c r="E45" s="373">
        <v>17418280</v>
      </c>
      <c r="F45" s="141">
        <v>17425348</v>
      </c>
      <c r="G45" s="141">
        <v>17432476</v>
      </c>
      <c r="H45" s="141">
        <v>17439112</v>
      </c>
      <c r="I45" s="141">
        <v>17444660</v>
      </c>
      <c r="J45" s="141">
        <v>17450994</v>
      </c>
      <c r="K45" s="141">
        <v>17456952</v>
      </c>
      <c r="L45" s="141">
        <v>17463916</v>
      </c>
      <c r="M45" s="141">
        <v>17470778</v>
      </c>
      <c r="N45" s="141">
        <v>17478344</v>
      </c>
      <c r="O45" s="141">
        <v>17484226</v>
      </c>
      <c r="P45" s="141">
        <v>17489832</v>
      </c>
      <c r="Q45" s="141">
        <v>17495234</v>
      </c>
      <c r="R45" s="141">
        <v>17502304</v>
      </c>
      <c r="S45" s="141">
        <v>17509362</v>
      </c>
      <c r="T45" s="141">
        <v>17517082</v>
      </c>
      <c r="U45" s="141">
        <v>17524750</v>
      </c>
      <c r="V45" s="141">
        <v>17531806</v>
      </c>
      <c r="W45" s="141">
        <v>17539260</v>
      </c>
      <c r="X45" s="141">
        <v>17546422</v>
      </c>
      <c r="Y45" s="141">
        <v>17553604</v>
      </c>
      <c r="Z45" s="141">
        <v>17560698</v>
      </c>
      <c r="AA45" s="141">
        <v>17567286</v>
      </c>
      <c r="AB45" s="141">
        <v>17572934</v>
      </c>
      <c r="AC45" s="141">
        <v>17574210</v>
      </c>
      <c r="AD45" s="141">
        <v>17576544</v>
      </c>
      <c r="AE45" s="141">
        <v>17580040</v>
      </c>
      <c r="AF45" s="141">
        <v>17584678</v>
      </c>
      <c r="AG45" s="141">
        <v>17589444</v>
      </c>
      <c r="AH45" s="141">
        <v>17594510</v>
      </c>
      <c r="AI45" s="141">
        <v>17598684</v>
      </c>
      <c r="AJ45" s="294"/>
      <c r="AK45" s="120">
        <v>16993090</v>
      </c>
      <c r="AL45" s="365">
        <v>16514611</v>
      </c>
    </row>
    <row r="46" spans="1:224" ht="29.25" customHeight="1" thickBot="1" x14ac:dyDescent="0.25">
      <c r="A46" s="488"/>
      <c r="B46" s="249" t="s">
        <v>129</v>
      </c>
      <c r="C46" s="141"/>
      <c r="D46" s="141"/>
      <c r="E46" s="373"/>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294"/>
      <c r="AL46" s="365"/>
    </row>
    <row r="47" spans="1:224" ht="30.75" customHeight="1" thickBot="1" x14ac:dyDescent="0.25">
      <c r="A47" s="488"/>
      <c r="B47" s="265" t="s">
        <v>130</v>
      </c>
      <c r="C47" s="141">
        <v>1559078</v>
      </c>
      <c r="D47" s="141">
        <v>1559772</v>
      </c>
      <c r="E47" s="373">
        <v>1560173</v>
      </c>
      <c r="F47" s="141">
        <v>1560362</v>
      </c>
      <c r="G47" s="141">
        <v>1560818</v>
      </c>
      <c r="H47" s="141">
        <v>1561420</v>
      </c>
      <c r="I47" s="141">
        <v>1562312</v>
      </c>
      <c r="J47" s="141">
        <v>1562744</v>
      </c>
      <c r="K47" s="141">
        <v>1563160</v>
      </c>
      <c r="L47" s="141">
        <v>1563559</v>
      </c>
      <c r="M47" s="141">
        <v>1564038</v>
      </c>
      <c r="N47" s="141">
        <v>1564690</v>
      </c>
      <c r="O47" s="141">
        <v>1565252</v>
      </c>
      <c r="P47" s="141">
        <v>1565779</v>
      </c>
      <c r="Q47" s="141">
        <v>1566495</v>
      </c>
      <c r="R47" s="141">
        <v>1567134</v>
      </c>
      <c r="S47" s="141">
        <v>1567691</v>
      </c>
      <c r="T47" s="141">
        <v>1568410</v>
      </c>
      <c r="U47" s="141">
        <v>1568959</v>
      </c>
      <c r="V47" s="141">
        <v>1569582</v>
      </c>
      <c r="W47" s="141">
        <v>1570510</v>
      </c>
      <c r="X47" s="141">
        <v>1571278</v>
      </c>
      <c r="Y47" s="141">
        <v>1572084</v>
      </c>
      <c r="Z47" s="141">
        <v>1572760</v>
      </c>
      <c r="AA47" s="141">
        <v>1573527</v>
      </c>
      <c r="AB47" s="141">
        <v>1574232</v>
      </c>
      <c r="AC47" s="141">
        <v>1575465</v>
      </c>
      <c r="AD47" s="141">
        <v>1576310</v>
      </c>
      <c r="AE47" s="141">
        <v>1577304</v>
      </c>
      <c r="AF47" s="141">
        <v>1578375</v>
      </c>
      <c r="AG47" s="141">
        <v>1579401</v>
      </c>
      <c r="AH47" s="141">
        <v>1580278</v>
      </c>
      <c r="AI47" s="141">
        <v>1581176</v>
      </c>
      <c r="AJ47" s="294"/>
      <c r="AK47" s="120">
        <v>1485064</v>
      </c>
      <c r="AL47" s="365">
        <v>1407021</v>
      </c>
    </row>
    <row r="48" spans="1:224" ht="22.5" customHeight="1" thickBot="1" x14ac:dyDescent="0.25">
      <c r="A48" s="488"/>
      <c r="B48" s="142" t="s">
        <v>131</v>
      </c>
      <c r="C48" s="141">
        <v>6863894</v>
      </c>
      <c r="D48" s="141">
        <v>6868039</v>
      </c>
      <c r="E48" s="373">
        <v>6871840</v>
      </c>
      <c r="F48" s="141">
        <v>6874184</v>
      </c>
      <c r="G48" s="141">
        <v>6876407</v>
      </c>
      <c r="H48" s="141">
        <v>6878701</v>
      </c>
      <c r="I48" s="141">
        <v>6881374</v>
      </c>
      <c r="J48" s="141">
        <v>6883554</v>
      </c>
      <c r="K48" s="141">
        <v>6886284</v>
      </c>
      <c r="L48" s="141">
        <v>6888453</v>
      </c>
      <c r="M48" s="141">
        <v>6890894</v>
      </c>
      <c r="N48" s="141">
        <v>6893303</v>
      </c>
      <c r="O48" s="141">
        <v>6896522</v>
      </c>
      <c r="P48" s="141">
        <v>6900209</v>
      </c>
      <c r="Q48" s="141">
        <v>6903832</v>
      </c>
      <c r="R48" s="141">
        <v>6906782</v>
      </c>
      <c r="S48" s="141">
        <v>6909842</v>
      </c>
      <c r="T48" s="141">
        <v>6912411</v>
      </c>
      <c r="U48" s="141">
        <v>6914790</v>
      </c>
      <c r="V48" s="141">
        <v>6917546</v>
      </c>
      <c r="W48" s="371">
        <v>6919946</v>
      </c>
      <c r="X48" s="141">
        <v>6922251</v>
      </c>
      <c r="Y48" s="141">
        <v>6924357</v>
      </c>
      <c r="Z48" s="141">
        <v>6926466</v>
      </c>
      <c r="AA48" s="141">
        <v>6928714</v>
      </c>
      <c r="AB48" s="141">
        <v>6931416</v>
      </c>
      <c r="AC48" s="141">
        <v>6931686</v>
      </c>
      <c r="AD48" s="141">
        <v>6932698</v>
      </c>
      <c r="AE48" s="141">
        <v>6934455</v>
      </c>
      <c r="AF48" s="141">
        <v>6936356</v>
      </c>
      <c r="AG48" s="141">
        <v>6938633</v>
      </c>
      <c r="AH48" s="141">
        <v>6941199</v>
      </c>
      <c r="AI48" s="141">
        <v>6943319</v>
      </c>
      <c r="AJ48" s="294"/>
      <c r="AK48" s="120">
        <v>6628907</v>
      </c>
      <c r="AL48" s="365">
        <v>6460440</v>
      </c>
    </row>
    <row r="49" spans="1:224" ht="22.5" customHeight="1" thickBot="1" x14ac:dyDescent="0.25">
      <c r="A49" s="488"/>
      <c r="B49" s="140" t="s">
        <v>132</v>
      </c>
      <c r="C49" s="141">
        <v>1581310</v>
      </c>
      <c r="D49" s="141">
        <v>1581310</v>
      </c>
      <c r="E49" s="373">
        <v>1581310</v>
      </c>
      <c r="F49" s="141">
        <v>1581310</v>
      </c>
      <c r="G49" s="141">
        <v>1581310</v>
      </c>
      <c r="H49" s="141">
        <v>1581310</v>
      </c>
      <c r="I49" s="141">
        <v>1581310</v>
      </c>
      <c r="J49" s="141">
        <v>1581310</v>
      </c>
      <c r="K49" s="141">
        <v>1581310</v>
      </c>
      <c r="L49" s="141">
        <v>1581310</v>
      </c>
      <c r="M49" s="141">
        <v>1581310</v>
      </c>
      <c r="N49" s="141">
        <v>1581310</v>
      </c>
      <c r="O49" s="141">
        <v>1581310</v>
      </c>
      <c r="P49" s="141">
        <v>1581310</v>
      </c>
      <c r="Q49" s="141">
        <v>1581310</v>
      </c>
      <c r="R49" s="141">
        <v>1581310</v>
      </c>
      <c r="S49" s="141">
        <v>1581310</v>
      </c>
      <c r="T49" s="141">
        <v>1581310</v>
      </c>
      <c r="U49" s="141">
        <v>1581310</v>
      </c>
      <c r="V49" s="141">
        <v>1581310</v>
      </c>
      <c r="W49" s="141">
        <v>1581310</v>
      </c>
      <c r="X49" s="141">
        <v>1581310</v>
      </c>
      <c r="Y49" s="141">
        <v>1581310</v>
      </c>
      <c r="Z49" s="141">
        <v>1581310</v>
      </c>
      <c r="AA49" s="141">
        <v>1581310</v>
      </c>
      <c r="AB49" s="141">
        <v>1581634</v>
      </c>
      <c r="AC49" s="141">
        <v>1581635</v>
      </c>
      <c r="AD49" s="141">
        <v>1581637</v>
      </c>
      <c r="AE49" s="141">
        <v>1581639</v>
      </c>
      <c r="AF49" s="141">
        <v>1581641</v>
      </c>
      <c r="AG49" s="141">
        <v>1581643</v>
      </c>
      <c r="AH49" s="141">
        <v>1581644</v>
      </c>
      <c r="AI49" s="141">
        <v>1581646</v>
      </c>
      <c r="AJ49" s="294"/>
      <c r="AK49" s="120">
        <v>1581310</v>
      </c>
      <c r="AL49" s="365">
        <v>1581310</v>
      </c>
    </row>
    <row r="50" spans="1:224" ht="22.5" customHeight="1" thickBot="1" x14ac:dyDescent="0.25">
      <c r="A50" s="488"/>
      <c r="B50" s="253" t="s">
        <v>133</v>
      </c>
      <c r="C50" s="141">
        <v>1492830</v>
      </c>
      <c r="D50" s="141">
        <v>1493235</v>
      </c>
      <c r="E50" s="373">
        <v>1493606</v>
      </c>
      <c r="F50" s="141">
        <v>1494048</v>
      </c>
      <c r="G50" s="141">
        <v>1494638</v>
      </c>
      <c r="H50" s="141">
        <v>1495169</v>
      </c>
      <c r="I50" s="141">
        <v>1495458</v>
      </c>
      <c r="J50" s="141">
        <v>1495778</v>
      </c>
      <c r="K50" s="141">
        <v>1495880</v>
      </c>
      <c r="L50" s="141">
        <v>1496176</v>
      </c>
      <c r="M50" s="141">
        <v>1496477</v>
      </c>
      <c r="N50" s="141">
        <v>1496763</v>
      </c>
      <c r="O50" s="141">
        <v>1497078</v>
      </c>
      <c r="P50" s="141">
        <v>1497372</v>
      </c>
      <c r="Q50" s="141">
        <v>1497581</v>
      </c>
      <c r="R50" s="141">
        <v>1497790</v>
      </c>
      <c r="S50" s="141">
        <v>1497994</v>
      </c>
      <c r="T50" s="141">
        <v>1498237</v>
      </c>
      <c r="U50" s="141">
        <v>1498322</v>
      </c>
      <c r="V50" s="141">
        <v>1498553</v>
      </c>
      <c r="W50" s="141">
        <v>1498668</v>
      </c>
      <c r="X50" s="141">
        <v>1498910</v>
      </c>
      <c r="Y50" s="141">
        <v>1499142</v>
      </c>
      <c r="Z50" s="141">
        <v>1499254</v>
      </c>
      <c r="AA50" s="141">
        <v>1499396</v>
      </c>
      <c r="AB50" s="141">
        <v>1499515</v>
      </c>
      <c r="AC50" s="141">
        <v>1499638</v>
      </c>
      <c r="AD50" s="141">
        <v>1499939</v>
      </c>
      <c r="AE50" s="141">
        <v>1500184</v>
      </c>
      <c r="AF50" s="141">
        <v>1500277</v>
      </c>
      <c r="AG50" s="141">
        <v>1500379</v>
      </c>
      <c r="AH50" s="141">
        <v>1500483</v>
      </c>
      <c r="AI50" s="141">
        <v>1500554</v>
      </c>
      <c r="AJ50" s="294"/>
      <c r="AK50" s="120">
        <v>1468185</v>
      </c>
      <c r="AL50" s="365">
        <v>1317347</v>
      </c>
    </row>
    <row r="51" spans="1:224" ht="22.5" customHeight="1" thickBot="1" x14ac:dyDescent="0.25">
      <c r="A51" s="488"/>
      <c r="B51" s="142" t="s">
        <v>134</v>
      </c>
      <c r="C51" s="141">
        <v>2161880</v>
      </c>
      <c r="D51" s="141">
        <v>2162199</v>
      </c>
      <c r="E51" s="373">
        <v>2162921</v>
      </c>
      <c r="F51" s="141">
        <v>2163604</v>
      </c>
      <c r="G51" s="141">
        <v>2164145</v>
      </c>
      <c r="H51" s="141">
        <v>2164533</v>
      </c>
      <c r="I51" s="141">
        <v>2164916</v>
      </c>
      <c r="J51" s="141">
        <v>2165677</v>
      </c>
      <c r="K51" s="141">
        <v>2167015</v>
      </c>
      <c r="L51" s="141">
        <v>2168160</v>
      </c>
      <c r="M51" s="141">
        <v>2168869</v>
      </c>
      <c r="N51" s="141">
        <v>2169163</v>
      </c>
      <c r="O51" s="141">
        <v>2169420</v>
      </c>
      <c r="P51" s="141">
        <v>2169888</v>
      </c>
      <c r="Q51" s="141">
        <v>2170293</v>
      </c>
      <c r="R51" s="141">
        <v>2170700</v>
      </c>
      <c r="S51" s="141">
        <v>2171026</v>
      </c>
      <c r="T51" s="141">
        <v>2171520</v>
      </c>
      <c r="U51" s="141">
        <v>2172023</v>
      </c>
      <c r="V51" s="141">
        <v>2172538</v>
      </c>
      <c r="W51" s="141">
        <v>2172982</v>
      </c>
      <c r="X51" s="141">
        <v>2173446</v>
      </c>
      <c r="Y51" s="141">
        <v>2173907</v>
      </c>
      <c r="Z51" s="141">
        <v>2174307</v>
      </c>
      <c r="AA51" s="141">
        <v>2174853</v>
      </c>
      <c r="AB51" s="141">
        <v>2175242</v>
      </c>
      <c r="AC51" s="141">
        <v>2176154</v>
      </c>
      <c r="AD51" s="144">
        <v>2176885</v>
      </c>
      <c r="AE51" s="141">
        <v>2177273</v>
      </c>
      <c r="AF51" s="141">
        <v>2177720</v>
      </c>
      <c r="AG51" s="141">
        <v>2178066</v>
      </c>
      <c r="AH51" s="141">
        <v>2178597</v>
      </c>
      <c r="AI51" s="141">
        <v>2179070</v>
      </c>
      <c r="AJ51" s="294"/>
      <c r="AK51" s="120">
        <v>2134096</v>
      </c>
      <c r="AL51" s="365">
        <v>2109178</v>
      </c>
    </row>
    <row r="52" spans="1:224" ht="22.5" customHeight="1" thickBot="1" x14ac:dyDescent="0.25">
      <c r="A52" s="488"/>
      <c r="B52" s="143" t="s">
        <v>135</v>
      </c>
      <c r="C52" s="141">
        <v>3878117</v>
      </c>
      <c r="D52" s="141">
        <v>3881504</v>
      </c>
      <c r="E52" s="373">
        <v>3884571</v>
      </c>
      <c r="F52" s="141">
        <v>3887677</v>
      </c>
      <c r="G52" s="141">
        <v>3890752</v>
      </c>
      <c r="H52" s="141">
        <v>3893747</v>
      </c>
      <c r="I52" s="141">
        <v>3896633</v>
      </c>
      <c r="J52" s="141">
        <v>3899398</v>
      </c>
      <c r="K52" s="141">
        <v>3902179</v>
      </c>
      <c r="L52" s="144">
        <v>3904962</v>
      </c>
      <c r="M52" s="144">
        <v>3908240</v>
      </c>
      <c r="N52" s="144">
        <v>3911635</v>
      </c>
      <c r="O52" s="141">
        <v>3915011</v>
      </c>
      <c r="P52" s="141">
        <v>3918516</v>
      </c>
      <c r="Q52" s="144">
        <v>3921983</v>
      </c>
      <c r="R52" s="141">
        <v>3925200</v>
      </c>
      <c r="S52" s="141">
        <v>3928624</v>
      </c>
      <c r="T52" s="141">
        <v>3931966</v>
      </c>
      <c r="U52" s="141">
        <v>3935313</v>
      </c>
      <c r="V52" s="141">
        <v>3938543</v>
      </c>
      <c r="W52" s="141">
        <v>3941867</v>
      </c>
      <c r="X52" s="141">
        <v>3944650</v>
      </c>
      <c r="Y52" s="141">
        <v>3946921</v>
      </c>
      <c r="Z52" s="141">
        <v>3949037</v>
      </c>
      <c r="AA52" s="141">
        <v>3951122</v>
      </c>
      <c r="AB52" s="141">
        <v>3953123</v>
      </c>
      <c r="AC52" s="141">
        <v>3955092</v>
      </c>
      <c r="AD52" s="141">
        <v>3955609</v>
      </c>
      <c r="AE52" s="144">
        <v>3955903</v>
      </c>
      <c r="AF52" s="141">
        <v>3958166</v>
      </c>
      <c r="AG52" s="144">
        <v>3960595</v>
      </c>
      <c r="AH52" s="141">
        <v>3963350</v>
      </c>
      <c r="AI52" s="141">
        <v>3965320</v>
      </c>
      <c r="AJ52" s="295"/>
      <c r="AK52" s="120">
        <v>3659882</v>
      </c>
      <c r="AL52" s="365">
        <v>3590006</v>
      </c>
    </row>
    <row r="53" spans="1:224" ht="22.5" customHeight="1" x14ac:dyDescent="0.2">
      <c r="A53" s="489"/>
      <c r="B53" s="142" t="s">
        <v>136</v>
      </c>
      <c r="C53" s="141">
        <v>78752</v>
      </c>
      <c r="D53" s="141">
        <v>78855</v>
      </c>
      <c r="E53" s="373">
        <v>79037</v>
      </c>
      <c r="F53" s="141">
        <v>79125</v>
      </c>
      <c r="G53" s="141">
        <v>79171</v>
      </c>
      <c r="H53" s="141">
        <v>79221</v>
      </c>
      <c r="I53" s="141">
        <v>79237</v>
      </c>
      <c r="J53" s="141">
        <v>79272</v>
      </c>
      <c r="K53" s="141">
        <v>79292</v>
      </c>
      <c r="L53" s="141">
        <v>79321</v>
      </c>
      <c r="M53" s="141">
        <v>79344</v>
      </c>
      <c r="N53" s="141">
        <v>79378</v>
      </c>
      <c r="O53" s="144">
        <v>79396</v>
      </c>
      <c r="P53" s="144">
        <v>79412</v>
      </c>
      <c r="Q53" s="141">
        <v>79442</v>
      </c>
      <c r="R53" s="141">
        <v>79471</v>
      </c>
      <c r="S53" s="144">
        <v>79503</v>
      </c>
      <c r="T53" s="141">
        <v>79553</v>
      </c>
      <c r="U53" s="141">
        <v>79594</v>
      </c>
      <c r="V53" s="141">
        <v>79625</v>
      </c>
      <c r="W53" s="144">
        <v>79642</v>
      </c>
      <c r="X53" s="141">
        <v>79665</v>
      </c>
      <c r="Y53" s="144">
        <v>79683</v>
      </c>
      <c r="Z53" s="141">
        <v>79747</v>
      </c>
      <c r="AA53" s="141">
        <v>79795</v>
      </c>
      <c r="AB53" s="141">
        <v>79823</v>
      </c>
      <c r="AC53" s="144">
        <v>79841</v>
      </c>
      <c r="AD53" s="141">
        <v>79856</v>
      </c>
      <c r="AE53" s="141">
        <v>79873</v>
      </c>
      <c r="AF53" s="141">
        <v>79889</v>
      </c>
      <c r="AG53" s="141">
        <v>79920</v>
      </c>
      <c r="AH53" s="141">
        <v>79972</v>
      </c>
      <c r="AI53" s="141">
        <v>80025</v>
      </c>
      <c r="AJ53" s="294"/>
      <c r="AK53" s="120">
        <v>76576</v>
      </c>
      <c r="AL53" s="365">
        <v>73571</v>
      </c>
    </row>
    <row r="54" spans="1:224" s="212" customFormat="1" ht="36" customHeight="1" x14ac:dyDescent="0.2">
      <c r="A54" s="478" t="s">
        <v>137</v>
      </c>
      <c r="B54" s="245" t="s">
        <v>123</v>
      </c>
      <c r="C54" s="305">
        <v>0</v>
      </c>
      <c r="D54" s="305">
        <f t="shared" ref="D54:P59" si="32">D40-C40</f>
        <v>0</v>
      </c>
      <c r="E54" s="305">
        <f t="shared" si="32"/>
        <v>0</v>
      </c>
      <c r="F54" s="305">
        <f t="shared" si="32"/>
        <v>0</v>
      </c>
      <c r="G54" s="305">
        <f t="shared" si="32"/>
        <v>0</v>
      </c>
      <c r="H54" s="305">
        <f t="shared" si="32"/>
        <v>0</v>
      </c>
      <c r="I54" s="305">
        <f t="shared" si="32"/>
        <v>0</v>
      </c>
      <c r="J54" s="305">
        <f t="shared" si="32"/>
        <v>0</v>
      </c>
      <c r="K54" s="305">
        <f t="shared" si="32"/>
        <v>0</v>
      </c>
      <c r="L54" s="305">
        <f t="shared" si="32"/>
        <v>0</v>
      </c>
      <c r="M54" s="305">
        <f t="shared" si="32"/>
        <v>0</v>
      </c>
      <c r="N54" s="305">
        <f t="shared" si="32"/>
        <v>0</v>
      </c>
      <c r="O54" s="305">
        <f t="shared" si="32"/>
        <v>0</v>
      </c>
      <c r="P54" s="305">
        <f t="shared" si="32"/>
        <v>0</v>
      </c>
      <c r="Q54" s="305">
        <f t="shared" ref="Q54:AI59" si="33">Q40-P40</f>
        <v>0</v>
      </c>
      <c r="R54" s="305">
        <f t="shared" si="33"/>
        <v>0</v>
      </c>
      <c r="S54" s="305">
        <f t="shared" si="33"/>
        <v>0</v>
      </c>
      <c r="T54" s="305">
        <f t="shared" si="33"/>
        <v>0</v>
      </c>
      <c r="U54" s="305">
        <f t="shared" si="33"/>
        <v>0</v>
      </c>
      <c r="V54" s="305">
        <f t="shared" si="33"/>
        <v>0</v>
      </c>
      <c r="W54" s="305">
        <f t="shared" si="33"/>
        <v>0</v>
      </c>
      <c r="X54" s="305">
        <f t="shared" si="33"/>
        <v>0</v>
      </c>
      <c r="Y54" s="305">
        <f t="shared" si="33"/>
        <v>0</v>
      </c>
      <c r="Z54" s="305">
        <f t="shared" si="33"/>
        <v>0</v>
      </c>
      <c r="AA54" s="305">
        <f t="shared" si="33"/>
        <v>0</v>
      </c>
      <c r="AB54" s="305">
        <f t="shared" si="33"/>
        <v>0</v>
      </c>
      <c r="AC54" s="305">
        <f t="shared" si="33"/>
        <v>0</v>
      </c>
      <c r="AD54" s="305">
        <f t="shared" si="33"/>
        <v>0</v>
      </c>
      <c r="AE54" s="305">
        <f t="shared" si="33"/>
        <v>0</v>
      </c>
      <c r="AF54" s="305">
        <f t="shared" si="33"/>
        <v>0</v>
      </c>
      <c r="AG54" s="305">
        <f t="shared" si="33"/>
        <v>0</v>
      </c>
      <c r="AH54" s="305">
        <f t="shared" si="33"/>
        <v>0</v>
      </c>
      <c r="AI54" s="305">
        <f t="shared" si="33"/>
        <v>0</v>
      </c>
      <c r="AJ54" s="211"/>
      <c r="AK54" s="120">
        <v>0</v>
      </c>
      <c r="AL54" s="120">
        <v>0</v>
      </c>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c r="CJ54" s="120"/>
      <c r="CK54" s="120"/>
      <c r="CL54" s="120"/>
      <c r="CM54" s="120"/>
      <c r="CN54" s="120"/>
      <c r="CO54" s="120"/>
      <c r="CP54" s="120"/>
      <c r="CQ54" s="120"/>
      <c r="CR54" s="120"/>
      <c r="CS54" s="120"/>
      <c r="CT54" s="120"/>
      <c r="CU54" s="120"/>
      <c r="CV54" s="120"/>
      <c r="CW54" s="120"/>
      <c r="CX54" s="120"/>
      <c r="CY54" s="120"/>
      <c r="CZ54" s="120"/>
      <c r="DA54" s="120"/>
      <c r="DB54" s="120"/>
      <c r="DC54" s="120"/>
      <c r="DD54" s="120"/>
      <c r="DE54" s="120"/>
      <c r="DF54" s="120"/>
      <c r="DG54" s="120"/>
      <c r="DH54" s="120"/>
      <c r="DI54" s="120"/>
      <c r="DJ54" s="120"/>
      <c r="DK54" s="120"/>
      <c r="DL54" s="120"/>
      <c r="DM54" s="120"/>
      <c r="DN54" s="120"/>
      <c r="DO54" s="120"/>
      <c r="DP54" s="120"/>
      <c r="DQ54" s="120"/>
      <c r="DR54" s="120"/>
      <c r="DS54" s="120"/>
      <c r="DT54" s="120"/>
      <c r="DU54" s="120"/>
      <c r="DV54" s="120"/>
      <c r="DW54" s="120"/>
      <c r="DX54" s="120"/>
      <c r="DY54" s="120"/>
      <c r="DZ54" s="120"/>
      <c r="EA54" s="120"/>
      <c r="EB54" s="120"/>
      <c r="EC54" s="120"/>
      <c r="ED54" s="120"/>
      <c r="EE54" s="120"/>
      <c r="EF54" s="120"/>
      <c r="EG54" s="120"/>
      <c r="EH54" s="120"/>
      <c r="EI54" s="120"/>
      <c r="EJ54" s="120"/>
      <c r="EK54" s="120"/>
      <c r="EL54" s="120"/>
      <c r="EM54" s="120"/>
      <c r="EN54" s="120"/>
      <c r="EO54" s="120"/>
      <c r="EP54" s="120"/>
      <c r="EQ54" s="120"/>
      <c r="ER54" s="120"/>
      <c r="ES54" s="120"/>
      <c r="ET54" s="120"/>
      <c r="EU54" s="120"/>
      <c r="EV54" s="120"/>
      <c r="EW54" s="120"/>
      <c r="EX54" s="120"/>
      <c r="EY54" s="120"/>
      <c r="EZ54" s="120"/>
      <c r="FA54" s="120"/>
      <c r="FB54" s="120"/>
      <c r="FC54" s="120"/>
      <c r="FD54" s="120"/>
      <c r="FE54" s="120"/>
      <c r="FF54" s="120"/>
      <c r="FG54" s="120"/>
      <c r="FH54" s="120"/>
      <c r="FI54" s="120"/>
      <c r="FJ54" s="120"/>
      <c r="FK54" s="120"/>
      <c r="FL54" s="120"/>
      <c r="FM54" s="120"/>
      <c r="FN54" s="120"/>
      <c r="FO54" s="120"/>
      <c r="FP54" s="120"/>
      <c r="FQ54" s="120"/>
      <c r="FR54" s="120"/>
      <c r="FS54" s="120"/>
      <c r="FT54" s="120"/>
      <c r="FU54" s="120"/>
      <c r="FV54" s="120"/>
      <c r="FW54" s="120"/>
      <c r="FX54" s="120"/>
      <c r="FY54" s="120"/>
      <c r="FZ54" s="120"/>
      <c r="GA54" s="120"/>
      <c r="GB54" s="120"/>
      <c r="GC54" s="120"/>
      <c r="GD54" s="120"/>
      <c r="GE54" s="120"/>
      <c r="GF54" s="120"/>
      <c r="GG54" s="120"/>
      <c r="GH54" s="120"/>
      <c r="GI54" s="120"/>
      <c r="GJ54" s="120"/>
      <c r="GK54" s="120"/>
      <c r="GL54" s="120"/>
      <c r="GM54" s="120"/>
      <c r="GN54" s="120"/>
      <c r="GO54" s="120"/>
      <c r="GP54" s="120"/>
      <c r="GQ54" s="120"/>
      <c r="GR54" s="120"/>
      <c r="GS54" s="120"/>
      <c r="GT54" s="120"/>
      <c r="GU54" s="120"/>
      <c r="GV54" s="120"/>
      <c r="GW54" s="120"/>
      <c r="GX54" s="120"/>
      <c r="GY54" s="120"/>
      <c r="GZ54" s="120"/>
      <c r="HA54" s="120"/>
      <c r="HB54" s="120"/>
      <c r="HC54" s="120"/>
      <c r="HD54" s="120"/>
      <c r="HE54" s="120"/>
      <c r="HF54" s="120"/>
      <c r="HG54" s="120"/>
      <c r="HH54" s="120"/>
      <c r="HI54" s="120"/>
      <c r="HJ54" s="120"/>
      <c r="HK54" s="120"/>
      <c r="HL54" s="120"/>
      <c r="HM54" s="120"/>
      <c r="HN54" s="120"/>
      <c r="HO54" s="120"/>
      <c r="HP54" s="120"/>
    </row>
    <row r="55" spans="1:224" s="145" customFormat="1" ht="30" x14ac:dyDescent="0.2">
      <c r="A55" s="478"/>
      <c r="B55" s="146" t="s">
        <v>124</v>
      </c>
      <c r="C55" s="306">
        <v>3328</v>
      </c>
      <c r="D55" s="306">
        <f t="shared" si="32"/>
        <v>8844</v>
      </c>
      <c r="E55" s="306">
        <f t="shared" si="32"/>
        <v>8930</v>
      </c>
      <c r="F55" s="306">
        <f t="shared" si="32"/>
        <v>7068</v>
      </c>
      <c r="G55" s="306">
        <f t="shared" si="32"/>
        <v>6824</v>
      </c>
      <c r="H55" s="306">
        <f t="shared" si="32"/>
        <v>6442</v>
      </c>
      <c r="I55" s="306">
        <f t="shared" si="32"/>
        <v>7164</v>
      </c>
      <c r="J55" s="306">
        <f t="shared" si="32"/>
        <v>7766</v>
      </c>
      <c r="K55" s="306">
        <f t="shared" si="32"/>
        <v>6762</v>
      </c>
      <c r="L55" s="306">
        <f t="shared" si="32"/>
        <v>6510</v>
      </c>
      <c r="M55" s="306">
        <f t="shared" si="32"/>
        <v>7182</v>
      </c>
      <c r="N55" s="306">
        <f t="shared" si="32"/>
        <v>6734</v>
      </c>
      <c r="O55" s="306">
        <f t="shared" si="32"/>
        <v>5752</v>
      </c>
      <c r="P55" s="306">
        <f t="shared" si="32"/>
        <v>6130</v>
      </c>
      <c r="Q55" s="306">
        <f t="shared" si="33"/>
        <v>6638</v>
      </c>
      <c r="R55" s="306">
        <f t="shared" si="33"/>
        <v>6404</v>
      </c>
      <c r="S55" s="306">
        <f t="shared" si="33"/>
        <v>5936</v>
      </c>
      <c r="T55" s="306">
        <f t="shared" si="33"/>
        <v>6162</v>
      </c>
      <c r="U55" s="306">
        <f t="shared" si="33"/>
        <v>6662</v>
      </c>
      <c r="V55" s="306">
        <f t="shared" si="33"/>
        <v>6032</v>
      </c>
      <c r="W55" s="306">
        <f t="shared" si="33"/>
        <v>6778</v>
      </c>
      <c r="X55" s="306">
        <f t="shared" si="33"/>
        <v>7150</v>
      </c>
      <c r="Y55" s="306">
        <f t="shared" si="33"/>
        <v>6972</v>
      </c>
      <c r="Z55" s="306">
        <f t="shared" si="33"/>
        <v>6990</v>
      </c>
      <c r="AA55" s="306">
        <f t="shared" si="33"/>
        <v>6322</v>
      </c>
      <c r="AB55" s="306">
        <f t="shared" si="33"/>
        <v>6138</v>
      </c>
      <c r="AC55" s="306">
        <f t="shared" si="33"/>
        <v>7654</v>
      </c>
      <c r="AD55" s="306">
        <f t="shared" si="33"/>
        <v>2116</v>
      </c>
      <c r="AE55" s="306">
        <f t="shared" si="33"/>
        <v>2582</v>
      </c>
      <c r="AF55" s="306">
        <f t="shared" si="33"/>
        <v>3642</v>
      </c>
      <c r="AG55" s="306">
        <f t="shared" si="33"/>
        <v>6968</v>
      </c>
      <c r="AH55" s="306">
        <f t="shared" si="33"/>
        <v>5286</v>
      </c>
      <c r="AI55" s="306">
        <f t="shared" si="33"/>
        <v>5312</v>
      </c>
      <c r="AJ55" s="202"/>
      <c r="AK55" s="130">
        <v>5307</v>
      </c>
      <c r="AL55" s="130">
        <v>2298</v>
      </c>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c r="CT55" s="130"/>
      <c r="CU55" s="130"/>
      <c r="CV55" s="130"/>
      <c r="CW55" s="130"/>
      <c r="CX55" s="130"/>
      <c r="CY55" s="130"/>
      <c r="CZ55" s="130"/>
      <c r="DA55" s="130"/>
      <c r="DB55" s="130"/>
      <c r="DC55" s="130"/>
      <c r="DD55" s="130"/>
      <c r="DE55" s="130"/>
      <c r="DF55" s="130"/>
      <c r="DG55" s="130"/>
      <c r="DH55" s="130"/>
      <c r="DI55" s="130"/>
      <c r="DJ55" s="130"/>
      <c r="DK55" s="130"/>
      <c r="DL55" s="130"/>
      <c r="DM55" s="130"/>
      <c r="DN55" s="130"/>
      <c r="DO55" s="130"/>
      <c r="DP55" s="130"/>
      <c r="DQ55" s="130"/>
      <c r="DR55" s="130"/>
      <c r="DS55" s="130"/>
      <c r="DT55" s="130"/>
      <c r="DU55" s="130"/>
      <c r="DV55" s="130"/>
      <c r="DW55" s="130"/>
      <c r="DX55" s="130"/>
      <c r="DY55" s="130"/>
      <c r="DZ55" s="130"/>
      <c r="EA55" s="130"/>
      <c r="EB55" s="130"/>
      <c r="EC55" s="130"/>
      <c r="ED55" s="130"/>
      <c r="EE55" s="130"/>
      <c r="EF55" s="130"/>
      <c r="EG55" s="130"/>
      <c r="EH55" s="130"/>
      <c r="EI55" s="130"/>
      <c r="EJ55" s="130"/>
      <c r="EK55" s="130"/>
      <c r="EL55" s="130"/>
      <c r="EM55" s="130"/>
      <c r="EN55" s="130"/>
      <c r="EO55" s="130"/>
      <c r="EP55" s="130"/>
      <c r="EQ55" s="130"/>
      <c r="ER55" s="130"/>
      <c r="ES55" s="130"/>
      <c r="ET55" s="130"/>
      <c r="EU55" s="130"/>
      <c r="EV55" s="130"/>
      <c r="EW55" s="130"/>
      <c r="EX55" s="130"/>
      <c r="EY55" s="130"/>
      <c r="EZ55" s="130"/>
      <c r="FA55" s="130"/>
      <c r="FB55" s="130"/>
      <c r="FC55" s="130"/>
      <c r="FD55" s="130"/>
      <c r="FE55" s="130"/>
      <c r="FF55" s="130"/>
      <c r="FG55" s="130"/>
      <c r="FH55" s="130"/>
      <c r="FI55" s="130"/>
      <c r="FJ55" s="130"/>
      <c r="FK55" s="130"/>
      <c r="FL55" s="130"/>
      <c r="FM55" s="130"/>
      <c r="FN55" s="130"/>
      <c r="FO55" s="130"/>
      <c r="FP55" s="130"/>
      <c r="FQ55" s="130"/>
      <c r="FR55" s="130"/>
      <c r="FS55" s="130"/>
      <c r="FT55" s="130"/>
      <c r="FU55" s="130"/>
      <c r="FV55" s="130"/>
      <c r="FW55" s="130"/>
      <c r="FX55" s="130"/>
      <c r="FY55" s="130"/>
      <c r="FZ55" s="130"/>
      <c r="GA55" s="130"/>
      <c r="GB55" s="130"/>
      <c r="GC55" s="130"/>
      <c r="GD55" s="130"/>
      <c r="GE55" s="130"/>
      <c r="GF55" s="130"/>
      <c r="GG55" s="130"/>
      <c r="GH55" s="130"/>
      <c r="GI55" s="130"/>
      <c r="GJ55" s="130"/>
      <c r="GK55" s="130"/>
      <c r="GL55" s="130"/>
      <c r="GM55" s="130"/>
      <c r="GN55" s="130"/>
      <c r="GO55" s="130"/>
      <c r="GP55" s="130"/>
      <c r="GQ55" s="130"/>
      <c r="GR55" s="130"/>
      <c r="GS55" s="130"/>
      <c r="GT55" s="130"/>
      <c r="GU55" s="130"/>
      <c r="GV55" s="130"/>
      <c r="GW55" s="130"/>
      <c r="GX55" s="130"/>
      <c r="GY55" s="130"/>
      <c r="GZ55" s="130"/>
      <c r="HA55" s="130"/>
      <c r="HB55" s="130"/>
      <c r="HC55" s="130"/>
      <c r="HD55" s="130"/>
      <c r="HE55" s="130"/>
      <c r="HF55" s="130"/>
      <c r="HG55" s="130"/>
      <c r="HH55" s="130"/>
      <c r="HI55" s="130"/>
      <c r="HJ55" s="130"/>
      <c r="HK55" s="130"/>
      <c r="HL55" s="130"/>
      <c r="HM55" s="130"/>
      <c r="HN55" s="130"/>
      <c r="HO55" s="130"/>
      <c r="HP55" s="130"/>
    </row>
    <row r="56" spans="1:224" s="145" customFormat="1" ht="34.5" customHeight="1" x14ac:dyDescent="0.2">
      <c r="A56" s="478"/>
      <c r="B56" s="147" t="s">
        <v>125</v>
      </c>
      <c r="C56" s="307">
        <v>4271</v>
      </c>
      <c r="D56" s="307">
        <f t="shared" si="32"/>
        <v>10883</v>
      </c>
      <c r="E56" s="307">
        <f t="shared" si="32"/>
        <v>10348</v>
      </c>
      <c r="F56" s="307">
        <f t="shared" si="32"/>
        <v>12032</v>
      </c>
      <c r="G56" s="307">
        <f t="shared" si="32"/>
        <v>11165</v>
      </c>
      <c r="H56" s="307">
        <f t="shared" si="32"/>
        <v>11168</v>
      </c>
      <c r="I56" s="307">
        <f t="shared" si="32"/>
        <v>9915</v>
      </c>
      <c r="J56" s="307">
        <f t="shared" si="32"/>
        <v>10955</v>
      </c>
      <c r="K56" s="307">
        <f t="shared" si="32"/>
        <v>9665</v>
      </c>
      <c r="L56" s="307">
        <f t="shared" si="32"/>
        <v>10797</v>
      </c>
      <c r="M56" s="307">
        <f t="shared" si="32"/>
        <v>11217</v>
      </c>
      <c r="N56" s="307">
        <f t="shared" si="32"/>
        <v>11444</v>
      </c>
      <c r="O56" s="307">
        <f t="shared" si="32"/>
        <v>10042</v>
      </c>
      <c r="P56" s="307">
        <f t="shared" si="32"/>
        <v>10225</v>
      </c>
      <c r="Q56" s="307">
        <f t="shared" si="33"/>
        <v>10819</v>
      </c>
      <c r="R56" s="307">
        <f t="shared" si="33"/>
        <v>10581</v>
      </c>
      <c r="S56" s="307">
        <f t="shared" si="33"/>
        <v>9895</v>
      </c>
      <c r="T56" s="307">
        <f t="shared" si="33"/>
        <v>11803</v>
      </c>
      <c r="U56" s="307">
        <f t="shared" si="33"/>
        <v>11400</v>
      </c>
      <c r="V56" s="307">
        <f t="shared" si="33"/>
        <v>11016</v>
      </c>
      <c r="W56" s="307">
        <f t="shared" si="33"/>
        <v>11473</v>
      </c>
      <c r="X56" s="307">
        <f t="shared" si="33"/>
        <v>11716</v>
      </c>
      <c r="Y56" s="307">
        <f t="shared" si="33"/>
        <v>11394</v>
      </c>
      <c r="Z56" s="307">
        <f t="shared" si="33"/>
        <v>11312</v>
      </c>
      <c r="AA56" s="307">
        <f t="shared" si="33"/>
        <v>12339</v>
      </c>
      <c r="AB56" s="307">
        <f t="shared" si="33"/>
        <v>10690</v>
      </c>
      <c r="AC56" s="307">
        <f t="shared" si="33"/>
        <v>9307</v>
      </c>
      <c r="AD56" s="307">
        <f t="shared" si="33"/>
        <v>4242</v>
      </c>
      <c r="AE56" s="307">
        <f t="shared" si="33"/>
        <v>5080</v>
      </c>
      <c r="AF56" s="307">
        <f t="shared" si="33"/>
        <v>8407</v>
      </c>
      <c r="AG56" s="307">
        <f t="shared" si="33"/>
        <v>10189</v>
      </c>
      <c r="AH56" s="307">
        <f t="shared" si="33"/>
        <v>10090</v>
      </c>
      <c r="AI56" s="307">
        <f t="shared" si="33"/>
        <v>8887</v>
      </c>
      <c r="AJ56" s="202"/>
      <c r="AK56" s="130">
        <v>8337</v>
      </c>
      <c r="AL56" s="130">
        <v>3923</v>
      </c>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c r="CX56" s="130"/>
      <c r="CY56" s="130"/>
      <c r="CZ56" s="130"/>
      <c r="DA56" s="130"/>
      <c r="DB56" s="130"/>
      <c r="DC56" s="130"/>
      <c r="DD56" s="130"/>
      <c r="DE56" s="130"/>
      <c r="DF56" s="130"/>
      <c r="DG56" s="130"/>
      <c r="DH56" s="130"/>
      <c r="DI56" s="130"/>
      <c r="DJ56" s="130"/>
      <c r="DK56" s="130"/>
      <c r="DL56" s="130"/>
      <c r="DM56" s="130"/>
      <c r="DN56" s="130"/>
      <c r="DO56" s="130"/>
      <c r="DP56" s="130"/>
      <c r="DQ56" s="130"/>
      <c r="DR56" s="130"/>
      <c r="DS56" s="130"/>
      <c r="DT56" s="130"/>
      <c r="DU56" s="130"/>
      <c r="DV56" s="130"/>
      <c r="DW56" s="130"/>
      <c r="DX56" s="130"/>
      <c r="DY56" s="130"/>
      <c r="DZ56" s="130"/>
      <c r="EA56" s="130"/>
      <c r="EB56" s="130"/>
      <c r="EC56" s="130"/>
      <c r="ED56" s="130"/>
      <c r="EE56" s="130"/>
      <c r="EF56" s="130"/>
      <c r="EG56" s="130"/>
      <c r="EH56" s="130"/>
      <c r="EI56" s="130"/>
      <c r="EJ56" s="130"/>
      <c r="EK56" s="130"/>
      <c r="EL56" s="130"/>
      <c r="EM56" s="130"/>
      <c r="EN56" s="130"/>
      <c r="EO56" s="130"/>
      <c r="EP56" s="130"/>
      <c r="EQ56" s="130"/>
      <c r="ER56" s="130"/>
      <c r="ES56" s="130"/>
      <c r="ET56" s="130"/>
      <c r="EU56" s="130"/>
      <c r="EV56" s="130"/>
      <c r="EW56" s="130"/>
      <c r="EX56" s="130"/>
      <c r="EY56" s="130"/>
      <c r="EZ56" s="130"/>
      <c r="FA56" s="130"/>
      <c r="FB56" s="130"/>
      <c r="FC56" s="130"/>
      <c r="FD56" s="130"/>
      <c r="FE56" s="130"/>
      <c r="FF56" s="130"/>
      <c r="FG56" s="130"/>
      <c r="FH56" s="130"/>
      <c r="FI56" s="130"/>
      <c r="FJ56" s="130"/>
      <c r="FK56" s="130"/>
      <c r="FL56" s="130"/>
      <c r="FM56" s="130"/>
      <c r="FN56" s="130"/>
      <c r="FO56" s="130"/>
      <c r="FP56" s="130"/>
      <c r="FQ56" s="130"/>
      <c r="FR56" s="130"/>
      <c r="FS56" s="130"/>
      <c r="FT56" s="130"/>
      <c r="FU56" s="130"/>
      <c r="FV56" s="130"/>
      <c r="FW56" s="130"/>
      <c r="FX56" s="130"/>
      <c r="FY56" s="130"/>
      <c r="FZ56" s="130"/>
      <c r="GA56" s="130"/>
      <c r="GB56" s="130"/>
      <c r="GC56" s="130"/>
      <c r="GD56" s="130"/>
      <c r="GE56" s="130"/>
      <c r="GF56" s="130"/>
      <c r="GG56" s="130"/>
      <c r="GH56" s="130"/>
      <c r="GI56" s="130"/>
      <c r="GJ56" s="130"/>
      <c r="GK56" s="130"/>
      <c r="GL56" s="130"/>
      <c r="GM56" s="130"/>
      <c r="GN56" s="130"/>
      <c r="GO56" s="130"/>
      <c r="GP56" s="130"/>
      <c r="GQ56" s="130"/>
      <c r="GR56" s="130"/>
      <c r="GS56" s="130"/>
      <c r="GT56" s="130"/>
      <c r="GU56" s="130"/>
      <c r="GV56" s="130"/>
      <c r="GW56" s="130"/>
      <c r="GX56" s="130"/>
      <c r="GY56" s="130"/>
      <c r="GZ56" s="130"/>
      <c r="HA56" s="130"/>
      <c r="HB56" s="130"/>
      <c r="HC56" s="130"/>
      <c r="HD56" s="130"/>
      <c r="HE56" s="130"/>
      <c r="HF56" s="130"/>
      <c r="HG56" s="130"/>
      <c r="HH56" s="130"/>
      <c r="HI56" s="130"/>
      <c r="HJ56" s="130"/>
      <c r="HK56" s="130"/>
      <c r="HL56" s="130"/>
      <c r="HM56" s="130"/>
      <c r="HN56" s="130"/>
      <c r="HO56" s="130"/>
      <c r="HP56" s="130"/>
    </row>
    <row r="57" spans="1:224" s="212" customFormat="1" ht="28.5" customHeight="1" x14ac:dyDescent="0.2">
      <c r="A57" s="478"/>
      <c r="B57" s="213" t="s">
        <v>126</v>
      </c>
      <c r="C57" s="305">
        <v>0</v>
      </c>
      <c r="D57" s="305">
        <f t="shared" si="32"/>
        <v>0</v>
      </c>
      <c r="E57" s="305">
        <f t="shared" si="32"/>
        <v>0</v>
      </c>
      <c r="F57" s="305">
        <f t="shared" si="32"/>
        <v>0</v>
      </c>
      <c r="G57" s="305">
        <f t="shared" si="32"/>
        <v>0</v>
      </c>
      <c r="H57" s="305">
        <f t="shared" si="32"/>
        <v>0</v>
      </c>
      <c r="I57" s="305">
        <f t="shared" si="32"/>
        <v>0</v>
      </c>
      <c r="J57" s="305">
        <f t="shared" si="32"/>
        <v>0</v>
      </c>
      <c r="K57" s="305">
        <f t="shared" si="32"/>
        <v>0</v>
      </c>
      <c r="L57" s="305">
        <f t="shared" si="32"/>
        <v>0</v>
      </c>
      <c r="M57" s="305">
        <f t="shared" si="32"/>
        <v>0</v>
      </c>
      <c r="N57" s="305">
        <f t="shared" si="32"/>
        <v>0</v>
      </c>
      <c r="O57" s="305">
        <f t="shared" si="32"/>
        <v>0</v>
      </c>
      <c r="P57" s="305">
        <f t="shared" si="32"/>
        <v>0</v>
      </c>
      <c r="Q57" s="305">
        <f t="shared" si="33"/>
        <v>0</v>
      </c>
      <c r="R57" s="305">
        <f t="shared" si="33"/>
        <v>0</v>
      </c>
      <c r="S57" s="305">
        <f t="shared" si="33"/>
        <v>0</v>
      </c>
      <c r="T57" s="305">
        <f t="shared" si="33"/>
        <v>0</v>
      </c>
      <c r="U57" s="305">
        <f t="shared" si="33"/>
        <v>0</v>
      </c>
      <c r="V57" s="305">
        <f t="shared" si="33"/>
        <v>0</v>
      </c>
      <c r="W57" s="305">
        <f t="shared" si="33"/>
        <v>0</v>
      </c>
      <c r="X57" s="305">
        <f t="shared" si="33"/>
        <v>0</v>
      </c>
      <c r="Y57" s="305">
        <f t="shared" si="33"/>
        <v>0</v>
      </c>
      <c r="Z57" s="305">
        <f t="shared" si="33"/>
        <v>0</v>
      </c>
      <c r="AA57" s="305">
        <f t="shared" si="33"/>
        <v>0</v>
      </c>
      <c r="AB57" s="305">
        <f t="shared" si="33"/>
        <v>0</v>
      </c>
      <c r="AC57" s="305">
        <f t="shared" si="33"/>
        <v>0</v>
      </c>
      <c r="AD57" s="305">
        <f t="shared" si="33"/>
        <v>0</v>
      </c>
      <c r="AE57" s="305">
        <f t="shared" si="33"/>
        <v>0</v>
      </c>
      <c r="AF57" s="305">
        <f t="shared" si="33"/>
        <v>0</v>
      </c>
      <c r="AG57" s="305">
        <f t="shared" si="33"/>
        <v>0</v>
      </c>
      <c r="AH57" s="305">
        <f t="shared" si="33"/>
        <v>0</v>
      </c>
      <c r="AI57" s="305">
        <f t="shared" si="33"/>
        <v>0</v>
      </c>
      <c r="AJ57" s="214">
        <f>AC55-AC59</f>
        <v>6378</v>
      </c>
      <c r="AK57" s="120">
        <v>0</v>
      </c>
      <c r="AL57" s="120">
        <v>0</v>
      </c>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c r="CJ57" s="120"/>
      <c r="CK57" s="120"/>
      <c r="CL57" s="120"/>
      <c r="CM57" s="120"/>
      <c r="CN57" s="120"/>
      <c r="CO57" s="120"/>
      <c r="CP57" s="120"/>
      <c r="CQ57" s="120"/>
      <c r="CR57" s="120"/>
      <c r="CS57" s="120"/>
      <c r="CT57" s="120"/>
      <c r="CU57" s="120"/>
      <c r="CV57" s="120"/>
      <c r="CW57" s="120"/>
      <c r="CX57" s="120"/>
      <c r="CY57" s="120"/>
      <c r="CZ57" s="120"/>
      <c r="DA57" s="120"/>
      <c r="DB57" s="120"/>
      <c r="DC57" s="120"/>
      <c r="DD57" s="120"/>
      <c r="DE57" s="120"/>
      <c r="DF57" s="120"/>
      <c r="DG57" s="120"/>
      <c r="DH57" s="120"/>
      <c r="DI57" s="120"/>
      <c r="DJ57" s="120"/>
      <c r="DK57" s="120"/>
      <c r="DL57" s="120"/>
      <c r="DM57" s="120"/>
      <c r="DN57" s="120"/>
      <c r="DO57" s="120"/>
      <c r="DP57" s="120"/>
      <c r="DQ57" s="120"/>
      <c r="DR57" s="120"/>
      <c r="DS57" s="120"/>
      <c r="DT57" s="120"/>
      <c r="DU57" s="120"/>
      <c r="DV57" s="120"/>
      <c r="DW57" s="120"/>
      <c r="DX57" s="120"/>
      <c r="DY57" s="120"/>
      <c r="DZ57" s="120"/>
      <c r="EA57" s="120"/>
      <c r="EB57" s="120"/>
      <c r="EC57" s="120"/>
      <c r="ED57" s="120"/>
      <c r="EE57" s="120"/>
      <c r="EF57" s="120"/>
      <c r="EG57" s="120"/>
      <c r="EH57" s="120"/>
      <c r="EI57" s="120"/>
      <c r="EJ57" s="120"/>
      <c r="EK57" s="120"/>
      <c r="EL57" s="120"/>
      <c r="EM57" s="120"/>
      <c r="EN57" s="120"/>
      <c r="EO57" s="120"/>
      <c r="EP57" s="120"/>
      <c r="EQ57" s="120"/>
      <c r="ER57" s="120"/>
      <c r="ES57" s="120"/>
      <c r="ET57" s="120"/>
      <c r="EU57" s="120"/>
      <c r="EV57" s="120"/>
      <c r="EW57" s="120"/>
      <c r="EX57" s="120"/>
      <c r="EY57" s="120"/>
      <c r="EZ57" s="120"/>
      <c r="FA57" s="120"/>
      <c r="FB57" s="120"/>
      <c r="FC57" s="120"/>
      <c r="FD57" s="120"/>
      <c r="FE57" s="120"/>
      <c r="FF57" s="120"/>
      <c r="FG57" s="120"/>
      <c r="FH57" s="120"/>
      <c r="FI57" s="120"/>
      <c r="FJ57" s="120"/>
      <c r="FK57" s="120"/>
      <c r="FL57" s="120"/>
      <c r="FM57" s="120"/>
      <c r="FN57" s="120"/>
      <c r="FO57" s="120"/>
      <c r="FP57" s="120"/>
      <c r="FQ57" s="120"/>
      <c r="FR57" s="120"/>
      <c r="FS57" s="120"/>
      <c r="FT57" s="120"/>
      <c r="FU57" s="120"/>
      <c r="FV57" s="120"/>
      <c r="FW57" s="120"/>
      <c r="FX57" s="120"/>
      <c r="FY57" s="120"/>
      <c r="FZ57" s="120"/>
      <c r="GA57" s="120"/>
      <c r="GB57" s="120"/>
      <c r="GC57" s="120"/>
      <c r="GD57" s="120"/>
      <c r="GE57" s="120"/>
      <c r="GF57" s="120"/>
      <c r="GG57" s="120"/>
      <c r="GH57" s="120"/>
      <c r="GI57" s="120"/>
      <c r="GJ57" s="120"/>
      <c r="GK57" s="120"/>
      <c r="GL57" s="120"/>
      <c r="GM57" s="120"/>
      <c r="GN57" s="120"/>
      <c r="GO57" s="120"/>
      <c r="GP57" s="120"/>
      <c r="GQ57" s="120"/>
      <c r="GR57" s="120"/>
      <c r="GS57" s="120"/>
      <c r="GT57" s="120"/>
      <c r="GU57" s="120"/>
      <c r="GV57" s="120"/>
      <c r="GW57" s="120"/>
      <c r="GX57" s="120"/>
      <c r="GY57" s="120"/>
      <c r="GZ57" s="120"/>
      <c r="HA57" s="120"/>
      <c r="HB57" s="120"/>
      <c r="HC57" s="120"/>
      <c r="HD57" s="120"/>
      <c r="HE57" s="120"/>
      <c r="HF57" s="120"/>
      <c r="HG57" s="120"/>
      <c r="HH57" s="120"/>
      <c r="HI57" s="120"/>
      <c r="HJ57" s="120"/>
      <c r="HK57" s="120"/>
      <c r="HL57" s="120"/>
      <c r="HM57" s="120"/>
      <c r="HN57" s="120"/>
      <c r="HO57" s="120"/>
      <c r="HP57" s="120"/>
    </row>
    <row r="58" spans="1:224" s="145" customFormat="1" ht="28.5" customHeight="1" x14ac:dyDescent="0.2">
      <c r="A58" s="478"/>
      <c r="B58" s="146" t="s">
        <v>127</v>
      </c>
      <c r="C58" s="306">
        <v>4362</v>
      </c>
      <c r="D58" s="306">
        <f t="shared" si="32"/>
        <v>8430</v>
      </c>
      <c r="E58" s="306">
        <f t="shared" si="32"/>
        <v>8010</v>
      </c>
      <c r="F58" s="306">
        <f t="shared" si="32"/>
        <v>5715</v>
      </c>
      <c r="G58" s="306">
        <f t="shared" si="32"/>
        <v>3306</v>
      </c>
      <c r="H58" s="306">
        <f t="shared" si="32"/>
        <v>3024</v>
      </c>
      <c r="I58" s="306">
        <f t="shared" si="32"/>
        <v>3334</v>
      </c>
      <c r="J58" s="306">
        <f t="shared" si="32"/>
        <v>2409</v>
      </c>
      <c r="K58" s="306">
        <f t="shared" si="32"/>
        <v>3204</v>
      </c>
      <c r="L58" s="306">
        <f t="shared" si="32"/>
        <v>2801</v>
      </c>
      <c r="M58" s="306">
        <f t="shared" si="32"/>
        <v>3021</v>
      </c>
      <c r="N58" s="306">
        <f t="shared" si="32"/>
        <v>2958</v>
      </c>
      <c r="O58" s="306">
        <f t="shared" si="32"/>
        <v>3495</v>
      </c>
      <c r="P58" s="306">
        <f t="shared" si="32"/>
        <v>4444</v>
      </c>
      <c r="Q58" s="306">
        <f t="shared" si="33"/>
        <v>3941</v>
      </c>
      <c r="R58" s="306">
        <f t="shared" si="33"/>
        <v>3410</v>
      </c>
      <c r="S58" s="306">
        <f t="shared" si="33"/>
        <v>3568</v>
      </c>
      <c r="T58" s="306">
        <f t="shared" si="33"/>
        <v>2987</v>
      </c>
      <c r="U58" s="306">
        <f t="shared" si="33"/>
        <v>2949</v>
      </c>
      <c r="V58" s="306">
        <f t="shared" si="33"/>
        <v>3266</v>
      </c>
      <c r="W58" s="306">
        <f t="shared" si="33"/>
        <v>2898</v>
      </c>
      <c r="X58" s="306">
        <f t="shared" si="33"/>
        <v>2762</v>
      </c>
      <c r="Y58" s="306">
        <f t="shared" si="33"/>
        <v>2571</v>
      </c>
      <c r="Z58" s="306">
        <f t="shared" si="33"/>
        <v>2812</v>
      </c>
      <c r="AA58" s="306">
        <f t="shared" si="33"/>
        <v>2871</v>
      </c>
      <c r="AB58" s="306">
        <f t="shared" si="33"/>
        <v>2981</v>
      </c>
      <c r="AC58" s="306">
        <f t="shared" si="33"/>
        <v>5543</v>
      </c>
      <c r="AD58" s="306">
        <f t="shared" si="33"/>
        <v>3581</v>
      </c>
      <c r="AE58" s="306">
        <f t="shared" si="33"/>
        <v>2049</v>
      </c>
      <c r="AF58" s="306">
        <f t="shared" si="33"/>
        <v>2352</v>
      </c>
      <c r="AG58" s="306">
        <f t="shared" si="33"/>
        <v>2574</v>
      </c>
      <c r="AH58" s="306">
        <f t="shared" si="33"/>
        <v>3283</v>
      </c>
      <c r="AI58" s="306">
        <f t="shared" si="33"/>
        <v>2472</v>
      </c>
      <c r="AJ58" s="202">
        <f>AD58+AD59+AD66</f>
        <v>6646</v>
      </c>
      <c r="AK58" s="130">
        <v>3723</v>
      </c>
      <c r="AL58" s="130">
        <v>4776</v>
      </c>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c r="CX58" s="130"/>
      <c r="CY58" s="130"/>
      <c r="CZ58" s="130"/>
      <c r="DA58" s="130"/>
      <c r="DB58" s="130"/>
      <c r="DC58" s="130"/>
      <c r="DD58" s="130"/>
      <c r="DE58" s="130"/>
      <c r="DF58" s="130"/>
      <c r="DG58" s="130"/>
      <c r="DH58" s="130"/>
      <c r="DI58" s="130"/>
      <c r="DJ58" s="130"/>
      <c r="DK58" s="130"/>
      <c r="DL58" s="130"/>
      <c r="DM58" s="130"/>
      <c r="DN58" s="130"/>
      <c r="DO58" s="130"/>
      <c r="DP58" s="130"/>
      <c r="DQ58" s="130"/>
      <c r="DR58" s="130"/>
      <c r="DS58" s="130"/>
      <c r="DT58" s="130"/>
      <c r="DU58" s="130"/>
      <c r="DV58" s="130"/>
      <c r="DW58" s="130"/>
      <c r="DX58" s="130"/>
      <c r="DY58" s="130"/>
      <c r="DZ58" s="130"/>
      <c r="EA58" s="130"/>
      <c r="EB58" s="130"/>
      <c r="EC58" s="130"/>
      <c r="ED58" s="130"/>
      <c r="EE58" s="130"/>
      <c r="EF58" s="130"/>
      <c r="EG58" s="130"/>
      <c r="EH58" s="130"/>
      <c r="EI58" s="130"/>
      <c r="EJ58" s="130"/>
      <c r="EK58" s="130"/>
      <c r="EL58" s="130"/>
      <c r="EM58" s="130"/>
      <c r="EN58" s="130"/>
      <c r="EO58" s="130"/>
      <c r="EP58" s="130"/>
      <c r="EQ58" s="130"/>
      <c r="ER58" s="130"/>
      <c r="ES58" s="130"/>
      <c r="ET58" s="130"/>
      <c r="EU58" s="130"/>
      <c r="EV58" s="130"/>
      <c r="EW58" s="130"/>
      <c r="EX58" s="130"/>
      <c r="EY58" s="130"/>
      <c r="EZ58" s="130"/>
      <c r="FA58" s="130"/>
      <c r="FB58" s="130"/>
      <c r="FC58" s="130"/>
      <c r="FD58" s="130"/>
      <c r="FE58" s="130"/>
      <c r="FF58" s="130"/>
      <c r="FG58" s="130"/>
      <c r="FH58" s="130"/>
      <c r="FI58" s="130"/>
      <c r="FJ58" s="130"/>
      <c r="FK58" s="130"/>
      <c r="FL58" s="130"/>
      <c r="FM58" s="130"/>
      <c r="FN58" s="130"/>
      <c r="FO58" s="130"/>
      <c r="FP58" s="130"/>
      <c r="FQ58" s="130"/>
      <c r="FR58" s="130"/>
      <c r="FS58" s="130"/>
      <c r="FT58" s="130"/>
      <c r="FU58" s="130"/>
      <c r="FV58" s="130"/>
      <c r="FW58" s="130"/>
      <c r="FX58" s="130"/>
      <c r="FY58" s="130"/>
      <c r="FZ58" s="130"/>
      <c r="GA58" s="130"/>
      <c r="GB58" s="130"/>
      <c r="GC58" s="130"/>
      <c r="GD58" s="130"/>
      <c r="GE58" s="130"/>
      <c r="GF58" s="130"/>
      <c r="GG58" s="130"/>
      <c r="GH58" s="130"/>
      <c r="GI58" s="130"/>
      <c r="GJ58" s="130"/>
      <c r="GK58" s="130"/>
      <c r="GL58" s="130"/>
      <c r="GM58" s="130"/>
      <c r="GN58" s="130"/>
      <c r="GO58" s="130"/>
      <c r="GP58" s="130"/>
      <c r="GQ58" s="130"/>
      <c r="GR58" s="130"/>
      <c r="GS58" s="130"/>
      <c r="GT58" s="130"/>
      <c r="GU58" s="130"/>
      <c r="GV58" s="130"/>
      <c r="GW58" s="130"/>
      <c r="GX58" s="130"/>
      <c r="GY58" s="130"/>
      <c r="GZ58" s="130"/>
      <c r="HA58" s="130"/>
      <c r="HB58" s="130"/>
      <c r="HC58" s="130"/>
      <c r="HD58" s="130"/>
      <c r="HE58" s="130"/>
      <c r="HF58" s="130"/>
      <c r="HG58" s="130"/>
      <c r="HH58" s="130"/>
      <c r="HI58" s="130"/>
      <c r="HJ58" s="130"/>
      <c r="HK58" s="130"/>
      <c r="HL58" s="130"/>
      <c r="HM58" s="130"/>
      <c r="HN58" s="130"/>
      <c r="HO58" s="130"/>
      <c r="HP58" s="130"/>
    </row>
    <row r="59" spans="1:224" s="145" customFormat="1" ht="36" customHeight="1" x14ac:dyDescent="0.2">
      <c r="A59" s="478"/>
      <c r="B59" s="147" t="s">
        <v>128</v>
      </c>
      <c r="C59" s="308">
        <v>5017</v>
      </c>
      <c r="D59" s="308">
        <f t="shared" si="32"/>
        <v>4782</v>
      </c>
      <c r="E59" s="308">
        <f t="shared" si="32"/>
        <v>4082</v>
      </c>
      <c r="F59" s="308">
        <f t="shared" si="32"/>
        <v>7068</v>
      </c>
      <c r="G59" s="308">
        <f t="shared" si="32"/>
        <v>7128</v>
      </c>
      <c r="H59" s="308">
        <f t="shared" si="32"/>
        <v>6636</v>
      </c>
      <c r="I59" s="308">
        <f t="shared" si="32"/>
        <v>5548</v>
      </c>
      <c r="J59" s="308">
        <f t="shared" si="32"/>
        <v>6334</v>
      </c>
      <c r="K59" s="308">
        <f t="shared" si="32"/>
        <v>5958</v>
      </c>
      <c r="L59" s="308">
        <f t="shared" si="32"/>
        <v>6964</v>
      </c>
      <c r="M59" s="308">
        <f t="shared" si="32"/>
        <v>6862</v>
      </c>
      <c r="N59" s="308">
        <f t="shared" si="32"/>
        <v>7566</v>
      </c>
      <c r="O59" s="308">
        <f t="shared" si="32"/>
        <v>5882</v>
      </c>
      <c r="P59" s="308">
        <f t="shared" si="32"/>
        <v>5606</v>
      </c>
      <c r="Q59" s="308">
        <f t="shared" si="33"/>
        <v>5402</v>
      </c>
      <c r="R59" s="308">
        <f t="shared" si="33"/>
        <v>7070</v>
      </c>
      <c r="S59" s="308">
        <f t="shared" si="33"/>
        <v>7058</v>
      </c>
      <c r="T59" s="308">
        <f t="shared" si="33"/>
        <v>7720</v>
      </c>
      <c r="U59" s="308">
        <f t="shared" si="33"/>
        <v>7668</v>
      </c>
      <c r="V59" s="308">
        <f t="shared" si="33"/>
        <v>7056</v>
      </c>
      <c r="W59" s="308">
        <f t="shared" si="33"/>
        <v>7454</v>
      </c>
      <c r="X59" s="308">
        <f t="shared" si="33"/>
        <v>7162</v>
      </c>
      <c r="Y59" s="308">
        <f t="shared" si="33"/>
        <v>7182</v>
      </c>
      <c r="Z59" s="308">
        <f t="shared" si="33"/>
        <v>7094</v>
      </c>
      <c r="AA59" s="308">
        <f t="shared" si="33"/>
        <v>6588</v>
      </c>
      <c r="AB59" s="308">
        <f t="shared" si="33"/>
        <v>5648</v>
      </c>
      <c r="AC59" s="308">
        <f t="shared" si="33"/>
        <v>1276</v>
      </c>
      <c r="AD59" s="308">
        <f t="shared" si="33"/>
        <v>2334</v>
      </c>
      <c r="AE59" s="308">
        <f t="shared" si="33"/>
        <v>3496</v>
      </c>
      <c r="AF59" s="308">
        <f t="shared" si="33"/>
        <v>4638</v>
      </c>
      <c r="AG59" s="308">
        <f t="shared" si="33"/>
        <v>4766</v>
      </c>
      <c r="AH59" s="308">
        <f t="shared" si="33"/>
        <v>5066</v>
      </c>
      <c r="AI59" s="308">
        <f>AI45-AH45</f>
        <v>4174</v>
      </c>
      <c r="AJ59" s="202"/>
      <c r="AK59" s="130">
        <v>700</v>
      </c>
      <c r="AL59" s="130">
        <v>2556</v>
      </c>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c r="CV59" s="130"/>
      <c r="CW59" s="130"/>
      <c r="CX59" s="130"/>
      <c r="CY59" s="130"/>
      <c r="CZ59" s="130"/>
      <c r="DA59" s="130"/>
      <c r="DB59" s="130"/>
      <c r="DC59" s="130"/>
      <c r="DD59" s="130"/>
      <c r="DE59" s="130"/>
      <c r="DF59" s="130"/>
      <c r="DG59" s="130"/>
      <c r="DH59" s="130"/>
      <c r="DI59" s="130"/>
      <c r="DJ59" s="130"/>
      <c r="DK59" s="130"/>
      <c r="DL59" s="130"/>
      <c r="DM59" s="130"/>
      <c r="DN59" s="130"/>
      <c r="DO59" s="130"/>
      <c r="DP59" s="130"/>
      <c r="DQ59" s="130"/>
      <c r="DR59" s="130"/>
      <c r="DS59" s="130"/>
      <c r="DT59" s="130"/>
      <c r="DU59" s="130"/>
      <c r="DV59" s="130"/>
      <c r="DW59" s="130"/>
      <c r="DX59" s="130"/>
      <c r="DY59" s="130"/>
      <c r="DZ59" s="130"/>
      <c r="EA59" s="130"/>
      <c r="EB59" s="130"/>
      <c r="EC59" s="130"/>
      <c r="ED59" s="130"/>
      <c r="EE59" s="130"/>
      <c r="EF59" s="130"/>
      <c r="EG59" s="130"/>
      <c r="EH59" s="130"/>
      <c r="EI59" s="130"/>
      <c r="EJ59" s="130"/>
      <c r="EK59" s="130"/>
      <c r="EL59" s="130"/>
      <c r="EM59" s="130"/>
      <c r="EN59" s="130"/>
      <c r="EO59" s="130"/>
      <c r="EP59" s="130"/>
      <c r="EQ59" s="130"/>
      <c r="ER59" s="130"/>
      <c r="ES59" s="130"/>
      <c r="ET59" s="130"/>
      <c r="EU59" s="130"/>
      <c r="EV59" s="130"/>
      <c r="EW59" s="130"/>
      <c r="EX59" s="130"/>
      <c r="EY59" s="130"/>
      <c r="EZ59" s="130"/>
      <c r="FA59" s="130"/>
      <c r="FB59" s="130"/>
      <c r="FC59" s="130"/>
      <c r="FD59" s="130"/>
      <c r="FE59" s="130"/>
      <c r="FF59" s="130"/>
      <c r="FG59" s="130"/>
      <c r="FH59" s="130"/>
      <c r="FI59" s="130"/>
      <c r="FJ59" s="130"/>
      <c r="FK59" s="130"/>
      <c r="FL59" s="130"/>
      <c r="FM59" s="130"/>
      <c r="FN59" s="130"/>
      <c r="FO59" s="130"/>
      <c r="FP59" s="130"/>
      <c r="FQ59" s="130"/>
      <c r="FR59" s="130"/>
      <c r="FS59" s="130"/>
      <c r="FT59" s="130"/>
      <c r="FU59" s="130"/>
      <c r="FV59" s="130"/>
      <c r="FW59" s="130"/>
      <c r="FX59" s="130"/>
      <c r="FY59" s="130"/>
      <c r="FZ59" s="130"/>
      <c r="GA59" s="130"/>
      <c r="GB59" s="130"/>
      <c r="GC59" s="130"/>
      <c r="GD59" s="130"/>
      <c r="GE59" s="130"/>
      <c r="GF59" s="130"/>
      <c r="GG59" s="130"/>
      <c r="GH59" s="130"/>
      <c r="GI59" s="130"/>
      <c r="GJ59" s="130"/>
      <c r="GK59" s="130"/>
      <c r="GL59" s="130"/>
      <c r="GM59" s="130"/>
      <c r="GN59" s="130"/>
      <c r="GO59" s="130"/>
      <c r="GP59" s="130"/>
      <c r="GQ59" s="130"/>
      <c r="GR59" s="130"/>
      <c r="GS59" s="130"/>
      <c r="GT59" s="130"/>
      <c r="GU59" s="130"/>
      <c r="GV59" s="130"/>
      <c r="GW59" s="130"/>
      <c r="GX59" s="130"/>
      <c r="GY59" s="130"/>
      <c r="GZ59" s="130"/>
      <c r="HA59" s="130"/>
      <c r="HB59" s="130"/>
      <c r="HC59" s="130"/>
      <c r="HD59" s="130"/>
      <c r="HE59" s="130"/>
      <c r="HF59" s="130"/>
      <c r="HG59" s="130"/>
      <c r="HH59" s="130"/>
      <c r="HI59" s="130"/>
      <c r="HJ59" s="130"/>
      <c r="HK59" s="130"/>
      <c r="HL59" s="130"/>
      <c r="HM59" s="130"/>
      <c r="HN59" s="130"/>
      <c r="HO59" s="130"/>
      <c r="HP59" s="130"/>
    </row>
    <row r="60" spans="1:224" s="145" customFormat="1" ht="36" customHeight="1" x14ac:dyDescent="0.2">
      <c r="A60" s="478"/>
      <c r="B60" s="416" t="s">
        <v>154</v>
      </c>
      <c r="C60" s="417"/>
      <c r="D60" s="417">
        <f t="shared" ref="D60:E60" si="34">SUM(D59,D55)-D56</f>
        <v>2743</v>
      </c>
      <c r="E60" s="417">
        <f t="shared" si="34"/>
        <v>2664</v>
      </c>
      <c r="F60" s="417">
        <f t="shared" ref="F60:G60" si="35">SUM(F59,F55)-F56</f>
        <v>2104</v>
      </c>
      <c r="G60" s="417">
        <f t="shared" si="35"/>
        <v>2787</v>
      </c>
      <c r="H60" s="417">
        <f t="shared" ref="H60:I60" si="36">SUM(H59,H55)-H56</f>
        <v>1910</v>
      </c>
      <c r="I60" s="417">
        <f t="shared" si="36"/>
        <v>2797</v>
      </c>
      <c r="J60" s="417">
        <f t="shared" ref="J60:K60" si="37">SUM(J59,J55)-J56</f>
        <v>3145</v>
      </c>
      <c r="K60" s="417">
        <f t="shared" si="37"/>
        <v>3055</v>
      </c>
      <c r="L60" s="417">
        <f t="shared" ref="L60:M60" si="38">SUM(L59,L55)-L56</f>
        <v>2677</v>
      </c>
      <c r="M60" s="417">
        <f t="shared" si="38"/>
        <v>2827</v>
      </c>
      <c r="N60" s="417">
        <f t="shared" ref="N60:O60" si="39">SUM(N59,N55)-N56</f>
        <v>2856</v>
      </c>
      <c r="O60" s="417">
        <f t="shared" si="39"/>
        <v>1592</v>
      </c>
      <c r="P60" s="417">
        <f t="shared" ref="P60" si="40">SUM(P59,P55)-P56</f>
        <v>1511</v>
      </c>
      <c r="Q60" s="417">
        <f t="shared" ref="Q60:V60" si="41">SUM(Q59,Q55)-Q56</f>
        <v>1221</v>
      </c>
      <c r="R60" s="417">
        <f t="shared" si="41"/>
        <v>2893</v>
      </c>
      <c r="S60" s="417">
        <f t="shared" si="41"/>
        <v>3099</v>
      </c>
      <c r="T60" s="417">
        <f t="shared" si="41"/>
        <v>2079</v>
      </c>
      <c r="U60" s="417">
        <f t="shared" si="41"/>
        <v>2930</v>
      </c>
      <c r="V60" s="417">
        <f t="shared" si="41"/>
        <v>2072</v>
      </c>
      <c r="W60" s="417">
        <f t="shared" ref="W60:X60" si="42">SUM(W59,W55)-W56</f>
        <v>2759</v>
      </c>
      <c r="X60" s="417">
        <f t="shared" si="42"/>
        <v>2596</v>
      </c>
      <c r="Y60" s="417">
        <f t="shared" ref="Y60:Z60" si="43">SUM(Y59,Y55)-Y56</f>
        <v>2760</v>
      </c>
      <c r="Z60" s="417">
        <f t="shared" si="43"/>
        <v>2772</v>
      </c>
      <c r="AA60" s="417">
        <f t="shared" ref="AA60:AB60" si="44">SUM(AA59,AA55)-AA56</f>
        <v>571</v>
      </c>
      <c r="AB60" s="417">
        <f t="shared" si="44"/>
        <v>1096</v>
      </c>
      <c r="AC60" s="417">
        <f t="shared" ref="AC60:AD60" si="45">SUM(AC59,AC55)-AC56</f>
        <v>-377</v>
      </c>
      <c r="AD60" s="417">
        <f t="shared" si="45"/>
        <v>208</v>
      </c>
      <c r="AE60" s="417">
        <f t="shared" ref="AE60:AF60" si="46">SUM(AE59,AE55)-AE56</f>
        <v>998</v>
      </c>
      <c r="AF60" s="417">
        <f t="shared" si="46"/>
        <v>-127</v>
      </c>
      <c r="AG60" s="417">
        <f t="shared" ref="AG60:AH60" si="47">SUM(AG59,AG55)-AG56</f>
        <v>1545</v>
      </c>
      <c r="AH60" s="417">
        <f t="shared" si="47"/>
        <v>262</v>
      </c>
      <c r="AI60" s="417">
        <f t="shared" ref="AI60" si="48">SUM(AI59,AI55)-AI56</f>
        <v>599</v>
      </c>
      <c r="AJ60" s="202"/>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0"/>
      <c r="CQ60" s="130"/>
      <c r="CR60" s="130"/>
      <c r="CS60" s="130"/>
      <c r="CT60" s="130"/>
      <c r="CU60" s="130"/>
      <c r="CV60" s="130"/>
      <c r="CW60" s="130"/>
      <c r="CX60" s="130"/>
      <c r="CY60" s="130"/>
      <c r="CZ60" s="130"/>
      <c r="DA60" s="130"/>
      <c r="DB60" s="130"/>
      <c r="DC60" s="130"/>
      <c r="DD60" s="130"/>
      <c r="DE60" s="130"/>
      <c r="DF60" s="130"/>
      <c r="DG60" s="130"/>
      <c r="DH60" s="130"/>
      <c r="DI60" s="130"/>
      <c r="DJ60" s="130"/>
      <c r="DK60" s="130"/>
      <c r="DL60" s="130"/>
      <c r="DM60" s="130"/>
      <c r="DN60" s="130"/>
      <c r="DO60" s="130"/>
      <c r="DP60" s="130"/>
      <c r="DQ60" s="130"/>
      <c r="DR60" s="130"/>
      <c r="DS60" s="130"/>
      <c r="DT60" s="130"/>
      <c r="DU60" s="130"/>
      <c r="DV60" s="130"/>
      <c r="DW60" s="130"/>
      <c r="DX60" s="130"/>
      <c r="DY60" s="130"/>
      <c r="DZ60" s="130"/>
      <c r="EA60" s="130"/>
      <c r="EB60" s="130"/>
      <c r="EC60" s="130"/>
      <c r="ED60" s="130"/>
      <c r="EE60" s="130"/>
      <c r="EF60" s="130"/>
      <c r="EG60" s="130"/>
      <c r="EH60" s="130"/>
      <c r="EI60" s="130"/>
      <c r="EJ60" s="130"/>
      <c r="EK60" s="130"/>
      <c r="EL60" s="130"/>
      <c r="EM60" s="130"/>
      <c r="EN60" s="130"/>
      <c r="EO60" s="130"/>
      <c r="EP60" s="130"/>
      <c r="EQ60" s="130"/>
      <c r="ER60" s="130"/>
      <c r="ES60" s="130"/>
      <c r="ET60" s="130"/>
      <c r="EU60" s="130"/>
      <c r="EV60" s="130"/>
      <c r="EW60" s="130"/>
      <c r="EX60" s="130"/>
      <c r="EY60" s="130"/>
      <c r="EZ60" s="130"/>
      <c r="FA60" s="130"/>
      <c r="FB60" s="130"/>
      <c r="FC60" s="130"/>
      <c r="FD60" s="130"/>
      <c r="FE60" s="130"/>
      <c r="FF60" s="130"/>
      <c r="FG60" s="130"/>
      <c r="FH60" s="130"/>
      <c r="FI60" s="130"/>
      <c r="FJ60" s="130"/>
      <c r="FK60" s="130"/>
      <c r="FL60" s="130"/>
      <c r="FM60" s="130"/>
      <c r="FN60" s="130"/>
      <c r="FO60" s="130"/>
      <c r="FP60" s="130"/>
      <c r="FQ60" s="130"/>
      <c r="FR60" s="130"/>
      <c r="FS60" s="130"/>
      <c r="FT60" s="130"/>
      <c r="FU60" s="130"/>
      <c r="FV60" s="130"/>
      <c r="FW60" s="130"/>
      <c r="FX60" s="130"/>
      <c r="FY60" s="130"/>
      <c r="FZ60" s="130"/>
      <c r="GA60" s="130"/>
      <c r="GB60" s="130"/>
      <c r="GC60" s="130"/>
      <c r="GD60" s="130"/>
      <c r="GE60" s="130"/>
      <c r="GF60" s="130"/>
      <c r="GG60" s="130"/>
      <c r="GH60" s="130"/>
      <c r="GI60" s="130"/>
      <c r="GJ60" s="130"/>
      <c r="GK60" s="130"/>
      <c r="GL60" s="130"/>
      <c r="GM60" s="130"/>
      <c r="GN60" s="130"/>
      <c r="GO60" s="130"/>
      <c r="GP60" s="130"/>
      <c r="GQ60" s="130"/>
      <c r="GR60" s="130"/>
      <c r="GS60" s="130"/>
      <c r="GT60" s="130"/>
      <c r="GU60" s="130"/>
      <c r="GV60" s="130"/>
      <c r="GW60" s="130"/>
      <c r="GX60" s="130"/>
      <c r="GY60" s="130"/>
      <c r="GZ60" s="130"/>
      <c r="HA60" s="130"/>
      <c r="HB60" s="130"/>
      <c r="HC60" s="130"/>
      <c r="HD60" s="130"/>
      <c r="HE60" s="130"/>
      <c r="HF60" s="130"/>
      <c r="HG60" s="130"/>
      <c r="HH60" s="130"/>
      <c r="HI60" s="130"/>
      <c r="HJ60" s="130"/>
      <c r="HK60" s="130"/>
      <c r="HL60" s="130"/>
      <c r="HM60" s="130"/>
      <c r="HN60" s="130"/>
      <c r="HO60" s="130"/>
      <c r="HP60" s="130"/>
    </row>
    <row r="61" spans="1:224" s="145" customFormat="1" ht="13.5" customHeight="1" x14ac:dyDescent="0.2">
      <c r="A61" s="478"/>
      <c r="B61" s="252" t="s">
        <v>138</v>
      </c>
      <c r="C61" s="306">
        <v>0</v>
      </c>
      <c r="D61" s="306">
        <f t="shared" ref="D61:P61" si="49">D46-C46</f>
        <v>0</v>
      </c>
      <c r="E61" s="306">
        <f t="shared" si="49"/>
        <v>0</v>
      </c>
      <c r="F61" s="306">
        <f t="shared" si="49"/>
        <v>0</v>
      </c>
      <c r="G61" s="306">
        <f t="shared" si="49"/>
        <v>0</v>
      </c>
      <c r="H61" s="306">
        <f t="shared" si="49"/>
        <v>0</v>
      </c>
      <c r="I61" s="306">
        <f t="shared" si="49"/>
        <v>0</v>
      </c>
      <c r="J61" s="306">
        <f t="shared" si="49"/>
        <v>0</v>
      </c>
      <c r="K61" s="306">
        <f t="shared" si="49"/>
        <v>0</v>
      </c>
      <c r="L61" s="306">
        <f t="shared" si="49"/>
        <v>0</v>
      </c>
      <c r="M61" s="306">
        <f t="shared" si="49"/>
        <v>0</v>
      </c>
      <c r="N61" s="306">
        <f t="shared" si="49"/>
        <v>0</v>
      </c>
      <c r="O61" s="306">
        <f t="shared" si="49"/>
        <v>0</v>
      </c>
      <c r="P61" s="306">
        <f t="shared" si="49"/>
        <v>0</v>
      </c>
      <c r="Q61" s="306">
        <f t="shared" ref="Q61:AI68" si="50">Q46-P46</f>
        <v>0</v>
      </c>
      <c r="R61" s="306">
        <f t="shared" si="50"/>
        <v>0</v>
      </c>
      <c r="S61" s="306">
        <f t="shared" si="50"/>
        <v>0</v>
      </c>
      <c r="T61" s="306">
        <f t="shared" si="50"/>
        <v>0</v>
      </c>
      <c r="U61" s="306">
        <f t="shared" si="50"/>
        <v>0</v>
      </c>
      <c r="V61" s="306">
        <f t="shared" si="50"/>
        <v>0</v>
      </c>
      <c r="W61" s="306">
        <f t="shared" si="50"/>
        <v>0</v>
      </c>
      <c r="X61" s="306">
        <f t="shared" si="50"/>
        <v>0</v>
      </c>
      <c r="Y61" s="306">
        <f t="shared" si="50"/>
        <v>0</v>
      </c>
      <c r="Z61" s="306">
        <f t="shared" si="50"/>
        <v>0</v>
      </c>
      <c r="AA61" s="306">
        <f t="shared" si="50"/>
        <v>0</v>
      </c>
      <c r="AB61" s="306">
        <f t="shared" si="50"/>
        <v>0</v>
      </c>
      <c r="AC61" s="306">
        <f t="shared" si="50"/>
        <v>0</v>
      </c>
      <c r="AD61" s="306">
        <f t="shared" si="50"/>
        <v>0</v>
      </c>
      <c r="AE61" s="306">
        <f t="shared" si="50"/>
        <v>0</v>
      </c>
      <c r="AF61" s="306">
        <f t="shared" si="50"/>
        <v>0</v>
      </c>
      <c r="AG61" s="306">
        <f t="shared" si="50"/>
        <v>0</v>
      </c>
      <c r="AH61" s="306">
        <f t="shared" si="50"/>
        <v>0</v>
      </c>
      <c r="AI61" s="306">
        <f t="shared" si="50"/>
        <v>0</v>
      </c>
      <c r="AJ61" s="202"/>
      <c r="AK61" s="130">
        <v>0</v>
      </c>
      <c r="AL61" s="130">
        <v>0</v>
      </c>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c r="CV61" s="130"/>
      <c r="CW61" s="130"/>
      <c r="CX61" s="130"/>
      <c r="CY61" s="130"/>
      <c r="CZ61" s="130"/>
      <c r="DA61" s="130"/>
      <c r="DB61" s="130"/>
      <c r="DC61" s="130"/>
      <c r="DD61" s="130"/>
      <c r="DE61" s="130"/>
      <c r="DF61" s="130"/>
      <c r="DG61" s="130"/>
      <c r="DH61" s="130"/>
      <c r="DI61" s="130"/>
      <c r="DJ61" s="130"/>
      <c r="DK61" s="130"/>
      <c r="DL61" s="130"/>
      <c r="DM61" s="130"/>
      <c r="DN61" s="130"/>
      <c r="DO61" s="130"/>
      <c r="DP61" s="130"/>
      <c r="DQ61" s="130"/>
      <c r="DR61" s="130"/>
      <c r="DS61" s="130"/>
      <c r="DT61" s="130"/>
      <c r="DU61" s="130"/>
      <c r="DV61" s="130"/>
      <c r="DW61" s="130"/>
      <c r="DX61" s="130"/>
      <c r="DY61" s="130"/>
      <c r="DZ61" s="130"/>
      <c r="EA61" s="130"/>
      <c r="EB61" s="130"/>
      <c r="EC61" s="130"/>
      <c r="ED61" s="130"/>
      <c r="EE61" s="130"/>
      <c r="EF61" s="130"/>
      <c r="EG61" s="130"/>
      <c r="EH61" s="130"/>
      <c r="EI61" s="130"/>
      <c r="EJ61" s="130"/>
      <c r="EK61" s="130"/>
      <c r="EL61" s="130"/>
      <c r="EM61" s="130"/>
      <c r="EN61" s="130"/>
      <c r="EO61" s="130"/>
      <c r="EP61" s="130"/>
      <c r="EQ61" s="130"/>
      <c r="ER61" s="130"/>
      <c r="ES61" s="130"/>
      <c r="ET61" s="130"/>
      <c r="EU61" s="130"/>
      <c r="EV61" s="130"/>
      <c r="EW61" s="130"/>
      <c r="EX61" s="130"/>
      <c r="EY61" s="130"/>
      <c r="EZ61" s="130"/>
      <c r="FA61" s="130"/>
      <c r="FB61" s="130"/>
      <c r="FC61" s="130"/>
      <c r="FD61" s="130"/>
      <c r="FE61" s="130"/>
      <c r="FF61" s="130"/>
      <c r="FG61" s="130"/>
      <c r="FH61" s="130"/>
      <c r="FI61" s="130"/>
      <c r="FJ61" s="130"/>
      <c r="FK61" s="130"/>
      <c r="FL61" s="130"/>
      <c r="FM61" s="130"/>
      <c r="FN61" s="130"/>
      <c r="FO61" s="130"/>
      <c r="FP61" s="130"/>
      <c r="FQ61" s="130"/>
      <c r="FR61" s="130"/>
      <c r="FS61" s="130"/>
      <c r="FT61" s="130"/>
      <c r="FU61" s="130"/>
      <c r="FV61" s="130"/>
      <c r="FW61" s="130"/>
      <c r="FX61" s="130"/>
      <c r="FY61" s="130"/>
      <c r="FZ61" s="130"/>
      <c r="GA61" s="130"/>
      <c r="GB61" s="130"/>
      <c r="GC61" s="130"/>
      <c r="GD61" s="130"/>
      <c r="GE61" s="130"/>
      <c r="GF61" s="130"/>
      <c r="GG61" s="130"/>
      <c r="GH61" s="130"/>
      <c r="GI61" s="130"/>
      <c r="GJ61" s="130"/>
      <c r="GK61" s="130"/>
      <c r="GL61" s="130"/>
      <c r="GM61" s="130"/>
      <c r="GN61" s="130"/>
      <c r="GO61" s="130"/>
      <c r="GP61" s="130"/>
      <c r="GQ61" s="130"/>
      <c r="GR61" s="130"/>
      <c r="GS61" s="130"/>
      <c r="GT61" s="130"/>
      <c r="GU61" s="130"/>
      <c r="GV61" s="130"/>
      <c r="GW61" s="130"/>
      <c r="GX61" s="130"/>
      <c r="GY61" s="130"/>
      <c r="GZ61" s="130"/>
      <c r="HA61" s="130"/>
      <c r="HB61" s="130"/>
      <c r="HC61" s="130"/>
      <c r="HD61" s="130"/>
      <c r="HE61" s="130"/>
      <c r="HF61" s="130"/>
      <c r="HG61" s="130"/>
      <c r="HH61" s="130"/>
      <c r="HI61" s="130"/>
      <c r="HJ61" s="130"/>
      <c r="HK61" s="130"/>
      <c r="HL61" s="130"/>
      <c r="HM61" s="130"/>
      <c r="HN61" s="130"/>
      <c r="HO61" s="130"/>
      <c r="HP61" s="130"/>
    </row>
    <row r="62" spans="1:224" s="212" customFormat="1" ht="18.75" customHeight="1" x14ac:dyDescent="0.2">
      <c r="A62" s="478"/>
      <c r="B62" s="253" t="s">
        <v>139</v>
      </c>
      <c r="C62" s="305">
        <v>1027</v>
      </c>
      <c r="D62" s="305">
        <f t="shared" ref="D62:P62" si="51">D47-C47</f>
        <v>694</v>
      </c>
      <c r="E62" s="305">
        <f t="shared" si="51"/>
        <v>401</v>
      </c>
      <c r="F62" s="305">
        <f t="shared" si="51"/>
        <v>189</v>
      </c>
      <c r="G62" s="305">
        <f t="shared" si="51"/>
        <v>456</v>
      </c>
      <c r="H62" s="305">
        <f t="shared" si="51"/>
        <v>602</v>
      </c>
      <c r="I62" s="305">
        <f t="shared" si="51"/>
        <v>892</v>
      </c>
      <c r="J62" s="305">
        <f t="shared" si="51"/>
        <v>432</v>
      </c>
      <c r="K62" s="305">
        <f t="shared" si="51"/>
        <v>416</v>
      </c>
      <c r="L62" s="305">
        <f t="shared" si="51"/>
        <v>399</v>
      </c>
      <c r="M62" s="305">
        <f t="shared" si="51"/>
        <v>479</v>
      </c>
      <c r="N62" s="305">
        <f t="shared" si="51"/>
        <v>652</v>
      </c>
      <c r="O62" s="305">
        <f t="shared" si="51"/>
        <v>562</v>
      </c>
      <c r="P62" s="305">
        <f t="shared" si="51"/>
        <v>527</v>
      </c>
      <c r="Q62" s="305">
        <f t="shared" si="50"/>
        <v>716</v>
      </c>
      <c r="R62" s="305">
        <f t="shared" si="50"/>
        <v>639</v>
      </c>
      <c r="S62" s="305">
        <f t="shared" si="50"/>
        <v>557</v>
      </c>
      <c r="T62" s="305">
        <f t="shared" si="50"/>
        <v>719</v>
      </c>
      <c r="U62" s="305">
        <f t="shared" si="50"/>
        <v>549</v>
      </c>
      <c r="V62" s="305">
        <f t="shared" si="50"/>
        <v>623</v>
      </c>
      <c r="W62" s="305">
        <f t="shared" si="50"/>
        <v>928</v>
      </c>
      <c r="X62" s="305">
        <f t="shared" si="50"/>
        <v>768</v>
      </c>
      <c r="Y62" s="305">
        <f t="shared" si="50"/>
        <v>806</v>
      </c>
      <c r="Z62" s="305">
        <f t="shared" si="50"/>
        <v>676</v>
      </c>
      <c r="AA62" s="305">
        <f t="shared" si="50"/>
        <v>767</v>
      </c>
      <c r="AB62" s="305">
        <f t="shared" si="50"/>
        <v>705</v>
      </c>
      <c r="AC62" s="305">
        <f t="shared" si="50"/>
        <v>1233</v>
      </c>
      <c r="AD62" s="305">
        <f t="shared" si="50"/>
        <v>845</v>
      </c>
      <c r="AE62" s="305">
        <f t="shared" si="50"/>
        <v>994</v>
      </c>
      <c r="AF62" s="305">
        <f t="shared" si="50"/>
        <v>1071</v>
      </c>
      <c r="AG62" s="305">
        <f t="shared" si="50"/>
        <v>1026</v>
      </c>
      <c r="AH62" s="305">
        <f t="shared" si="50"/>
        <v>877</v>
      </c>
      <c r="AI62" s="305">
        <f t="shared" si="50"/>
        <v>898</v>
      </c>
      <c r="AJ62" s="214"/>
      <c r="AK62" s="120">
        <v>278</v>
      </c>
      <c r="AL62" s="120">
        <v>440</v>
      </c>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c r="CJ62" s="120"/>
      <c r="CK62" s="120"/>
      <c r="CL62" s="120"/>
      <c r="CM62" s="120"/>
      <c r="CN62" s="120"/>
      <c r="CO62" s="120"/>
      <c r="CP62" s="120"/>
      <c r="CQ62" s="120"/>
      <c r="CR62" s="120"/>
      <c r="CS62" s="120"/>
      <c r="CT62" s="120"/>
      <c r="CU62" s="120"/>
      <c r="CV62" s="120"/>
      <c r="CW62" s="120"/>
      <c r="CX62" s="120"/>
      <c r="CY62" s="120"/>
      <c r="CZ62" s="120"/>
      <c r="DA62" s="120"/>
      <c r="DB62" s="120"/>
      <c r="DC62" s="120"/>
      <c r="DD62" s="120"/>
      <c r="DE62" s="120"/>
      <c r="DF62" s="120"/>
      <c r="DG62" s="120"/>
      <c r="DH62" s="120"/>
      <c r="DI62" s="120"/>
      <c r="DJ62" s="120"/>
      <c r="DK62" s="120"/>
      <c r="DL62" s="120"/>
      <c r="DM62" s="120"/>
      <c r="DN62" s="120"/>
      <c r="DO62" s="120"/>
      <c r="DP62" s="120"/>
      <c r="DQ62" s="120"/>
      <c r="DR62" s="120"/>
      <c r="DS62" s="120"/>
      <c r="DT62" s="120"/>
      <c r="DU62" s="120"/>
      <c r="DV62" s="120"/>
      <c r="DW62" s="120"/>
      <c r="DX62" s="120"/>
      <c r="DY62" s="120"/>
      <c r="DZ62" s="120"/>
      <c r="EA62" s="120"/>
      <c r="EB62" s="120"/>
      <c r="EC62" s="120"/>
      <c r="ED62" s="120"/>
      <c r="EE62" s="120"/>
      <c r="EF62" s="120"/>
      <c r="EG62" s="120"/>
      <c r="EH62" s="120"/>
      <c r="EI62" s="120"/>
      <c r="EJ62" s="120"/>
      <c r="EK62" s="120"/>
      <c r="EL62" s="120"/>
      <c r="EM62" s="120"/>
      <c r="EN62" s="120"/>
      <c r="EO62" s="120"/>
      <c r="EP62" s="120"/>
      <c r="EQ62" s="120"/>
      <c r="ER62" s="120"/>
      <c r="ES62" s="120"/>
      <c r="ET62" s="120"/>
      <c r="EU62" s="120"/>
      <c r="EV62" s="120"/>
      <c r="EW62" s="120"/>
      <c r="EX62" s="120"/>
      <c r="EY62" s="120"/>
      <c r="EZ62" s="120"/>
      <c r="FA62" s="120"/>
      <c r="FB62" s="120"/>
      <c r="FC62" s="120"/>
      <c r="FD62" s="120"/>
      <c r="FE62" s="120"/>
      <c r="FF62" s="120"/>
      <c r="FG62" s="120"/>
      <c r="FH62" s="120"/>
      <c r="FI62" s="120"/>
      <c r="FJ62" s="120"/>
      <c r="FK62" s="120"/>
      <c r="FL62" s="120"/>
      <c r="FM62" s="120"/>
      <c r="FN62" s="120"/>
      <c r="FO62" s="120"/>
      <c r="FP62" s="120"/>
      <c r="FQ62" s="120"/>
      <c r="FR62" s="120"/>
      <c r="FS62" s="120"/>
      <c r="FT62" s="120"/>
      <c r="FU62" s="120"/>
      <c r="FV62" s="120"/>
      <c r="FW62" s="120"/>
      <c r="FX62" s="120"/>
      <c r="FY62" s="120"/>
      <c r="FZ62" s="120"/>
      <c r="GA62" s="120"/>
      <c r="GB62" s="120"/>
      <c r="GC62" s="120"/>
      <c r="GD62" s="120"/>
      <c r="GE62" s="120"/>
      <c r="GF62" s="120"/>
      <c r="GG62" s="120"/>
      <c r="GH62" s="120"/>
      <c r="GI62" s="120"/>
      <c r="GJ62" s="120"/>
      <c r="GK62" s="120"/>
      <c r="GL62" s="120"/>
      <c r="GM62" s="120"/>
      <c r="GN62" s="120"/>
      <c r="GO62" s="120"/>
      <c r="GP62" s="120"/>
      <c r="GQ62" s="120"/>
      <c r="GR62" s="120"/>
      <c r="GS62" s="120"/>
      <c r="GT62" s="120"/>
      <c r="GU62" s="120"/>
      <c r="GV62" s="120"/>
      <c r="GW62" s="120"/>
      <c r="GX62" s="120"/>
      <c r="GY62" s="120"/>
      <c r="GZ62" s="120"/>
      <c r="HA62" s="120"/>
      <c r="HB62" s="120"/>
      <c r="HC62" s="120"/>
      <c r="HD62" s="120"/>
      <c r="HE62" s="120"/>
      <c r="HF62" s="120"/>
      <c r="HG62" s="120"/>
      <c r="HH62" s="120"/>
      <c r="HI62" s="120"/>
      <c r="HJ62" s="120"/>
      <c r="HK62" s="120"/>
      <c r="HL62" s="120"/>
      <c r="HM62" s="120"/>
      <c r="HN62" s="120"/>
      <c r="HO62" s="120"/>
      <c r="HP62" s="120"/>
    </row>
    <row r="63" spans="1:224" s="145" customFormat="1" ht="26.25" customHeight="1" x14ac:dyDescent="0.2">
      <c r="A63" s="478"/>
      <c r="B63" s="147" t="s">
        <v>131</v>
      </c>
      <c r="C63" s="308">
        <v>1156</v>
      </c>
      <c r="D63" s="308">
        <f t="shared" ref="D63:P63" si="52">D48-C48</f>
        <v>4145</v>
      </c>
      <c r="E63" s="308">
        <f t="shared" si="52"/>
        <v>3801</v>
      </c>
      <c r="F63" s="308">
        <f t="shared" si="52"/>
        <v>2344</v>
      </c>
      <c r="G63" s="308">
        <f t="shared" si="52"/>
        <v>2223</v>
      </c>
      <c r="H63" s="308">
        <f t="shared" si="52"/>
        <v>2294</v>
      </c>
      <c r="I63" s="308">
        <f t="shared" si="52"/>
        <v>2673</v>
      </c>
      <c r="J63" s="308">
        <f t="shared" si="52"/>
        <v>2180</v>
      </c>
      <c r="K63" s="308">
        <f t="shared" si="52"/>
        <v>2730</v>
      </c>
      <c r="L63" s="308">
        <f t="shared" si="52"/>
        <v>2169</v>
      </c>
      <c r="M63" s="308">
        <f t="shared" si="52"/>
        <v>2441</v>
      </c>
      <c r="N63" s="308">
        <f t="shared" si="52"/>
        <v>2409</v>
      </c>
      <c r="O63" s="308">
        <f t="shared" si="52"/>
        <v>3219</v>
      </c>
      <c r="P63" s="308">
        <f t="shared" si="52"/>
        <v>3687</v>
      </c>
      <c r="Q63" s="308">
        <f t="shared" si="50"/>
        <v>3623</v>
      </c>
      <c r="R63" s="308">
        <f t="shared" si="50"/>
        <v>2950</v>
      </c>
      <c r="S63" s="308">
        <f t="shared" si="50"/>
        <v>3060</v>
      </c>
      <c r="T63" s="308">
        <f t="shared" si="50"/>
        <v>2569</v>
      </c>
      <c r="U63" s="308">
        <f t="shared" si="50"/>
        <v>2379</v>
      </c>
      <c r="V63" s="308">
        <f t="shared" si="50"/>
        <v>2756</v>
      </c>
      <c r="W63" s="308">
        <f t="shared" si="50"/>
        <v>2400</v>
      </c>
      <c r="X63" s="308">
        <f t="shared" si="50"/>
        <v>2305</v>
      </c>
      <c r="Y63" s="308">
        <f t="shared" si="50"/>
        <v>2106</v>
      </c>
      <c r="Z63" s="308">
        <f t="shared" si="50"/>
        <v>2109</v>
      </c>
      <c r="AA63" s="308">
        <f t="shared" si="50"/>
        <v>2248</v>
      </c>
      <c r="AB63" s="308">
        <f t="shared" si="50"/>
        <v>2702</v>
      </c>
      <c r="AC63" s="308">
        <f t="shared" si="50"/>
        <v>270</v>
      </c>
      <c r="AD63" s="308">
        <f t="shared" si="50"/>
        <v>1012</v>
      </c>
      <c r="AE63" s="308">
        <f t="shared" si="50"/>
        <v>1757</v>
      </c>
      <c r="AF63" s="308">
        <f t="shared" si="50"/>
        <v>1901</v>
      </c>
      <c r="AG63" s="308">
        <f t="shared" si="50"/>
        <v>2277</v>
      </c>
      <c r="AH63" s="308">
        <f t="shared" si="50"/>
        <v>2566</v>
      </c>
      <c r="AI63" s="308">
        <f>AI48-AH48</f>
        <v>2120</v>
      </c>
      <c r="AJ63" s="202"/>
      <c r="AK63" s="130">
        <v>1618</v>
      </c>
      <c r="AL63" s="130">
        <v>2318</v>
      </c>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c r="CV63" s="130"/>
      <c r="CW63" s="130"/>
      <c r="CX63" s="130"/>
      <c r="CY63" s="130"/>
      <c r="CZ63" s="130"/>
      <c r="DA63" s="130"/>
      <c r="DB63" s="130"/>
      <c r="DC63" s="130"/>
      <c r="DD63" s="130"/>
      <c r="DE63" s="130"/>
      <c r="DF63" s="130"/>
      <c r="DG63" s="130"/>
      <c r="DH63" s="130"/>
      <c r="DI63" s="130"/>
      <c r="DJ63" s="130"/>
      <c r="DK63" s="130"/>
      <c r="DL63" s="130"/>
      <c r="DM63" s="130"/>
      <c r="DN63" s="130"/>
      <c r="DO63" s="130"/>
      <c r="DP63" s="130"/>
      <c r="DQ63" s="130"/>
      <c r="DR63" s="130"/>
      <c r="DS63" s="130"/>
      <c r="DT63" s="130"/>
      <c r="DU63" s="130"/>
      <c r="DV63" s="130"/>
      <c r="DW63" s="130"/>
      <c r="DX63" s="130"/>
      <c r="DY63" s="130"/>
      <c r="DZ63" s="130"/>
      <c r="EA63" s="130"/>
      <c r="EB63" s="130"/>
      <c r="EC63" s="130"/>
      <c r="ED63" s="130"/>
      <c r="EE63" s="130"/>
      <c r="EF63" s="130"/>
      <c r="EG63" s="130"/>
      <c r="EH63" s="130"/>
      <c r="EI63" s="130"/>
      <c r="EJ63" s="130"/>
      <c r="EK63" s="130"/>
      <c r="EL63" s="130"/>
      <c r="EM63" s="130"/>
      <c r="EN63" s="130"/>
      <c r="EO63" s="130"/>
      <c r="EP63" s="130"/>
      <c r="EQ63" s="130"/>
      <c r="ER63" s="130"/>
      <c r="ES63" s="130"/>
      <c r="ET63" s="130"/>
      <c r="EU63" s="130"/>
      <c r="EV63" s="130"/>
      <c r="EW63" s="130"/>
      <c r="EX63" s="130"/>
      <c r="EY63" s="130"/>
      <c r="EZ63" s="130"/>
      <c r="FA63" s="130"/>
      <c r="FB63" s="130"/>
      <c r="FC63" s="130"/>
      <c r="FD63" s="130"/>
      <c r="FE63" s="130"/>
      <c r="FF63" s="130"/>
      <c r="FG63" s="130"/>
      <c r="FH63" s="130"/>
      <c r="FI63" s="130"/>
      <c r="FJ63" s="130"/>
      <c r="FK63" s="130"/>
      <c r="FL63" s="130"/>
      <c r="FM63" s="130"/>
      <c r="FN63" s="130"/>
      <c r="FO63" s="130"/>
      <c r="FP63" s="130"/>
      <c r="FQ63" s="130"/>
      <c r="FR63" s="130"/>
      <c r="FS63" s="130"/>
      <c r="FT63" s="130"/>
      <c r="FU63" s="130"/>
      <c r="FV63" s="130"/>
      <c r="FW63" s="130"/>
      <c r="FX63" s="130"/>
      <c r="FY63" s="130"/>
      <c r="FZ63" s="130"/>
      <c r="GA63" s="130"/>
      <c r="GB63" s="130"/>
      <c r="GC63" s="130"/>
      <c r="GD63" s="130"/>
      <c r="GE63" s="130"/>
      <c r="GF63" s="130"/>
      <c r="GG63" s="130"/>
      <c r="GH63" s="130"/>
      <c r="GI63" s="130"/>
      <c r="GJ63" s="130"/>
      <c r="GK63" s="130"/>
      <c r="GL63" s="130"/>
      <c r="GM63" s="130"/>
      <c r="GN63" s="130"/>
      <c r="GO63" s="130"/>
      <c r="GP63" s="130"/>
      <c r="GQ63" s="130"/>
      <c r="GR63" s="130"/>
      <c r="GS63" s="130"/>
      <c r="GT63" s="130"/>
      <c r="GU63" s="130"/>
      <c r="GV63" s="130"/>
      <c r="GW63" s="130"/>
      <c r="GX63" s="130"/>
      <c r="GY63" s="130"/>
      <c r="GZ63" s="130"/>
      <c r="HA63" s="130"/>
      <c r="HB63" s="130"/>
      <c r="HC63" s="130"/>
      <c r="HD63" s="130"/>
      <c r="HE63" s="130"/>
      <c r="HF63" s="130"/>
      <c r="HG63" s="130"/>
      <c r="HH63" s="130"/>
      <c r="HI63" s="130"/>
      <c r="HJ63" s="130"/>
      <c r="HK63" s="130"/>
      <c r="HL63" s="130"/>
      <c r="HM63" s="130"/>
      <c r="HN63" s="130"/>
      <c r="HO63" s="130"/>
      <c r="HP63" s="130"/>
    </row>
    <row r="64" spans="1:224" s="145" customFormat="1" ht="18.75" customHeight="1" x14ac:dyDescent="0.2">
      <c r="A64" s="478"/>
      <c r="B64" s="146" t="s">
        <v>140</v>
      </c>
      <c r="C64" s="306">
        <v>0</v>
      </c>
      <c r="D64" s="306">
        <f t="shared" ref="D64:P64" si="53">D49-C49</f>
        <v>0</v>
      </c>
      <c r="E64" s="306">
        <f t="shared" si="53"/>
        <v>0</v>
      </c>
      <c r="F64" s="306">
        <f t="shared" si="53"/>
        <v>0</v>
      </c>
      <c r="G64" s="306">
        <f t="shared" si="53"/>
        <v>0</v>
      </c>
      <c r="H64" s="306">
        <f t="shared" si="53"/>
        <v>0</v>
      </c>
      <c r="I64" s="306">
        <f t="shared" si="53"/>
        <v>0</v>
      </c>
      <c r="J64" s="306">
        <f t="shared" si="53"/>
        <v>0</v>
      </c>
      <c r="K64" s="306">
        <f t="shared" si="53"/>
        <v>0</v>
      </c>
      <c r="L64" s="306">
        <f t="shared" si="53"/>
        <v>0</v>
      </c>
      <c r="M64" s="306">
        <f t="shared" si="53"/>
        <v>0</v>
      </c>
      <c r="N64" s="306">
        <f t="shared" si="53"/>
        <v>0</v>
      </c>
      <c r="O64" s="306">
        <f t="shared" si="53"/>
        <v>0</v>
      </c>
      <c r="P64" s="306">
        <f t="shared" si="53"/>
        <v>0</v>
      </c>
      <c r="Q64" s="306">
        <f t="shared" si="50"/>
        <v>0</v>
      </c>
      <c r="R64" s="306">
        <f t="shared" si="50"/>
        <v>0</v>
      </c>
      <c r="S64" s="306">
        <f t="shared" si="50"/>
        <v>0</v>
      </c>
      <c r="T64" s="306">
        <f t="shared" si="50"/>
        <v>0</v>
      </c>
      <c r="U64" s="306">
        <f t="shared" si="50"/>
        <v>0</v>
      </c>
      <c r="V64" s="306">
        <f t="shared" si="50"/>
        <v>0</v>
      </c>
      <c r="W64" s="306">
        <f t="shared" si="50"/>
        <v>0</v>
      </c>
      <c r="X64" s="306">
        <f t="shared" si="50"/>
        <v>0</v>
      </c>
      <c r="Y64" s="306">
        <f t="shared" si="50"/>
        <v>0</v>
      </c>
      <c r="Z64" s="306">
        <f t="shared" si="50"/>
        <v>0</v>
      </c>
      <c r="AA64" s="306">
        <f t="shared" si="50"/>
        <v>0</v>
      </c>
      <c r="AB64" s="306">
        <f t="shared" si="50"/>
        <v>324</v>
      </c>
      <c r="AC64" s="306">
        <f t="shared" si="50"/>
        <v>1</v>
      </c>
      <c r="AD64" s="306">
        <f t="shared" si="50"/>
        <v>2</v>
      </c>
      <c r="AE64" s="306">
        <f t="shared" si="50"/>
        <v>2</v>
      </c>
      <c r="AF64" s="306">
        <f t="shared" si="50"/>
        <v>2</v>
      </c>
      <c r="AG64" s="306">
        <f t="shared" si="50"/>
        <v>2</v>
      </c>
      <c r="AH64" s="306">
        <f t="shared" si="50"/>
        <v>1</v>
      </c>
      <c r="AI64" s="306">
        <f t="shared" si="50"/>
        <v>2</v>
      </c>
      <c r="AJ64" s="202"/>
      <c r="AK64" s="130">
        <v>0</v>
      </c>
      <c r="AL64" s="130">
        <v>0</v>
      </c>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30"/>
      <c r="EK64" s="130"/>
      <c r="EL64" s="130"/>
      <c r="EM64" s="130"/>
      <c r="EN64" s="130"/>
      <c r="EO64" s="130"/>
      <c r="EP64" s="130"/>
      <c r="EQ64" s="130"/>
      <c r="ER64" s="130"/>
      <c r="ES64" s="130"/>
      <c r="ET64" s="130"/>
      <c r="EU64" s="130"/>
      <c r="EV64" s="130"/>
      <c r="EW64" s="130"/>
      <c r="EX64" s="130"/>
      <c r="EY64" s="130"/>
      <c r="EZ64" s="130"/>
      <c r="FA64" s="130"/>
      <c r="FB64" s="130"/>
      <c r="FC64" s="130"/>
      <c r="FD64" s="130"/>
      <c r="FE64" s="130"/>
      <c r="FF64" s="130"/>
      <c r="FG64" s="130"/>
      <c r="FH64" s="130"/>
      <c r="FI64" s="130"/>
      <c r="FJ64" s="130"/>
      <c r="FK64" s="130"/>
      <c r="FL64" s="130"/>
      <c r="FM64" s="130"/>
      <c r="FN64" s="130"/>
      <c r="FO64" s="130"/>
      <c r="FP64" s="130"/>
      <c r="FQ64" s="130"/>
      <c r="FR64" s="130"/>
      <c r="FS64" s="130"/>
      <c r="FT64" s="130"/>
      <c r="FU64" s="130"/>
      <c r="FV64" s="130"/>
      <c r="FW64" s="130"/>
      <c r="FX64" s="130"/>
      <c r="FY64" s="130"/>
      <c r="FZ64" s="130"/>
      <c r="GA64" s="130"/>
      <c r="GB64" s="130"/>
      <c r="GC64" s="130"/>
      <c r="GD64" s="130"/>
      <c r="GE64" s="130"/>
      <c r="GF64" s="130"/>
      <c r="GG64" s="130"/>
      <c r="GH64" s="130"/>
      <c r="GI64" s="130"/>
      <c r="GJ64" s="130"/>
      <c r="GK64" s="130"/>
      <c r="GL64" s="130"/>
      <c r="GM64" s="130"/>
      <c r="GN64" s="130"/>
      <c r="GO64" s="130"/>
      <c r="GP64" s="130"/>
      <c r="GQ64" s="130"/>
      <c r="GR64" s="130"/>
      <c r="GS64" s="130"/>
      <c r="GT64" s="130"/>
      <c r="GU64" s="130"/>
      <c r="GV64" s="130"/>
      <c r="GW64" s="130"/>
      <c r="GX64" s="130"/>
      <c r="GY64" s="130"/>
      <c r="GZ64" s="130"/>
      <c r="HA64" s="130"/>
      <c r="HB64" s="130"/>
      <c r="HC64" s="130"/>
      <c r="HD64" s="130"/>
      <c r="HE64" s="130"/>
      <c r="HF64" s="130"/>
      <c r="HG64" s="130"/>
      <c r="HH64" s="130"/>
      <c r="HI64" s="130"/>
      <c r="HJ64" s="130"/>
      <c r="HK64" s="130"/>
      <c r="HL64" s="130"/>
      <c r="HM64" s="130"/>
      <c r="HN64" s="130"/>
      <c r="HO64" s="130"/>
      <c r="HP64" s="130"/>
    </row>
    <row r="65" spans="1:224" s="145" customFormat="1" ht="18.75" customHeight="1" x14ac:dyDescent="0.2">
      <c r="A65" s="478"/>
      <c r="B65" s="252" t="s">
        <v>141</v>
      </c>
      <c r="C65" s="306">
        <v>1719</v>
      </c>
      <c r="D65" s="306">
        <f t="shared" ref="D65:P65" si="54">D50-C50</f>
        <v>405</v>
      </c>
      <c r="E65" s="306">
        <f t="shared" si="54"/>
        <v>371</v>
      </c>
      <c r="F65" s="306">
        <f t="shared" si="54"/>
        <v>442</v>
      </c>
      <c r="G65" s="306">
        <f t="shared" si="54"/>
        <v>590</v>
      </c>
      <c r="H65" s="306">
        <f t="shared" si="54"/>
        <v>531</v>
      </c>
      <c r="I65" s="306">
        <f t="shared" si="54"/>
        <v>289</v>
      </c>
      <c r="J65" s="306">
        <f t="shared" si="54"/>
        <v>320</v>
      </c>
      <c r="K65" s="306">
        <f t="shared" si="54"/>
        <v>102</v>
      </c>
      <c r="L65" s="306">
        <f t="shared" si="54"/>
        <v>296</v>
      </c>
      <c r="M65" s="306">
        <f t="shared" si="54"/>
        <v>301</v>
      </c>
      <c r="N65" s="306">
        <f t="shared" si="54"/>
        <v>286</v>
      </c>
      <c r="O65" s="306">
        <f t="shared" si="54"/>
        <v>315</v>
      </c>
      <c r="P65" s="306">
        <f t="shared" si="54"/>
        <v>294</v>
      </c>
      <c r="Q65" s="306">
        <f t="shared" si="50"/>
        <v>209</v>
      </c>
      <c r="R65" s="306">
        <f t="shared" si="50"/>
        <v>209</v>
      </c>
      <c r="S65" s="306">
        <f t="shared" si="50"/>
        <v>204</v>
      </c>
      <c r="T65" s="306">
        <f t="shared" si="50"/>
        <v>243</v>
      </c>
      <c r="U65" s="306">
        <f t="shared" si="50"/>
        <v>85</v>
      </c>
      <c r="V65" s="306">
        <f t="shared" si="50"/>
        <v>231</v>
      </c>
      <c r="W65" s="306">
        <f t="shared" si="50"/>
        <v>115</v>
      </c>
      <c r="X65" s="306">
        <f t="shared" si="50"/>
        <v>242</v>
      </c>
      <c r="Y65" s="306">
        <f t="shared" si="50"/>
        <v>232</v>
      </c>
      <c r="Z65" s="306">
        <f t="shared" si="50"/>
        <v>112</v>
      </c>
      <c r="AA65" s="306">
        <f t="shared" si="50"/>
        <v>142</v>
      </c>
      <c r="AB65" s="306">
        <f t="shared" si="50"/>
        <v>119</v>
      </c>
      <c r="AC65" s="306">
        <f>AC50-AB50</f>
        <v>123</v>
      </c>
      <c r="AD65" s="306">
        <f t="shared" si="50"/>
        <v>301</v>
      </c>
      <c r="AE65" s="306">
        <f t="shared" si="50"/>
        <v>245</v>
      </c>
      <c r="AF65" s="306">
        <f t="shared" si="50"/>
        <v>93</v>
      </c>
      <c r="AG65" s="306">
        <f t="shared" si="50"/>
        <v>102</v>
      </c>
      <c r="AH65" s="306">
        <f t="shared" si="50"/>
        <v>104</v>
      </c>
      <c r="AI65" s="306">
        <f t="shared" si="50"/>
        <v>71</v>
      </c>
      <c r="AJ65" s="202"/>
      <c r="AK65" s="130">
        <v>286</v>
      </c>
      <c r="AL65" s="130">
        <v>334</v>
      </c>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0"/>
      <c r="DI65" s="130"/>
      <c r="DJ65" s="130"/>
      <c r="DK65" s="130"/>
      <c r="DL65" s="130"/>
      <c r="DM65" s="130"/>
      <c r="DN65" s="130"/>
      <c r="DO65" s="130"/>
      <c r="DP65" s="130"/>
      <c r="DQ65" s="130"/>
      <c r="DR65" s="130"/>
      <c r="DS65" s="130"/>
      <c r="DT65" s="130"/>
      <c r="DU65" s="130"/>
      <c r="DV65" s="130"/>
      <c r="DW65" s="130"/>
      <c r="DX65" s="130"/>
      <c r="DY65" s="130"/>
      <c r="DZ65" s="130"/>
      <c r="EA65" s="130"/>
      <c r="EB65" s="130"/>
      <c r="EC65" s="130"/>
      <c r="ED65" s="130"/>
      <c r="EE65" s="130"/>
      <c r="EF65" s="130"/>
      <c r="EG65" s="130"/>
      <c r="EH65" s="130"/>
      <c r="EI65" s="130"/>
      <c r="EJ65" s="130"/>
      <c r="EK65" s="130"/>
      <c r="EL65" s="130"/>
      <c r="EM65" s="130"/>
      <c r="EN65" s="130"/>
      <c r="EO65" s="130"/>
      <c r="EP65" s="130"/>
      <c r="EQ65" s="130"/>
      <c r="ER65" s="130"/>
      <c r="ES65" s="130"/>
      <c r="ET65" s="130"/>
      <c r="EU65" s="130"/>
      <c r="EV65" s="130"/>
      <c r="EW65" s="130"/>
      <c r="EX65" s="130"/>
      <c r="EY65" s="130"/>
      <c r="EZ65" s="130"/>
      <c r="FA65" s="130"/>
      <c r="FB65" s="130"/>
      <c r="FC65" s="130"/>
      <c r="FD65" s="130"/>
      <c r="FE65" s="130"/>
      <c r="FF65" s="130"/>
      <c r="FG65" s="130"/>
      <c r="FH65" s="130"/>
      <c r="FI65" s="130"/>
      <c r="FJ65" s="130"/>
      <c r="FK65" s="130"/>
      <c r="FL65" s="130"/>
      <c r="FM65" s="130"/>
      <c r="FN65" s="130"/>
      <c r="FO65" s="130"/>
      <c r="FP65" s="130"/>
      <c r="FQ65" s="130"/>
      <c r="FR65" s="130"/>
      <c r="FS65" s="130"/>
      <c r="FT65" s="130"/>
      <c r="FU65" s="130"/>
      <c r="FV65" s="130"/>
      <c r="FW65" s="130"/>
      <c r="FX65" s="130"/>
      <c r="FY65" s="130"/>
      <c r="FZ65" s="130"/>
      <c r="GA65" s="130"/>
      <c r="GB65" s="130"/>
      <c r="GC65" s="130"/>
      <c r="GD65" s="130"/>
      <c r="GE65" s="130"/>
      <c r="GF65" s="130"/>
      <c r="GG65" s="130"/>
      <c r="GH65" s="130"/>
      <c r="GI65" s="130"/>
      <c r="GJ65" s="130"/>
      <c r="GK65" s="130"/>
      <c r="GL65" s="130"/>
      <c r="GM65" s="130"/>
      <c r="GN65" s="130"/>
      <c r="GO65" s="130"/>
      <c r="GP65" s="130"/>
      <c r="GQ65" s="130"/>
      <c r="GR65" s="130"/>
      <c r="GS65" s="130"/>
      <c r="GT65" s="130"/>
      <c r="GU65" s="130"/>
      <c r="GV65" s="130"/>
      <c r="GW65" s="130"/>
      <c r="GX65" s="130"/>
      <c r="GY65" s="130"/>
      <c r="GZ65" s="130"/>
      <c r="HA65" s="130"/>
      <c r="HB65" s="130"/>
      <c r="HC65" s="130"/>
      <c r="HD65" s="130"/>
      <c r="HE65" s="130"/>
      <c r="HF65" s="130"/>
      <c r="HG65" s="130"/>
      <c r="HH65" s="130"/>
      <c r="HI65" s="130"/>
      <c r="HJ65" s="130"/>
      <c r="HK65" s="130"/>
      <c r="HL65" s="130"/>
      <c r="HM65" s="130"/>
      <c r="HN65" s="130"/>
      <c r="HO65" s="130"/>
      <c r="HP65" s="130"/>
    </row>
    <row r="66" spans="1:224" s="145" customFormat="1" ht="18.75" customHeight="1" x14ac:dyDescent="0.2">
      <c r="A66" s="478"/>
      <c r="B66" s="147" t="s">
        <v>134</v>
      </c>
      <c r="C66" s="308">
        <v>24</v>
      </c>
      <c r="D66" s="308">
        <f t="shared" ref="D66:P66" si="55">D51-C51</f>
        <v>319</v>
      </c>
      <c r="E66" s="308">
        <f t="shared" si="55"/>
        <v>722</v>
      </c>
      <c r="F66" s="308">
        <f t="shared" si="55"/>
        <v>683</v>
      </c>
      <c r="G66" s="308">
        <f t="shared" si="55"/>
        <v>541</v>
      </c>
      <c r="H66" s="308">
        <f t="shared" si="55"/>
        <v>388</v>
      </c>
      <c r="I66" s="308">
        <f t="shared" si="55"/>
        <v>383</v>
      </c>
      <c r="J66" s="308">
        <f t="shared" si="55"/>
        <v>761</v>
      </c>
      <c r="K66" s="308">
        <f t="shared" si="55"/>
        <v>1338</v>
      </c>
      <c r="L66" s="308">
        <f t="shared" si="55"/>
        <v>1145</v>
      </c>
      <c r="M66" s="308">
        <f t="shared" si="55"/>
        <v>709</v>
      </c>
      <c r="N66" s="308">
        <f t="shared" si="55"/>
        <v>294</v>
      </c>
      <c r="O66" s="308">
        <f t="shared" si="55"/>
        <v>257</v>
      </c>
      <c r="P66" s="308">
        <f t="shared" si="55"/>
        <v>468</v>
      </c>
      <c r="Q66" s="308">
        <f t="shared" si="50"/>
        <v>405</v>
      </c>
      <c r="R66" s="308">
        <f t="shared" si="50"/>
        <v>407</v>
      </c>
      <c r="S66" s="308">
        <f t="shared" si="50"/>
        <v>326</v>
      </c>
      <c r="T66" s="308">
        <f t="shared" si="50"/>
        <v>494</v>
      </c>
      <c r="U66" s="308">
        <f t="shared" si="50"/>
        <v>503</v>
      </c>
      <c r="V66" s="308">
        <f t="shared" si="50"/>
        <v>515</v>
      </c>
      <c r="W66" s="308">
        <f t="shared" si="50"/>
        <v>444</v>
      </c>
      <c r="X66" s="308">
        <f t="shared" si="50"/>
        <v>464</v>
      </c>
      <c r="Y66" s="308">
        <f t="shared" si="50"/>
        <v>461</v>
      </c>
      <c r="Z66" s="308">
        <f t="shared" si="50"/>
        <v>400</v>
      </c>
      <c r="AA66" s="308">
        <f t="shared" si="50"/>
        <v>546</v>
      </c>
      <c r="AB66" s="308">
        <f t="shared" si="50"/>
        <v>389</v>
      </c>
      <c r="AC66" s="308">
        <f t="shared" si="50"/>
        <v>912</v>
      </c>
      <c r="AD66" s="308">
        <f t="shared" si="50"/>
        <v>731</v>
      </c>
      <c r="AE66" s="308">
        <f t="shared" si="50"/>
        <v>388</v>
      </c>
      <c r="AF66" s="308">
        <f t="shared" si="50"/>
        <v>447</v>
      </c>
      <c r="AG66" s="308">
        <f t="shared" si="50"/>
        <v>346</v>
      </c>
      <c r="AH66" s="308">
        <f t="shared" si="50"/>
        <v>531</v>
      </c>
      <c r="AI66" s="308">
        <f t="shared" si="50"/>
        <v>473</v>
      </c>
      <c r="AJ66" s="202"/>
      <c r="AK66" s="130">
        <v>602</v>
      </c>
      <c r="AL66" s="130">
        <v>15</v>
      </c>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0"/>
      <c r="DI66" s="130"/>
      <c r="DJ66" s="130"/>
      <c r="DK66" s="130"/>
      <c r="DL66" s="130"/>
      <c r="DM66" s="130"/>
      <c r="DN66" s="130"/>
      <c r="DO66" s="130"/>
      <c r="DP66" s="130"/>
      <c r="DQ66" s="130"/>
      <c r="DR66" s="130"/>
      <c r="DS66" s="130"/>
      <c r="DT66" s="130"/>
      <c r="DU66" s="130"/>
      <c r="DV66" s="130"/>
      <c r="DW66" s="130"/>
      <c r="DX66" s="130"/>
      <c r="DY66" s="130"/>
      <c r="DZ66" s="130"/>
      <c r="EA66" s="130"/>
      <c r="EB66" s="130"/>
      <c r="EC66" s="130"/>
      <c r="ED66" s="130"/>
      <c r="EE66" s="130"/>
      <c r="EF66" s="130"/>
      <c r="EG66" s="130"/>
      <c r="EH66" s="130"/>
      <c r="EI66" s="130"/>
      <c r="EJ66" s="130"/>
      <c r="EK66" s="130"/>
      <c r="EL66" s="130"/>
      <c r="EM66" s="130"/>
      <c r="EN66" s="130"/>
      <c r="EO66" s="130"/>
      <c r="EP66" s="130"/>
      <c r="EQ66" s="130"/>
      <c r="ER66" s="130"/>
      <c r="ES66" s="130"/>
      <c r="ET66" s="130"/>
      <c r="EU66" s="130"/>
      <c r="EV66" s="130"/>
      <c r="EW66" s="130"/>
      <c r="EX66" s="130"/>
      <c r="EY66" s="130"/>
      <c r="EZ66" s="130"/>
      <c r="FA66" s="130"/>
      <c r="FB66" s="130"/>
      <c r="FC66" s="130"/>
      <c r="FD66" s="130"/>
      <c r="FE66" s="130"/>
      <c r="FF66" s="130"/>
      <c r="FG66" s="130"/>
      <c r="FH66" s="130"/>
      <c r="FI66" s="130"/>
      <c r="FJ66" s="130"/>
      <c r="FK66" s="130"/>
      <c r="FL66" s="130"/>
      <c r="FM66" s="130"/>
      <c r="FN66" s="130"/>
      <c r="FO66" s="130"/>
      <c r="FP66" s="130"/>
      <c r="FQ66" s="130"/>
      <c r="FR66" s="130"/>
      <c r="FS66" s="130"/>
      <c r="FT66" s="130"/>
      <c r="FU66" s="130"/>
      <c r="FV66" s="130"/>
      <c r="FW66" s="130"/>
      <c r="FX66" s="130"/>
      <c r="FY66" s="130"/>
      <c r="FZ66" s="130"/>
      <c r="GA66" s="130"/>
      <c r="GB66" s="130"/>
      <c r="GC66" s="130"/>
      <c r="GD66" s="130"/>
      <c r="GE66" s="130"/>
      <c r="GF66" s="130"/>
      <c r="GG66" s="130"/>
      <c r="GH66" s="130"/>
      <c r="GI66" s="130"/>
      <c r="GJ66" s="130"/>
      <c r="GK66" s="130"/>
      <c r="GL66" s="130"/>
      <c r="GM66" s="130"/>
      <c r="GN66" s="130"/>
      <c r="GO66" s="130"/>
      <c r="GP66" s="130"/>
      <c r="GQ66" s="130"/>
      <c r="GR66" s="130"/>
      <c r="GS66" s="130"/>
      <c r="GT66" s="130"/>
      <c r="GU66" s="130"/>
      <c r="GV66" s="130"/>
      <c r="GW66" s="130"/>
      <c r="GX66" s="130"/>
      <c r="GY66" s="130"/>
      <c r="GZ66" s="130"/>
      <c r="HA66" s="130"/>
      <c r="HB66" s="130"/>
      <c r="HC66" s="130"/>
      <c r="HD66" s="130"/>
      <c r="HE66" s="130"/>
      <c r="HF66" s="130"/>
      <c r="HG66" s="130"/>
      <c r="HH66" s="130"/>
      <c r="HI66" s="130"/>
      <c r="HJ66" s="130"/>
      <c r="HK66" s="130"/>
      <c r="HL66" s="130"/>
      <c r="HM66" s="130"/>
      <c r="HN66" s="130"/>
      <c r="HO66" s="130"/>
      <c r="HP66" s="130"/>
    </row>
    <row r="67" spans="1:224" s="145" customFormat="1" ht="18.75" customHeight="1" x14ac:dyDescent="0.2">
      <c r="A67" s="478"/>
      <c r="B67" s="257" t="s">
        <v>135</v>
      </c>
      <c r="C67" s="308">
        <v>916</v>
      </c>
      <c r="D67" s="308">
        <f t="shared" ref="D67:P67" si="56">D52-C52</f>
        <v>3387</v>
      </c>
      <c r="E67" s="308">
        <f t="shared" si="56"/>
        <v>3067</v>
      </c>
      <c r="F67" s="308">
        <f t="shared" si="56"/>
        <v>3106</v>
      </c>
      <c r="G67" s="308">
        <f t="shared" si="56"/>
        <v>3075</v>
      </c>
      <c r="H67" s="308">
        <f t="shared" si="56"/>
        <v>2995</v>
      </c>
      <c r="I67" s="308">
        <f t="shared" si="56"/>
        <v>2886</v>
      </c>
      <c r="J67" s="308">
        <f t="shared" si="56"/>
        <v>2765</v>
      </c>
      <c r="K67" s="308">
        <f t="shared" si="56"/>
        <v>2781</v>
      </c>
      <c r="L67" s="308">
        <f t="shared" si="56"/>
        <v>2783</v>
      </c>
      <c r="M67" s="308">
        <f t="shared" si="56"/>
        <v>3278</v>
      </c>
      <c r="N67" s="308">
        <f t="shared" si="56"/>
        <v>3395</v>
      </c>
      <c r="O67" s="308">
        <f t="shared" si="56"/>
        <v>3376</v>
      </c>
      <c r="P67" s="308">
        <f t="shared" si="56"/>
        <v>3505</v>
      </c>
      <c r="Q67" s="308">
        <f t="shared" si="50"/>
        <v>3467</v>
      </c>
      <c r="R67" s="308">
        <f t="shared" si="50"/>
        <v>3217</v>
      </c>
      <c r="S67" s="308">
        <f t="shared" si="50"/>
        <v>3424</v>
      </c>
      <c r="T67" s="308">
        <f t="shared" si="50"/>
        <v>3342</v>
      </c>
      <c r="U67" s="308">
        <f t="shared" si="50"/>
        <v>3347</v>
      </c>
      <c r="V67" s="308">
        <f t="shared" si="50"/>
        <v>3230</v>
      </c>
      <c r="W67" s="308">
        <f t="shared" si="50"/>
        <v>3324</v>
      </c>
      <c r="X67" s="308">
        <f t="shared" si="50"/>
        <v>2783</v>
      </c>
      <c r="Y67" s="308">
        <f t="shared" si="50"/>
        <v>2271</v>
      </c>
      <c r="Z67" s="308">
        <f t="shared" si="50"/>
        <v>2116</v>
      </c>
      <c r="AA67" s="308">
        <f t="shared" si="50"/>
        <v>2085</v>
      </c>
      <c r="AB67" s="308">
        <f t="shared" si="50"/>
        <v>2001</v>
      </c>
      <c r="AC67" s="308">
        <f t="shared" si="50"/>
        <v>1969</v>
      </c>
      <c r="AD67" s="308">
        <f t="shared" si="50"/>
        <v>517</v>
      </c>
      <c r="AE67" s="308">
        <f t="shared" si="50"/>
        <v>294</v>
      </c>
      <c r="AF67" s="308">
        <f t="shared" si="50"/>
        <v>2263</v>
      </c>
      <c r="AG67" s="308">
        <f t="shared" si="50"/>
        <v>2429</v>
      </c>
      <c r="AH67" s="308">
        <f t="shared" si="50"/>
        <v>2755</v>
      </c>
      <c r="AI67" s="308">
        <f t="shared" si="50"/>
        <v>1970</v>
      </c>
      <c r="AJ67" s="203"/>
      <c r="AK67" s="130">
        <v>845</v>
      </c>
      <c r="AL67" s="130">
        <v>388</v>
      </c>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0"/>
      <c r="DI67" s="130"/>
      <c r="DJ67" s="130"/>
      <c r="DK67" s="130"/>
      <c r="DL67" s="130"/>
      <c r="DM67" s="130"/>
      <c r="DN67" s="130"/>
      <c r="DO67" s="130"/>
      <c r="DP67" s="130"/>
      <c r="DQ67" s="130"/>
      <c r="DR67" s="130"/>
      <c r="DS67" s="130"/>
      <c r="DT67" s="130"/>
      <c r="DU67" s="130"/>
      <c r="DV67" s="130"/>
      <c r="DW67" s="130"/>
      <c r="DX67" s="130"/>
      <c r="DY67" s="130"/>
      <c r="DZ67" s="130"/>
      <c r="EA67" s="130"/>
      <c r="EB67" s="130"/>
      <c r="EC67" s="130"/>
      <c r="ED67" s="130"/>
      <c r="EE67" s="130"/>
      <c r="EF67" s="130"/>
      <c r="EG67" s="130"/>
      <c r="EH67" s="130"/>
      <c r="EI67" s="130"/>
      <c r="EJ67" s="130"/>
      <c r="EK67" s="130"/>
      <c r="EL67" s="130"/>
      <c r="EM67" s="130"/>
      <c r="EN67" s="130"/>
      <c r="EO67" s="130"/>
      <c r="EP67" s="130"/>
      <c r="EQ67" s="130"/>
      <c r="ER67" s="130"/>
      <c r="ES67" s="130"/>
      <c r="ET67" s="130"/>
      <c r="EU67" s="130"/>
      <c r="EV67" s="130"/>
      <c r="EW67" s="130"/>
      <c r="EX67" s="130"/>
      <c r="EY67" s="130"/>
      <c r="EZ67" s="130"/>
      <c r="FA67" s="130"/>
      <c r="FB67" s="130"/>
      <c r="FC67" s="130"/>
      <c r="FD67" s="130"/>
      <c r="FE67" s="130"/>
      <c r="FF67" s="130"/>
      <c r="FG67" s="130"/>
      <c r="FH67" s="130"/>
      <c r="FI67" s="130"/>
      <c r="FJ67" s="130"/>
      <c r="FK67" s="130"/>
      <c r="FL67" s="130"/>
      <c r="FM67" s="130"/>
      <c r="FN67" s="130"/>
      <c r="FO67" s="130"/>
      <c r="FP67" s="130"/>
      <c r="FQ67" s="130"/>
      <c r="FR67" s="130"/>
      <c r="FS67" s="130"/>
      <c r="FT67" s="130"/>
      <c r="FU67" s="130"/>
      <c r="FV67" s="130"/>
      <c r="FW67" s="130"/>
      <c r="FX67" s="130"/>
      <c r="FY67" s="130"/>
      <c r="FZ67" s="130"/>
      <c r="GA67" s="130"/>
      <c r="GB67" s="130"/>
      <c r="GC67" s="130"/>
      <c r="GD67" s="130"/>
      <c r="GE67" s="130"/>
      <c r="GF67" s="130"/>
      <c r="GG67" s="130"/>
      <c r="GH67" s="130"/>
      <c r="GI67" s="130"/>
      <c r="GJ67" s="130"/>
      <c r="GK67" s="130"/>
      <c r="GL67" s="130"/>
      <c r="GM67" s="130"/>
      <c r="GN67" s="130"/>
      <c r="GO67" s="130"/>
      <c r="GP67" s="130"/>
      <c r="GQ67" s="130"/>
      <c r="GR67" s="130"/>
      <c r="GS67" s="130"/>
      <c r="GT67" s="130"/>
      <c r="GU67" s="130"/>
      <c r="GV67" s="130"/>
      <c r="GW67" s="130"/>
      <c r="GX67" s="130"/>
      <c r="GY67" s="130"/>
      <c r="GZ67" s="130"/>
      <c r="HA67" s="130"/>
      <c r="HB67" s="130"/>
      <c r="HC67" s="130"/>
      <c r="HD67" s="130"/>
      <c r="HE67" s="130"/>
      <c r="HF67" s="130"/>
      <c r="HG67" s="130"/>
      <c r="HH67" s="130"/>
      <c r="HI67" s="130"/>
      <c r="HJ67" s="130"/>
      <c r="HK67" s="130"/>
      <c r="HL67" s="130"/>
      <c r="HM67" s="130"/>
      <c r="HN67" s="130"/>
      <c r="HO67" s="130"/>
      <c r="HP67" s="130"/>
    </row>
    <row r="68" spans="1:224" s="145" customFormat="1" ht="18.75" customHeight="1" thickBot="1" x14ac:dyDescent="0.25">
      <c r="A68" s="246"/>
      <c r="B68" s="147" t="s">
        <v>136</v>
      </c>
      <c r="C68" s="308">
        <v>16</v>
      </c>
      <c r="D68" s="308">
        <f t="shared" ref="D68:P68" si="57">D53-C53</f>
        <v>103</v>
      </c>
      <c r="E68" s="308">
        <f t="shared" si="57"/>
        <v>182</v>
      </c>
      <c r="F68" s="308">
        <f t="shared" si="57"/>
        <v>88</v>
      </c>
      <c r="G68" s="308">
        <f t="shared" si="57"/>
        <v>46</v>
      </c>
      <c r="H68" s="308">
        <f t="shared" si="57"/>
        <v>50</v>
      </c>
      <c r="I68" s="308">
        <f t="shared" si="57"/>
        <v>16</v>
      </c>
      <c r="J68" s="308">
        <f t="shared" si="57"/>
        <v>35</v>
      </c>
      <c r="K68" s="308">
        <f t="shared" si="57"/>
        <v>20</v>
      </c>
      <c r="L68" s="308">
        <f t="shared" si="57"/>
        <v>29</v>
      </c>
      <c r="M68" s="308">
        <f t="shared" si="57"/>
        <v>23</v>
      </c>
      <c r="N68" s="308">
        <f t="shared" si="57"/>
        <v>34</v>
      </c>
      <c r="O68" s="308">
        <f t="shared" si="57"/>
        <v>18</v>
      </c>
      <c r="P68" s="308">
        <f t="shared" si="57"/>
        <v>16</v>
      </c>
      <c r="Q68" s="308">
        <f t="shared" si="50"/>
        <v>30</v>
      </c>
      <c r="R68" s="308">
        <f t="shared" si="50"/>
        <v>29</v>
      </c>
      <c r="S68" s="308">
        <f t="shared" si="50"/>
        <v>32</v>
      </c>
      <c r="T68" s="308">
        <f t="shared" si="50"/>
        <v>50</v>
      </c>
      <c r="U68" s="308">
        <f t="shared" si="50"/>
        <v>41</v>
      </c>
      <c r="V68" s="308">
        <f t="shared" si="50"/>
        <v>31</v>
      </c>
      <c r="W68" s="308">
        <f t="shared" si="50"/>
        <v>17</v>
      </c>
      <c r="X68" s="308">
        <f t="shared" si="50"/>
        <v>23</v>
      </c>
      <c r="Y68" s="308">
        <f t="shared" si="50"/>
        <v>18</v>
      </c>
      <c r="Z68" s="308">
        <f t="shared" si="50"/>
        <v>64</v>
      </c>
      <c r="AA68" s="308">
        <f t="shared" si="50"/>
        <v>48</v>
      </c>
      <c r="AB68" s="308">
        <f t="shared" si="50"/>
        <v>28</v>
      </c>
      <c r="AC68" s="308">
        <f t="shared" si="50"/>
        <v>18</v>
      </c>
      <c r="AD68" s="308">
        <f t="shared" si="50"/>
        <v>15</v>
      </c>
      <c r="AE68" s="308">
        <f t="shared" si="50"/>
        <v>17</v>
      </c>
      <c r="AF68" s="308">
        <f t="shared" si="50"/>
        <v>16</v>
      </c>
      <c r="AG68" s="308">
        <f t="shared" si="50"/>
        <v>31</v>
      </c>
      <c r="AH68" s="308">
        <f t="shared" si="50"/>
        <v>52</v>
      </c>
      <c r="AI68" s="308">
        <f t="shared" si="50"/>
        <v>53</v>
      </c>
      <c r="AJ68" s="296"/>
      <c r="AK68" s="130">
        <v>37</v>
      </c>
      <c r="AL68" s="130">
        <v>16</v>
      </c>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c r="CV68" s="130"/>
      <c r="CW68" s="130"/>
      <c r="CX68" s="130"/>
      <c r="CY68" s="130"/>
      <c r="CZ68" s="130"/>
      <c r="DA68" s="130"/>
      <c r="DB68" s="130"/>
      <c r="DC68" s="130"/>
      <c r="DD68" s="130"/>
      <c r="DE68" s="130"/>
      <c r="DF68" s="130"/>
      <c r="DG68" s="130"/>
      <c r="DH68" s="130"/>
      <c r="DI68" s="130"/>
      <c r="DJ68" s="130"/>
      <c r="DK68" s="130"/>
      <c r="DL68" s="130"/>
      <c r="DM68" s="130"/>
      <c r="DN68" s="130"/>
      <c r="DO68" s="130"/>
      <c r="DP68" s="130"/>
      <c r="DQ68" s="130"/>
      <c r="DR68" s="130"/>
      <c r="DS68" s="130"/>
      <c r="DT68" s="130"/>
      <c r="DU68" s="130"/>
      <c r="DV68" s="130"/>
      <c r="DW68" s="130"/>
      <c r="DX68" s="130"/>
      <c r="DY68" s="130"/>
      <c r="DZ68" s="130"/>
      <c r="EA68" s="130"/>
      <c r="EB68" s="130"/>
      <c r="EC68" s="130"/>
      <c r="ED68" s="130"/>
      <c r="EE68" s="130"/>
      <c r="EF68" s="130"/>
      <c r="EG68" s="130"/>
      <c r="EH68" s="130"/>
      <c r="EI68" s="130"/>
      <c r="EJ68" s="130"/>
      <c r="EK68" s="130"/>
      <c r="EL68" s="130"/>
      <c r="EM68" s="130"/>
      <c r="EN68" s="130"/>
      <c r="EO68" s="130"/>
      <c r="EP68" s="130"/>
      <c r="EQ68" s="130"/>
      <c r="ER68" s="130"/>
      <c r="ES68" s="130"/>
      <c r="ET68" s="130"/>
      <c r="EU68" s="130"/>
      <c r="EV68" s="130"/>
      <c r="EW68" s="130"/>
      <c r="EX68" s="130"/>
      <c r="EY68" s="130"/>
      <c r="EZ68" s="130"/>
      <c r="FA68" s="130"/>
      <c r="FB68" s="130"/>
      <c r="FC68" s="130"/>
      <c r="FD68" s="130"/>
      <c r="FE68" s="130"/>
      <c r="FF68" s="130"/>
      <c r="FG68" s="130"/>
      <c r="FH68" s="130"/>
      <c r="FI68" s="130"/>
      <c r="FJ68" s="130"/>
      <c r="FK68" s="130"/>
      <c r="FL68" s="130"/>
      <c r="FM68" s="130"/>
      <c r="FN68" s="130"/>
      <c r="FO68" s="130"/>
      <c r="FP68" s="130"/>
      <c r="FQ68" s="130"/>
      <c r="FR68" s="130"/>
      <c r="FS68" s="130"/>
      <c r="FT68" s="130"/>
      <c r="FU68" s="130"/>
      <c r="FV68" s="130"/>
      <c r="FW68" s="130"/>
      <c r="FX68" s="130"/>
      <c r="FY68" s="130"/>
      <c r="FZ68" s="130"/>
      <c r="GA68" s="130"/>
      <c r="GB68" s="130"/>
      <c r="GC68" s="130"/>
      <c r="GD68" s="130"/>
      <c r="GE68" s="130"/>
      <c r="GF68" s="130"/>
      <c r="GG68" s="130"/>
      <c r="GH68" s="130"/>
      <c r="GI68" s="130"/>
      <c r="GJ68" s="130"/>
      <c r="GK68" s="130"/>
      <c r="GL68" s="130"/>
      <c r="GM68" s="130"/>
      <c r="GN68" s="130"/>
      <c r="GO68" s="130"/>
      <c r="GP68" s="130"/>
      <c r="GQ68" s="130"/>
      <c r="GR68" s="130"/>
      <c r="GS68" s="130"/>
      <c r="GT68" s="130"/>
      <c r="GU68" s="130"/>
      <c r="GV68" s="130"/>
      <c r="GW68" s="130"/>
      <c r="GX68" s="130"/>
      <c r="GY68" s="130"/>
      <c r="GZ68" s="130"/>
      <c r="HA68" s="130"/>
      <c r="HB68" s="130"/>
      <c r="HC68" s="130"/>
      <c r="HD68" s="130"/>
      <c r="HE68" s="130"/>
      <c r="HF68" s="130"/>
      <c r="HG68" s="130"/>
      <c r="HH68" s="130"/>
      <c r="HI68" s="130"/>
      <c r="HJ68" s="130"/>
      <c r="HK68" s="130"/>
      <c r="HL68" s="130"/>
      <c r="HM68" s="130"/>
      <c r="HN68" s="130"/>
      <c r="HO68" s="130"/>
      <c r="HP68" s="130"/>
    </row>
    <row r="69" spans="1:224" s="148" customFormat="1" ht="18.75" customHeight="1" x14ac:dyDescent="0.2">
      <c r="A69" s="475" t="s">
        <v>142</v>
      </c>
      <c r="B69" s="247" t="s">
        <v>143</v>
      </c>
      <c r="C69" s="304">
        <v>7660</v>
      </c>
      <c r="D69" s="304">
        <f t="shared" ref="D69:E69" si="58">D58+D59-D65</f>
        <v>12807</v>
      </c>
      <c r="E69" s="304">
        <f t="shared" si="58"/>
        <v>11721</v>
      </c>
      <c r="F69" s="304">
        <f t="shared" ref="F69:G69" si="59">F58+F59-F65</f>
        <v>12341</v>
      </c>
      <c r="G69" s="304">
        <f t="shared" si="59"/>
        <v>9844</v>
      </c>
      <c r="H69" s="304">
        <f t="shared" ref="H69:I69" si="60">H58+H59-H65</f>
        <v>9129</v>
      </c>
      <c r="I69" s="304">
        <f t="shared" si="60"/>
        <v>8593</v>
      </c>
      <c r="J69" s="304">
        <f t="shared" ref="J69:K69" si="61">J58+J59-J65</f>
        <v>8423</v>
      </c>
      <c r="K69" s="304">
        <f t="shared" si="61"/>
        <v>9060</v>
      </c>
      <c r="L69" s="304">
        <f t="shared" ref="L69:M69" si="62">L58+L59-L65</f>
        <v>9469</v>
      </c>
      <c r="M69" s="304">
        <f t="shared" si="62"/>
        <v>9582</v>
      </c>
      <c r="N69" s="304">
        <f t="shared" ref="N69:O69" si="63">N58+N59-N65</f>
        <v>10238</v>
      </c>
      <c r="O69" s="304">
        <f t="shared" si="63"/>
        <v>9062</v>
      </c>
      <c r="P69" s="304">
        <f t="shared" ref="P69" si="64">P58+P59-P65</f>
        <v>9756</v>
      </c>
      <c r="Q69" s="304">
        <f t="shared" ref="Q69:V69" si="65">Q58+Q59-Q65</f>
        <v>9134</v>
      </c>
      <c r="R69" s="304">
        <f t="shared" si="65"/>
        <v>10271</v>
      </c>
      <c r="S69" s="304">
        <f>S58+S59-S65</f>
        <v>10422</v>
      </c>
      <c r="T69" s="304">
        <f t="shared" si="65"/>
        <v>10464</v>
      </c>
      <c r="U69" s="304">
        <f t="shared" si="65"/>
        <v>10532</v>
      </c>
      <c r="V69" s="304">
        <f t="shared" si="65"/>
        <v>10091</v>
      </c>
      <c r="W69" s="304">
        <f t="shared" ref="W69:X69" si="66">W58+W59-W65</f>
        <v>10237</v>
      </c>
      <c r="X69" s="304">
        <f t="shared" si="66"/>
        <v>9682</v>
      </c>
      <c r="Y69" s="304">
        <f t="shared" ref="Y69:Z69" si="67">Y58+Y59-Y65</f>
        <v>9521</v>
      </c>
      <c r="Z69" s="304">
        <f t="shared" si="67"/>
        <v>9794</v>
      </c>
      <c r="AA69" s="304">
        <f t="shared" ref="AA69:AB69" si="68">AA58+AA59-AA65</f>
        <v>9317</v>
      </c>
      <c r="AB69" s="304">
        <f t="shared" si="68"/>
        <v>8510</v>
      </c>
      <c r="AC69" s="304">
        <f t="shared" ref="AC69:AD69" si="69">AC58+AC59-AC65</f>
        <v>6696</v>
      </c>
      <c r="AD69" s="304">
        <f t="shared" si="69"/>
        <v>5614</v>
      </c>
      <c r="AE69" s="304">
        <f t="shared" ref="AE69:AF69" si="70">AE58+AE59-AE65</f>
        <v>5300</v>
      </c>
      <c r="AF69" s="304">
        <f t="shared" si="70"/>
        <v>6897</v>
      </c>
      <c r="AG69" s="304">
        <f t="shared" ref="AG69:AH69" si="71">AG58+AG59-AG65</f>
        <v>7238</v>
      </c>
      <c r="AH69" s="304">
        <f t="shared" si="71"/>
        <v>8245</v>
      </c>
      <c r="AI69" s="304">
        <f t="shared" ref="AI69" si="72">AI58+AI59-AI65</f>
        <v>6575</v>
      </c>
      <c r="AJ69" s="229">
        <f>AVERAGE(D69:AH69)</f>
        <v>9290</v>
      </c>
      <c r="AK69" s="130">
        <v>4137</v>
      </c>
      <c r="AL69" s="130">
        <v>6998</v>
      </c>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30"/>
      <c r="EK69" s="130"/>
      <c r="EL69" s="130"/>
      <c r="EM69" s="130"/>
      <c r="EN69" s="130"/>
      <c r="EO69" s="130"/>
      <c r="EP69" s="130"/>
      <c r="EQ69" s="130"/>
      <c r="ER69" s="130"/>
      <c r="ES69" s="130"/>
      <c r="ET69" s="130"/>
      <c r="EU69" s="130"/>
      <c r="EV69" s="130"/>
      <c r="EW69" s="130"/>
      <c r="EX69" s="130"/>
      <c r="EY69" s="130"/>
      <c r="EZ69" s="130"/>
      <c r="FA69" s="130"/>
      <c r="FB69" s="130"/>
      <c r="FC69" s="130"/>
      <c r="FD69" s="130"/>
      <c r="FE69" s="130"/>
      <c r="FF69" s="130"/>
      <c r="FG69" s="130"/>
      <c r="FH69" s="130"/>
      <c r="FI69" s="130"/>
      <c r="FJ69" s="130"/>
      <c r="FK69" s="130"/>
      <c r="FL69" s="130"/>
      <c r="FM69" s="130"/>
      <c r="FN69" s="130"/>
      <c r="FO69" s="130"/>
      <c r="FP69" s="130"/>
      <c r="FQ69" s="130"/>
      <c r="FR69" s="130"/>
      <c r="FS69" s="130"/>
      <c r="FT69" s="130"/>
      <c r="FU69" s="130"/>
      <c r="FV69" s="130"/>
      <c r="FW69" s="130"/>
      <c r="FX69" s="130"/>
      <c r="FY69" s="130"/>
      <c r="FZ69" s="130"/>
      <c r="GA69" s="130"/>
      <c r="GB69" s="130"/>
      <c r="GC69" s="130"/>
      <c r="GD69" s="130"/>
      <c r="GE69" s="130"/>
      <c r="GF69" s="130"/>
      <c r="GG69" s="130"/>
      <c r="GH69" s="130"/>
      <c r="GI69" s="130"/>
      <c r="GJ69" s="130"/>
      <c r="GK69" s="130"/>
      <c r="GL69" s="130"/>
      <c r="GM69" s="130"/>
      <c r="GN69" s="130"/>
      <c r="GO69" s="130"/>
      <c r="GP69" s="130"/>
      <c r="GQ69" s="130"/>
      <c r="GR69" s="130"/>
      <c r="GS69" s="130"/>
      <c r="GT69" s="130"/>
      <c r="GU69" s="130"/>
      <c r="GV69" s="130"/>
      <c r="GW69" s="130"/>
      <c r="GX69" s="130"/>
      <c r="GY69" s="130"/>
      <c r="GZ69" s="130"/>
      <c r="HA69" s="130"/>
      <c r="HB69" s="130"/>
      <c r="HC69" s="130"/>
      <c r="HD69" s="130"/>
      <c r="HE69" s="130"/>
      <c r="HF69" s="130"/>
      <c r="HG69" s="130"/>
      <c r="HH69" s="130"/>
      <c r="HI69" s="130"/>
      <c r="HJ69" s="130"/>
      <c r="HK69" s="130"/>
      <c r="HL69" s="130"/>
      <c r="HM69" s="130"/>
      <c r="HN69" s="130"/>
      <c r="HO69" s="130"/>
      <c r="HP69" s="130"/>
    </row>
    <row r="70" spans="1:224" s="153" customFormat="1" ht="28.5" x14ac:dyDescent="0.2">
      <c r="A70" s="476"/>
      <c r="B70" s="226" t="s">
        <v>144</v>
      </c>
      <c r="C70" s="374">
        <v>221847</v>
      </c>
      <c r="D70" s="374">
        <f t="shared" ref="D70:P70" si="73">C70+D69</f>
        <v>234654</v>
      </c>
      <c r="E70" s="374">
        <f t="shared" si="73"/>
        <v>246375</v>
      </c>
      <c r="F70" s="374">
        <f t="shared" si="73"/>
        <v>258716</v>
      </c>
      <c r="G70" s="374">
        <f t="shared" si="73"/>
        <v>268560</v>
      </c>
      <c r="H70" s="374">
        <f t="shared" si="73"/>
        <v>277689</v>
      </c>
      <c r="I70" s="374">
        <f t="shared" si="73"/>
        <v>286282</v>
      </c>
      <c r="J70" s="374">
        <f t="shared" si="73"/>
        <v>294705</v>
      </c>
      <c r="K70" s="374">
        <f t="shared" si="73"/>
        <v>303765</v>
      </c>
      <c r="L70" s="374">
        <f t="shared" si="73"/>
        <v>313234</v>
      </c>
      <c r="M70" s="374">
        <f t="shared" si="73"/>
        <v>322816</v>
      </c>
      <c r="N70" s="374">
        <f t="shared" si="73"/>
        <v>333054</v>
      </c>
      <c r="O70" s="374">
        <f t="shared" si="73"/>
        <v>342116</v>
      </c>
      <c r="P70" s="374">
        <f t="shared" si="73"/>
        <v>351872</v>
      </c>
      <c r="Q70" s="374">
        <f t="shared" ref="Q70:AI70" si="74">P70+Q69</f>
        <v>361006</v>
      </c>
      <c r="R70" s="374">
        <f t="shared" si="74"/>
        <v>371277</v>
      </c>
      <c r="S70" s="374">
        <f t="shared" si="74"/>
        <v>381699</v>
      </c>
      <c r="T70" s="374">
        <f t="shared" si="74"/>
        <v>392163</v>
      </c>
      <c r="U70" s="374">
        <f t="shared" si="74"/>
        <v>402695</v>
      </c>
      <c r="V70" s="374">
        <f t="shared" si="74"/>
        <v>412786</v>
      </c>
      <c r="W70" s="374">
        <f t="shared" si="74"/>
        <v>423023</v>
      </c>
      <c r="X70" s="374">
        <f t="shared" si="74"/>
        <v>432705</v>
      </c>
      <c r="Y70" s="374">
        <f t="shared" si="74"/>
        <v>442226</v>
      </c>
      <c r="Z70" s="374">
        <f t="shared" si="74"/>
        <v>452020</v>
      </c>
      <c r="AA70" s="374">
        <f t="shared" si="74"/>
        <v>461337</v>
      </c>
      <c r="AB70" s="374">
        <f t="shared" si="74"/>
        <v>469847</v>
      </c>
      <c r="AC70" s="374">
        <f t="shared" si="74"/>
        <v>476543</v>
      </c>
      <c r="AD70" s="374">
        <f t="shared" si="74"/>
        <v>482157</v>
      </c>
      <c r="AE70" s="374">
        <f t="shared" si="74"/>
        <v>487457</v>
      </c>
      <c r="AF70" s="374">
        <f t="shared" si="74"/>
        <v>494354</v>
      </c>
      <c r="AG70" s="374">
        <f t="shared" si="74"/>
        <v>501592</v>
      </c>
      <c r="AH70" s="374">
        <f t="shared" si="74"/>
        <v>509837</v>
      </c>
      <c r="AI70" s="374">
        <f t="shared" si="74"/>
        <v>516412</v>
      </c>
      <c r="AJ70" s="227"/>
      <c r="AK70" s="120">
        <v>168378</v>
      </c>
      <c r="AL70" s="120">
        <v>241747</v>
      </c>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c r="CJ70" s="120"/>
      <c r="CK70" s="120"/>
      <c r="CL70" s="120"/>
      <c r="CM70" s="120"/>
      <c r="CN70" s="120"/>
      <c r="CO70" s="120"/>
      <c r="CP70" s="120"/>
      <c r="CQ70" s="120"/>
      <c r="CR70" s="120"/>
      <c r="CS70" s="120"/>
      <c r="CT70" s="120"/>
      <c r="CU70" s="120"/>
      <c r="CV70" s="120"/>
      <c r="CW70" s="120"/>
      <c r="CX70" s="120"/>
      <c r="CY70" s="120"/>
      <c r="CZ70" s="120"/>
      <c r="DA70" s="120"/>
      <c r="DB70" s="120"/>
      <c r="DC70" s="120"/>
      <c r="DD70" s="120"/>
      <c r="DE70" s="120"/>
      <c r="DF70" s="120"/>
      <c r="DG70" s="120"/>
      <c r="DH70" s="120"/>
      <c r="DI70" s="120"/>
      <c r="DJ70" s="120"/>
      <c r="DK70" s="120"/>
      <c r="DL70" s="120"/>
      <c r="DM70" s="120"/>
      <c r="DN70" s="120"/>
      <c r="DO70" s="120"/>
      <c r="DP70" s="120"/>
      <c r="DQ70" s="120"/>
      <c r="DR70" s="120"/>
      <c r="DS70" s="120"/>
      <c r="DT70" s="120"/>
      <c r="DU70" s="120"/>
      <c r="DV70" s="120"/>
      <c r="DW70" s="120"/>
      <c r="DX70" s="120"/>
      <c r="DY70" s="120"/>
      <c r="DZ70" s="120"/>
      <c r="EA70" s="120"/>
      <c r="EB70" s="120"/>
      <c r="EC70" s="120"/>
      <c r="ED70" s="120"/>
      <c r="EE70" s="120"/>
      <c r="EF70" s="120"/>
      <c r="EG70" s="120"/>
      <c r="EH70" s="120"/>
      <c r="EI70" s="120"/>
      <c r="EJ70" s="120"/>
      <c r="EK70" s="120"/>
      <c r="EL70" s="120"/>
      <c r="EM70" s="120"/>
      <c r="EN70" s="120"/>
      <c r="EO70" s="120"/>
      <c r="EP70" s="120"/>
      <c r="EQ70" s="120"/>
      <c r="ER70" s="120"/>
      <c r="ES70" s="120"/>
      <c r="ET70" s="120"/>
      <c r="EU70" s="120"/>
      <c r="EV70" s="120"/>
      <c r="EW70" s="120"/>
      <c r="EX70" s="120"/>
      <c r="EY70" s="120"/>
      <c r="EZ70" s="120"/>
      <c r="FA70" s="120"/>
      <c r="FB70" s="120"/>
      <c r="FC70" s="120"/>
      <c r="FD70" s="120"/>
      <c r="FE70" s="120"/>
      <c r="FF70" s="120"/>
      <c r="FG70" s="120"/>
      <c r="FH70" s="120"/>
      <c r="FI70" s="120"/>
      <c r="FJ70" s="120"/>
      <c r="FK70" s="120"/>
      <c r="FL70" s="120"/>
      <c r="FM70" s="120"/>
      <c r="FN70" s="120"/>
      <c r="FO70" s="120"/>
      <c r="FP70" s="120"/>
      <c r="FQ70" s="120"/>
      <c r="FR70" s="120"/>
      <c r="FS70" s="120"/>
      <c r="FT70" s="120"/>
      <c r="FU70" s="120"/>
      <c r="FV70" s="120"/>
      <c r="FW70" s="120"/>
      <c r="FX70" s="120"/>
      <c r="FY70" s="120"/>
      <c r="FZ70" s="120"/>
      <c r="GA70" s="120"/>
      <c r="GB70" s="120"/>
      <c r="GC70" s="120"/>
      <c r="GD70" s="120"/>
      <c r="GE70" s="120"/>
      <c r="GF70" s="120"/>
      <c r="GG70" s="120"/>
      <c r="GH70" s="120"/>
      <c r="GI70" s="120"/>
      <c r="GJ70" s="120"/>
      <c r="GK70" s="120"/>
      <c r="GL70" s="120"/>
      <c r="GM70" s="120"/>
      <c r="GN70" s="120"/>
      <c r="GO70" s="120"/>
      <c r="GP70" s="120"/>
      <c r="GQ70" s="120"/>
      <c r="GR70" s="120"/>
      <c r="GS70" s="120"/>
      <c r="GT70" s="120"/>
      <c r="GU70" s="120"/>
      <c r="GV70" s="120"/>
      <c r="GW70" s="120"/>
      <c r="GX70" s="120"/>
      <c r="GY70" s="120"/>
      <c r="GZ70" s="120"/>
      <c r="HA70" s="120"/>
      <c r="HB70" s="120"/>
      <c r="HC70" s="120"/>
      <c r="HD70" s="120"/>
      <c r="HE70" s="120"/>
      <c r="HF70" s="120"/>
      <c r="HG70" s="120"/>
      <c r="HH70" s="120"/>
      <c r="HI70" s="120"/>
      <c r="HJ70" s="120"/>
      <c r="HK70" s="120"/>
      <c r="HL70" s="120"/>
      <c r="HM70" s="120"/>
      <c r="HN70" s="120"/>
      <c r="HO70" s="120"/>
      <c r="HP70" s="120"/>
    </row>
    <row r="71" spans="1:224" s="153" customFormat="1" ht="18.75" customHeight="1" x14ac:dyDescent="0.2">
      <c r="A71" s="476"/>
      <c r="B71" s="226" t="s">
        <v>145</v>
      </c>
      <c r="C71" s="309">
        <v>0.69294420216929442</v>
      </c>
      <c r="D71" s="309">
        <f t="shared" ref="D71:E71" si="75">D81/D77</f>
        <v>0.8937651039149348</v>
      </c>
      <c r="E71" s="309">
        <f t="shared" si="75"/>
        <v>0.91767089687533321</v>
      </c>
      <c r="F71" s="309">
        <f t="shared" ref="F71:G71" si="76">F81/F77</f>
        <v>0.9411709863882155</v>
      </c>
      <c r="G71" s="309">
        <f t="shared" si="76"/>
        <v>0.90437008593892854</v>
      </c>
      <c r="H71" s="309">
        <f t="shared" ref="H71:I71" si="77">H81/H77</f>
        <v>0.89158932159601956</v>
      </c>
      <c r="I71" s="309">
        <f t="shared" si="77"/>
        <v>0.87930505876341336</v>
      </c>
      <c r="J71" s="309">
        <f t="shared" ref="J71:K71" si="78">J81/J77</f>
        <v>0.92500249326817596</v>
      </c>
      <c r="K71" s="309">
        <f t="shared" si="78"/>
        <v>0.95087253414264039</v>
      </c>
      <c r="L71" s="309">
        <f t="shared" ref="L71:M71" si="79">L81/L77</f>
        <v>0.93666271757951336</v>
      </c>
      <c r="M71" s="309">
        <f t="shared" si="79"/>
        <v>0.92772424017790955</v>
      </c>
      <c r="N71" s="309">
        <f t="shared" ref="N71:O71" si="80">N81/N77</f>
        <v>0.91630231105559024</v>
      </c>
      <c r="O71" s="309">
        <f t="shared" si="80"/>
        <v>0.91431362970200292</v>
      </c>
      <c r="P71" s="309">
        <f t="shared" ref="P71" si="81">P81/P77</f>
        <v>0.9224154224154224</v>
      </c>
      <c r="Q71" s="309">
        <f t="shared" ref="Q71:S72" si="82">Q81/Q77</f>
        <v>0.91067117334620951</v>
      </c>
      <c r="R71" s="309">
        <f t="shared" si="82"/>
        <v>0.92478935698447895</v>
      </c>
      <c r="S71" s="309">
        <f t="shared" si="82"/>
        <v>0.93208389112003565</v>
      </c>
      <c r="T71" s="309">
        <f t="shared" ref="T71:U71" si="83">T81/T77</f>
        <v>0.9180928054491273</v>
      </c>
      <c r="U71" s="309">
        <f t="shared" si="83"/>
        <v>0.94331187410586548</v>
      </c>
      <c r="V71" s="309">
        <f t="shared" ref="V71:W71" si="84">V81/V77</f>
        <v>0.92362042751095608</v>
      </c>
      <c r="W71" s="309">
        <f t="shared" si="84"/>
        <v>0.90803280134026987</v>
      </c>
      <c r="X71" s="309">
        <f t="shared" ref="X71:Y71" si="85">X81/X77</f>
        <v>0.90768668311854495</v>
      </c>
      <c r="Y71" s="309">
        <f t="shared" si="85"/>
        <v>0.90377306016501346</v>
      </c>
      <c r="Z71" s="309">
        <f t="shared" ref="Z71:AA71" si="86">Z81/Z77</f>
        <v>0.92416514291213547</v>
      </c>
      <c r="AA71" s="309">
        <f t="shared" si="86"/>
        <v>0.9116703916043144</v>
      </c>
      <c r="AB71" s="309">
        <f t="shared" ref="AB71:AC71" si="87">AB81/AB77</f>
        <v>0.91383457074139918</v>
      </c>
      <c r="AC71" s="309">
        <f t="shared" si="87"/>
        <v>0.8665748302666535</v>
      </c>
      <c r="AD71" s="309">
        <f t="shared" ref="AD71:AE71" si="88">AD81/AD77</f>
        <v>0.85292607802874743</v>
      </c>
      <c r="AE71" s="309">
        <f t="shared" si="88"/>
        <v>0.82724484104852203</v>
      </c>
      <c r="AF71" s="309">
        <f t="shared" ref="AF71:AG71" si="89">AF81/AF77</f>
        <v>0.85717791411042943</v>
      </c>
      <c r="AG71" s="309">
        <f t="shared" si="89"/>
        <v>0.86755899964776328</v>
      </c>
      <c r="AH71" s="309">
        <f t="shared" ref="AH71:AI71" si="90">AH81/AH77</f>
        <v>0.89271653543307083</v>
      </c>
      <c r="AI71" s="309">
        <f t="shared" si="90"/>
        <v>0.87474146845915202</v>
      </c>
      <c r="AJ71" s="227"/>
      <c r="AK71" s="120">
        <v>0.89715536105032823</v>
      </c>
      <c r="AL71" s="120">
        <v>0.86332332685855551</v>
      </c>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c r="CJ71" s="120"/>
      <c r="CK71" s="120"/>
      <c r="CL71" s="120"/>
      <c r="CM71" s="120"/>
      <c r="CN71" s="120"/>
      <c r="CO71" s="120"/>
      <c r="CP71" s="120"/>
      <c r="CQ71" s="120"/>
      <c r="CR71" s="120"/>
      <c r="CS71" s="120"/>
      <c r="CT71" s="120"/>
      <c r="CU71" s="120"/>
      <c r="CV71" s="120"/>
      <c r="CW71" s="120"/>
      <c r="CX71" s="120"/>
      <c r="CY71" s="120"/>
      <c r="CZ71" s="120"/>
      <c r="DA71" s="120"/>
      <c r="DB71" s="120"/>
      <c r="DC71" s="120"/>
      <c r="DD71" s="120"/>
      <c r="DE71" s="120"/>
      <c r="DF71" s="120"/>
      <c r="DG71" s="120"/>
      <c r="DH71" s="120"/>
      <c r="DI71" s="120"/>
      <c r="DJ71" s="120"/>
      <c r="DK71" s="120"/>
      <c r="DL71" s="120"/>
      <c r="DM71" s="120"/>
      <c r="DN71" s="120"/>
      <c r="DO71" s="120"/>
      <c r="DP71" s="120"/>
      <c r="DQ71" s="120"/>
      <c r="DR71" s="120"/>
      <c r="DS71" s="120"/>
      <c r="DT71" s="120"/>
      <c r="DU71" s="120"/>
      <c r="DV71" s="120"/>
      <c r="DW71" s="120"/>
      <c r="DX71" s="120"/>
      <c r="DY71" s="120"/>
      <c r="DZ71" s="120"/>
      <c r="EA71" s="120"/>
      <c r="EB71" s="120"/>
      <c r="EC71" s="120"/>
      <c r="ED71" s="120"/>
      <c r="EE71" s="120"/>
      <c r="EF71" s="120"/>
      <c r="EG71" s="120"/>
      <c r="EH71" s="120"/>
      <c r="EI71" s="120"/>
      <c r="EJ71" s="120"/>
      <c r="EK71" s="120"/>
      <c r="EL71" s="120"/>
      <c r="EM71" s="120"/>
      <c r="EN71" s="120"/>
      <c r="EO71" s="120"/>
      <c r="EP71" s="120"/>
      <c r="EQ71" s="120"/>
      <c r="ER71" s="120"/>
      <c r="ES71" s="120"/>
      <c r="ET71" s="120"/>
      <c r="EU71" s="120"/>
      <c r="EV71" s="120"/>
      <c r="EW71" s="120"/>
      <c r="EX71" s="120"/>
      <c r="EY71" s="120"/>
      <c r="EZ71" s="120"/>
      <c r="FA71" s="120"/>
      <c r="FB71" s="120"/>
      <c r="FC71" s="120"/>
      <c r="FD71" s="120"/>
      <c r="FE71" s="120"/>
      <c r="FF71" s="120"/>
      <c r="FG71" s="120"/>
      <c r="FH71" s="120"/>
      <c r="FI71" s="120"/>
      <c r="FJ71" s="120"/>
      <c r="FK71" s="120"/>
      <c r="FL71" s="120"/>
      <c r="FM71" s="120"/>
      <c r="FN71" s="120"/>
      <c r="FO71" s="120"/>
      <c r="FP71" s="120"/>
      <c r="FQ71" s="120"/>
      <c r="FR71" s="120"/>
      <c r="FS71" s="120"/>
      <c r="FT71" s="120"/>
      <c r="FU71" s="120"/>
      <c r="FV71" s="120"/>
      <c r="FW71" s="120"/>
      <c r="FX71" s="120"/>
      <c r="FY71" s="120"/>
      <c r="FZ71" s="120"/>
      <c r="GA71" s="120"/>
      <c r="GB71" s="120"/>
      <c r="GC71" s="120"/>
      <c r="GD71" s="120"/>
      <c r="GE71" s="120"/>
      <c r="GF71" s="120"/>
      <c r="GG71" s="120"/>
      <c r="GH71" s="120"/>
      <c r="GI71" s="120"/>
      <c r="GJ71" s="120"/>
      <c r="GK71" s="120"/>
      <c r="GL71" s="120"/>
      <c r="GM71" s="120"/>
      <c r="GN71" s="120"/>
      <c r="GO71" s="120"/>
      <c r="GP71" s="120"/>
      <c r="GQ71" s="120"/>
      <c r="GR71" s="120"/>
      <c r="GS71" s="120"/>
      <c r="GT71" s="120"/>
      <c r="GU71" s="120"/>
      <c r="GV71" s="120"/>
      <c r="GW71" s="120"/>
      <c r="GX71" s="120"/>
      <c r="GY71" s="120"/>
      <c r="GZ71" s="120"/>
      <c r="HA71" s="120"/>
      <c r="HB71" s="120"/>
      <c r="HC71" s="120"/>
      <c r="HD71" s="120"/>
      <c r="HE71" s="120"/>
      <c r="HF71" s="120"/>
      <c r="HG71" s="120"/>
      <c r="HH71" s="120"/>
      <c r="HI71" s="120"/>
      <c r="HJ71" s="120"/>
      <c r="HK71" s="120"/>
      <c r="HL71" s="120"/>
      <c r="HM71" s="120"/>
      <c r="HN71" s="120"/>
      <c r="HO71" s="120"/>
      <c r="HP71" s="120"/>
    </row>
    <row r="72" spans="1:224" s="148" customFormat="1" ht="30" x14ac:dyDescent="0.2">
      <c r="A72" s="476"/>
      <c r="B72" s="228" t="s">
        <v>146</v>
      </c>
      <c r="C72" s="310">
        <v>0.71123515648083824</v>
      </c>
      <c r="D72" s="310">
        <f t="shared" ref="D72:E72" si="91">D82/D78</f>
        <v>0.71847571426928081</v>
      </c>
      <c r="E72" s="310">
        <f t="shared" si="91"/>
        <v>0.72538938734417102</v>
      </c>
      <c r="F72" s="310">
        <f t="shared" ref="F72:G72" si="92">F82/F78</f>
        <v>0.73362905580040871</v>
      </c>
      <c r="G72" s="310">
        <f t="shared" si="92"/>
        <v>0.74002850955344168</v>
      </c>
      <c r="H72" s="310">
        <f t="shared" ref="H72:I72" si="93">H82/H78</f>
        <v>0.74526850666428479</v>
      </c>
      <c r="I72" s="310">
        <f t="shared" si="93"/>
        <v>0.74947126908237949</v>
      </c>
      <c r="J72" s="310">
        <f t="shared" ref="J72:K72" si="94">J82/J78</f>
        <v>0.75493565562955034</v>
      </c>
      <c r="K72" s="310">
        <f t="shared" si="94"/>
        <v>0.76114646809303776</v>
      </c>
      <c r="L72" s="310">
        <f t="shared" ref="L72:M72" si="95">L82/L78</f>
        <v>0.76675145221936369</v>
      </c>
      <c r="M72" s="310">
        <f t="shared" si="95"/>
        <v>0.77165325447794042</v>
      </c>
      <c r="N72" s="310">
        <f t="shared" ref="N72:O72" si="96">N82/N78</f>
        <v>0.77608715273883988</v>
      </c>
      <c r="O72" s="310">
        <f t="shared" si="96"/>
        <v>0.77985132208404506</v>
      </c>
      <c r="P72" s="310">
        <f t="shared" ref="P72" si="97">P82/P78</f>
        <v>0.78375531793762354</v>
      </c>
      <c r="Q72" s="310">
        <f t="shared" si="82"/>
        <v>0.7870674902906627</v>
      </c>
      <c r="R72" s="310">
        <f t="shared" si="82"/>
        <v>0.79087286611217034</v>
      </c>
      <c r="S72" s="310">
        <f t="shared" si="82"/>
        <v>0.79464679687928574</v>
      </c>
      <c r="T72" s="310">
        <f t="shared" ref="T72:U72" si="98">T82/T78</f>
        <v>0.79801070977800881</v>
      </c>
      <c r="U72" s="310">
        <f t="shared" si="98"/>
        <v>0.8016856930925933</v>
      </c>
      <c r="V72" s="310">
        <f t="shared" ref="V72:W72" si="99">V82/V78</f>
        <v>0.8046928246719588</v>
      </c>
      <c r="W72" s="310">
        <f t="shared" si="99"/>
        <v>0.80721476004596371</v>
      </c>
      <c r="X72" s="310">
        <f t="shared" ref="X72:Y72" si="100">X82/X78</f>
        <v>0.80952581177534133</v>
      </c>
      <c r="Y72" s="310">
        <f t="shared" si="100"/>
        <v>0.81161577330904811</v>
      </c>
      <c r="Z72" s="310">
        <f t="shared" ref="Z72:AA72" si="101">Z82/Z78</f>
        <v>0.8139696839783187</v>
      </c>
      <c r="AA72" s="310">
        <f t="shared" si="101"/>
        <v>0.81595231146622915</v>
      </c>
      <c r="AB72" s="310">
        <f t="shared" ref="AB72:AC72" si="102">AB82/AB78</f>
        <v>0.81776394606405811</v>
      </c>
      <c r="AC72" s="310">
        <f t="shared" si="102"/>
        <v>0.81870551390338808</v>
      </c>
      <c r="AD72" s="310">
        <f t="shared" ref="AD72:AE72" si="103">AD82/AD78</f>
        <v>0.81920425256526797</v>
      </c>
      <c r="AE72" s="310">
        <f t="shared" si="103"/>
        <v>0.81931068595495871</v>
      </c>
      <c r="AF72" s="310">
        <f t="shared" ref="AF72:AG72" si="104">AF82/AF78</f>
        <v>0.81987184615720299</v>
      </c>
      <c r="AG72" s="310">
        <f t="shared" si="104"/>
        <v>0.82059908931548253</v>
      </c>
      <c r="AH72" s="310">
        <f t="shared" ref="AH72:AI72" si="105">AH82/AH78</f>
        <v>0.8217608456287161</v>
      </c>
      <c r="AI72" s="310">
        <f t="shared" si="105"/>
        <v>0.82247319508969152</v>
      </c>
      <c r="AJ72" s="229"/>
      <c r="AK72" s="130">
        <v>0.73812862281485558</v>
      </c>
      <c r="AL72" s="130">
        <v>0.86054328141977543</v>
      </c>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c r="CX72" s="130"/>
      <c r="CY72" s="130"/>
      <c r="CZ72" s="130"/>
      <c r="DA72" s="130"/>
      <c r="DB72" s="130"/>
      <c r="DC72" s="130"/>
      <c r="DD72" s="130"/>
      <c r="DE72" s="130"/>
      <c r="DF72" s="130"/>
      <c r="DG72" s="130"/>
      <c r="DH72" s="130"/>
      <c r="DI72" s="130"/>
      <c r="DJ72" s="130"/>
      <c r="DK72" s="130"/>
      <c r="DL72" s="130"/>
      <c r="DM72" s="130"/>
      <c r="DN72" s="130"/>
      <c r="DO72" s="130"/>
      <c r="DP72" s="130"/>
      <c r="DQ72" s="130"/>
      <c r="DR72" s="130"/>
      <c r="DS72" s="130"/>
      <c r="DT72" s="130"/>
      <c r="DU72" s="130"/>
      <c r="DV72" s="130"/>
      <c r="DW72" s="130"/>
      <c r="DX72" s="130"/>
      <c r="DY72" s="130"/>
      <c r="DZ72" s="130"/>
      <c r="EA72" s="130"/>
      <c r="EB72" s="130"/>
      <c r="EC72" s="130"/>
      <c r="ED72" s="130"/>
      <c r="EE72" s="130"/>
      <c r="EF72" s="130"/>
      <c r="EG72" s="130"/>
      <c r="EH72" s="130"/>
      <c r="EI72" s="130"/>
      <c r="EJ72" s="130"/>
      <c r="EK72" s="130"/>
      <c r="EL72" s="130"/>
      <c r="EM72" s="130"/>
      <c r="EN72" s="130"/>
      <c r="EO72" s="130"/>
      <c r="EP72" s="130"/>
      <c r="EQ72" s="130"/>
      <c r="ER72" s="130"/>
      <c r="ES72" s="130"/>
      <c r="ET72" s="130"/>
      <c r="EU72" s="130"/>
      <c r="EV72" s="130"/>
      <c r="EW72" s="130"/>
      <c r="EX72" s="130"/>
      <c r="EY72" s="130"/>
      <c r="EZ72" s="130"/>
      <c r="FA72" s="130"/>
      <c r="FB72" s="130"/>
      <c r="FC72" s="130"/>
      <c r="FD72" s="130"/>
      <c r="FE72" s="130"/>
      <c r="FF72" s="130"/>
      <c r="FG72" s="130"/>
      <c r="FH72" s="130"/>
      <c r="FI72" s="130"/>
      <c r="FJ72" s="130"/>
      <c r="FK72" s="130"/>
      <c r="FL72" s="130"/>
      <c r="FM72" s="130"/>
      <c r="FN72" s="130"/>
      <c r="FO72" s="130"/>
      <c r="FP72" s="130"/>
      <c r="FQ72" s="130"/>
      <c r="FR72" s="130"/>
      <c r="FS72" s="130"/>
      <c r="FT72" s="130"/>
      <c r="FU72" s="130"/>
      <c r="FV72" s="130"/>
      <c r="FW72" s="130"/>
      <c r="FX72" s="130"/>
      <c r="FY72" s="130"/>
      <c r="FZ72" s="130"/>
      <c r="GA72" s="130"/>
      <c r="GB72" s="130"/>
      <c r="GC72" s="130"/>
      <c r="GD72" s="130"/>
      <c r="GE72" s="130"/>
      <c r="GF72" s="130"/>
      <c r="GG72" s="130"/>
      <c r="GH72" s="130"/>
      <c r="GI72" s="130"/>
      <c r="GJ72" s="130"/>
      <c r="GK72" s="130"/>
      <c r="GL72" s="130"/>
      <c r="GM72" s="130"/>
      <c r="GN72" s="130"/>
      <c r="GO72" s="130"/>
      <c r="GP72" s="130"/>
      <c r="GQ72" s="130"/>
      <c r="GR72" s="130"/>
      <c r="GS72" s="130"/>
      <c r="GT72" s="130"/>
      <c r="GU72" s="130"/>
      <c r="GV72" s="130"/>
      <c r="GW72" s="130"/>
      <c r="GX72" s="130"/>
      <c r="GY72" s="130"/>
      <c r="GZ72" s="130"/>
      <c r="HA72" s="130"/>
      <c r="HB72" s="130"/>
      <c r="HC72" s="130"/>
      <c r="HD72" s="130"/>
      <c r="HE72" s="130"/>
      <c r="HF72" s="130"/>
      <c r="HG72" s="130"/>
      <c r="HH72" s="130"/>
      <c r="HI72" s="130"/>
      <c r="HJ72" s="130"/>
      <c r="HK72" s="130"/>
      <c r="HL72" s="130"/>
      <c r="HM72" s="130"/>
      <c r="HN72" s="130"/>
      <c r="HO72" s="130"/>
      <c r="HP72" s="130"/>
    </row>
    <row r="73" spans="1:224" s="148" customFormat="1" ht="18.75" customHeight="1" x14ac:dyDescent="0.2">
      <c r="A73" s="476"/>
      <c r="B73" s="230" t="s">
        <v>147</v>
      </c>
      <c r="C73" s="304">
        <v>2746</v>
      </c>
      <c r="D73" s="304">
        <f t="shared" ref="D73:E73" si="106">D62+D65</f>
        <v>1099</v>
      </c>
      <c r="E73" s="304">
        <f t="shared" si="106"/>
        <v>772</v>
      </c>
      <c r="F73" s="304">
        <f t="shared" ref="F73:G73" si="107">F62+F65</f>
        <v>631</v>
      </c>
      <c r="G73" s="304">
        <f t="shared" si="107"/>
        <v>1046</v>
      </c>
      <c r="H73" s="304">
        <f t="shared" ref="H73:I73" si="108">H62+H65</f>
        <v>1133</v>
      </c>
      <c r="I73" s="304">
        <f t="shared" si="108"/>
        <v>1181</v>
      </c>
      <c r="J73" s="304">
        <f t="shared" ref="J73:K73" si="109">J62+J65</f>
        <v>752</v>
      </c>
      <c r="K73" s="304">
        <f t="shared" si="109"/>
        <v>518</v>
      </c>
      <c r="L73" s="304">
        <f t="shared" ref="L73:M73" si="110">L62+L65</f>
        <v>695</v>
      </c>
      <c r="M73" s="304">
        <f t="shared" si="110"/>
        <v>780</v>
      </c>
      <c r="N73" s="304">
        <f t="shared" ref="N73:O73" si="111">N62+N65</f>
        <v>938</v>
      </c>
      <c r="O73" s="304">
        <f t="shared" si="111"/>
        <v>877</v>
      </c>
      <c r="P73" s="304">
        <f t="shared" ref="P73" si="112">P62+P65</f>
        <v>821</v>
      </c>
      <c r="Q73" s="304">
        <f t="shared" ref="Q73:V73" si="113">Q62+Q65</f>
        <v>925</v>
      </c>
      <c r="R73" s="304">
        <f t="shared" si="113"/>
        <v>848</v>
      </c>
      <c r="S73" s="304">
        <f t="shared" si="113"/>
        <v>761</v>
      </c>
      <c r="T73" s="304">
        <f t="shared" si="113"/>
        <v>962</v>
      </c>
      <c r="U73" s="304">
        <f t="shared" si="113"/>
        <v>634</v>
      </c>
      <c r="V73" s="304">
        <f t="shared" si="113"/>
        <v>854</v>
      </c>
      <c r="W73" s="304">
        <f t="shared" ref="W73:X73" si="114">W62+W65</f>
        <v>1043</v>
      </c>
      <c r="X73" s="304">
        <f t="shared" si="114"/>
        <v>1010</v>
      </c>
      <c r="Y73" s="304">
        <f t="shared" ref="Y73:Z73" si="115">Y62+Y65</f>
        <v>1038</v>
      </c>
      <c r="Z73" s="304">
        <f t="shared" si="115"/>
        <v>788</v>
      </c>
      <c r="AA73" s="304">
        <f t="shared" ref="AA73:AB73" si="116">AA62+AA65</f>
        <v>909</v>
      </c>
      <c r="AB73" s="304">
        <f t="shared" si="116"/>
        <v>824</v>
      </c>
      <c r="AC73" s="304">
        <f t="shared" ref="AC73:AD73" si="117">AC62+AC65</f>
        <v>1356</v>
      </c>
      <c r="AD73" s="304">
        <f t="shared" si="117"/>
        <v>1146</v>
      </c>
      <c r="AE73" s="304">
        <f t="shared" ref="AE73:AF73" si="118">AE62+AE65</f>
        <v>1239</v>
      </c>
      <c r="AF73" s="304">
        <f t="shared" si="118"/>
        <v>1164</v>
      </c>
      <c r="AG73" s="304">
        <f t="shared" ref="AG73:AH73" si="119">AG62+AG65</f>
        <v>1128</v>
      </c>
      <c r="AH73" s="304">
        <f t="shared" si="119"/>
        <v>981</v>
      </c>
      <c r="AI73" s="304">
        <f t="shared" ref="AI73" si="120">AI62+AI65</f>
        <v>969</v>
      </c>
      <c r="AJ73" s="231">
        <f>AVERAGE(D73:AH73)</f>
        <v>930.74193548387098</v>
      </c>
      <c r="AK73" s="130">
        <v>564</v>
      </c>
      <c r="AL73" s="130">
        <v>774</v>
      </c>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0"/>
      <c r="DI73" s="130"/>
      <c r="DJ73" s="130"/>
      <c r="DK73" s="130"/>
      <c r="DL73" s="130"/>
      <c r="DM73" s="130"/>
      <c r="DN73" s="130"/>
      <c r="DO73" s="130"/>
      <c r="DP73" s="130"/>
      <c r="DQ73" s="130"/>
      <c r="DR73" s="130"/>
      <c r="DS73" s="130"/>
      <c r="DT73" s="130"/>
      <c r="DU73" s="130"/>
      <c r="DV73" s="130"/>
      <c r="DW73" s="130"/>
      <c r="DX73" s="130"/>
      <c r="DY73" s="130"/>
      <c r="DZ73" s="130"/>
      <c r="EA73" s="130"/>
      <c r="EB73" s="130"/>
      <c r="EC73" s="130"/>
      <c r="ED73" s="130"/>
      <c r="EE73" s="130"/>
      <c r="EF73" s="130"/>
      <c r="EG73" s="130"/>
      <c r="EH73" s="130"/>
      <c r="EI73" s="130"/>
      <c r="EJ73" s="130"/>
      <c r="EK73" s="130"/>
      <c r="EL73" s="130"/>
      <c r="EM73" s="130"/>
      <c r="EN73" s="130"/>
      <c r="EO73" s="130"/>
      <c r="EP73" s="130"/>
      <c r="EQ73" s="130"/>
      <c r="ER73" s="130"/>
      <c r="ES73" s="130"/>
      <c r="ET73" s="130"/>
      <c r="EU73" s="130"/>
      <c r="EV73" s="130"/>
      <c r="EW73" s="130"/>
      <c r="EX73" s="130"/>
      <c r="EY73" s="130"/>
      <c r="EZ73" s="130"/>
      <c r="FA73" s="130"/>
      <c r="FB73" s="130"/>
      <c r="FC73" s="130"/>
      <c r="FD73" s="130"/>
      <c r="FE73" s="130"/>
      <c r="FF73" s="130"/>
      <c r="FG73" s="130"/>
      <c r="FH73" s="130"/>
      <c r="FI73" s="130"/>
      <c r="FJ73" s="130"/>
      <c r="FK73" s="130"/>
      <c r="FL73" s="130"/>
      <c r="FM73" s="130"/>
      <c r="FN73" s="130"/>
      <c r="FO73" s="130"/>
      <c r="FP73" s="130"/>
      <c r="FQ73" s="130"/>
      <c r="FR73" s="130"/>
      <c r="FS73" s="130"/>
      <c r="FT73" s="130"/>
      <c r="FU73" s="130"/>
      <c r="FV73" s="130"/>
      <c r="FW73" s="130"/>
      <c r="FX73" s="130"/>
      <c r="FY73" s="130"/>
      <c r="FZ73" s="130"/>
      <c r="GA73" s="130"/>
      <c r="GB73" s="130"/>
      <c r="GC73" s="130"/>
      <c r="GD73" s="130"/>
      <c r="GE73" s="130"/>
      <c r="GF73" s="130"/>
      <c r="GG73" s="130"/>
      <c r="GH73" s="130"/>
      <c r="GI73" s="130"/>
      <c r="GJ73" s="130"/>
      <c r="GK73" s="130"/>
      <c r="GL73" s="130"/>
      <c r="GM73" s="130"/>
      <c r="GN73" s="130"/>
      <c r="GO73" s="130"/>
      <c r="GP73" s="130"/>
      <c r="GQ73" s="130"/>
      <c r="GR73" s="130"/>
      <c r="GS73" s="130"/>
      <c r="GT73" s="130"/>
      <c r="GU73" s="130"/>
      <c r="GV73" s="130"/>
      <c r="GW73" s="130"/>
      <c r="GX73" s="130"/>
      <c r="GY73" s="130"/>
      <c r="GZ73" s="130"/>
      <c r="HA73" s="130"/>
      <c r="HB73" s="130"/>
      <c r="HC73" s="130"/>
      <c r="HD73" s="130"/>
      <c r="HE73" s="130"/>
      <c r="HF73" s="130"/>
      <c r="HG73" s="130"/>
      <c r="HH73" s="130"/>
      <c r="HI73" s="130"/>
      <c r="HJ73" s="130"/>
      <c r="HK73" s="130"/>
      <c r="HL73" s="130"/>
      <c r="HM73" s="130"/>
      <c r="HN73" s="130"/>
      <c r="HO73" s="130"/>
      <c r="HP73" s="130"/>
    </row>
    <row r="74" spans="1:224" s="153" customFormat="1" ht="28.5" x14ac:dyDescent="0.2">
      <c r="A74" s="476"/>
      <c r="B74" s="232" t="s">
        <v>148</v>
      </c>
      <c r="C74" s="375">
        <v>72320</v>
      </c>
      <c r="D74" s="375">
        <f t="shared" ref="D74:P74" si="121">C74+D73</f>
        <v>73419</v>
      </c>
      <c r="E74" s="375">
        <f t="shared" si="121"/>
        <v>74191</v>
      </c>
      <c r="F74" s="375">
        <f t="shared" si="121"/>
        <v>74822</v>
      </c>
      <c r="G74" s="375">
        <f t="shared" si="121"/>
        <v>75868</v>
      </c>
      <c r="H74" s="375">
        <f t="shared" si="121"/>
        <v>77001</v>
      </c>
      <c r="I74" s="375">
        <f t="shared" si="121"/>
        <v>78182</v>
      </c>
      <c r="J74" s="375">
        <f t="shared" si="121"/>
        <v>78934</v>
      </c>
      <c r="K74" s="375">
        <f t="shared" si="121"/>
        <v>79452</v>
      </c>
      <c r="L74" s="375">
        <f t="shared" si="121"/>
        <v>80147</v>
      </c>
      <c r="M74" s="375">
        <f t="shared" si="121"/>
        <v>80927</v>
      </c>
      <c r="N74" s="375">
        <f t="shared" si="121"/>
        <v>81865</v>
      </c>
      <c r="O74" s="375">
        <f t="shared" si="121"/>
        <v>82742</v>
      </c>
      <c r="P74" s="375">
        <f t="shared" si="121"/>
        <v>83563</v>
      </c>
      <c r="Q74" s="375">
        <f t="shared" ref="Q74:AI74" si="122">P74+Q73</f>
        <v>84488</v>
      </c>
      <c r="R74" s="375">
        <f t="shared" si="122"/>
        <v>85336</v>
      </c>
      <c r="S74" s="375">
        <f t="shared" si="122"/>
        <v>86097</v>
      </c>
      <c r="T74" s="375">
        <f t="shared" si="122"/>
        <v>87059</v>
      </c>
      <c r="U74" s="375">
        <f t="shared" si="122"/>
        <v>87693</v>
      </c>
      <c r="V74" s="375">
        <f t="shared" si="122"/>
        <v>88547</v>
      </c>
      <c r="W74" s="375">
        <f t="shared" si="122"/>
        <v>89590</v>
      </c>
      <c r="X74" s="375">
        <f t="shared" si="122"/>
        <v>90600</v>
      </c>
      <c r="Y74" s="375">
        <f t="shared" si="122"/>
        <v>91638</v>
      </c>
      <c r="Z74" s="375">
        <f t="shared" si="122"/>
        <v>92426</v>
      </c>
      <c r="AA74" s="375">
        <f t="shared" si="122"/>
        <v>93335</v>
      </c>
      <c r="AB74" s="375">
        <f t="shared" si="122"/>
        <v>94159</v>
      </c>
      <c r="AC74" s="375">
        <f t="shared" si="122"/>
        <v>95515</v>
      </c>
      <c r="AD74" s="375">
        <f t="shared" si="122"/>
        <v>96661</v>
      </c>
      <c r="AE74" s="375">
        <f t="shared" si="122"/>
        <v>97900</v>
      </c>
      <c r="AF74" s="375">
        <f t="shared" si="122"/>
        <v>99064</v>
      </c>
      <c r="AG74" s="375">
        <f t="shared" si="122"/>
        <v>100192</v>
      </c>
      <c r="AH74" s="375">
        <f t="shared" si="122"/>
        <v>101173</v>
      </c>
      <c r="AI74" s="375">
        <f t="shared" si="122"/>
        <v>102142</v>
      </c>
      <c r="AJ74" s="231">
        <f>AVERAGE(D74:AH74)</f>
        <v>86535.032258064515</v>
      </c>
      <c r="AK74" s="120">
        <v>114299</v>
      </c>
      <c r="AL74" s="120">
        <v>28878</v>
      </c>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I74" s="120"/>
      <c r="CJ74" s="120"/>
      <c r="CK74" s="120"/>
      <c r="CL74" s="120"/>
      <c r="CM74" s="120"/>
      <c r="CN74" s="120"/>
      <c r="CO74" s="120"/>
      <c r="CP74" s="120"/>
      <c r="CQ74" s="120"/>
      <c r="CR74" s="120"/>
      <c r="CS74" s="120"/>
      <c r="CT74" s="120"/>
      <c r="CU74" s="120"/>
      <c r="CV74" s="120"/>
      <c r="CW74" s="120"/>
      <c r="CX74" s="120"/>
      <c r="CY74" s="120"/>
      <c r="CZ74" s="120"/>
      <c r="DA74" s="120"/>
      <c r="DB74" s="120"/>
      <c r="DC74" s="120"/>
      <c r="DD74" s="120"/>
      <c r="DE74" s="120"/>
      <c r="DF74" s="120"/>
      <c r="DG74" s="120"/>
      <c r="DH74" s="120"/>
      <c r="DI74" s="120"/>
      <c r="DJ74" s="120"/>
      <c r="DK74" s="120"/>
      <c r="DL74" s="120"/>
      <c r="DM74" s="120"/>
      <c r="DN74" s="120"/>
      <c r="DO74" s="120"/>
      <c r="DP74" s="120"/>
      <c r="DQ74" s="120"/>
      <c r="DR74" s="120"/>
      <c r="DS74" s="120"/>
      <c r="DT74" s="120"/>
      <c r="DU74" s="120"/>
      <c r="DV74" s="120"/>
      <c r="DW74" s="120"/>
      <c r="DX74" s="120"/>
      <c r="DY74" s="120"/>
      <c r="DZ74" s="120"/>
      <c r="EA74" s="120"/>
      <c r="EB74" s="120"/>
      <c r="EC74" s="120"/>
      <c r="ED74" s="120"/>
      <c r="EE74" s="120"/>
      <c r="EF74" s="120"/>
      <c r="EG74" s="120"/>
      <c r="EH74" s="120"/>
      <c r="EI74" s="120"/>
      <c r="EJ74" s="120"/>
      <c r="EK74" s="120"/>
      <c r="EL74" s="120"/>
      <c r="EM74" s="120"/>
      <c r="EN74" s="120"/>
      <c r="EO74" s="120"/>
      <c r="EP74" s="120"/>
      <c r="EQ74" s="120"/>
      <c r="ER74" s="120"/>
      <c r="ES74" s="120"/>
      <c r="ET74" s="120"/>
      <c r="EU74" s="120"/>
      <c r="EV74" s="120"/>
      <c r="EW74" s="120"/>
      <c r="EX74" s="120"/>
      <c r="EY74" s="120"/>
      <c r="EZ74" s="120"/>
      <c r="FA74" s="120"/>
      <c r="FB74" s="120"/>
      <c r="FC74" s="120"/>
      <c r="FD74" s="120"/>
      <c r="FE74" s="120"/>
      <c r="FF74" s="120"/>
      <c r="FG74" s="120"/>
      <c r="FH74" s="120"/>
      <c r="FI74" s="120"/>
      <c r="FJ74" s="120"/>
      <c r="FK74" s="120"/>
      <c r="FL74" s="120"/>
      <c r="FM74" s="120"/>
      <c r="FN74" s="120"/>
      <c r="FO74" s="120"/>
      <c r="FP74" s="120"/>
      <c r="FQ74" s="120"/>
      <c r="FR74" s="120"/>
      <c r="FS74" s="120"/>
      <c r="FT74" s="120"/>
      <c r="FU74" s="120"/>
      <c r="FV74" s="120"/>
      <c r="FW74" s="120"/>
      <c r="FX74" s="120"/>
      <c r="FY74" s="120"/>
      <c r="FZ74" s="120"/>
      <c r="GA74" s="120"/>
      <c r="GB74" s="120"/>
      <c r="GC74" s="120"/>
      <c r="GD74" s="120"/>
      <c r="GE74" s="120"/>
      <c r="GF74" s="120"/>
      <c r="GG74" s="120"/>
      <c r="GH74" s="120"/>
      <c r="GI74" s="120"/>
      <c r="GJ74" s="120"/>
      <c r="GK74" s="120"/>
      <c r="GL74" s="120"/>
      <c r="GM74" s="120"/>
      <c r="GN74" s="120"/>
      <c r="GO74" s="120"/>
      <c r="GP74" s="120"/>
      <c r="GQ74" s="120"/>
      <c r="GR74" s="120"/>
      <c r="GS74" s="120"/>
      <c r="GT74" s="120"/>
      <c r="GU74" s="120"/>
      <c r="GV74" s="120"/>
      <c r="GW74" s="120"/>
      <c r="GX74" s="120"/>
      <c r="GY74" s="120"/>
      <c r="GZ74" s="120"/>
      <c r="HA74" s="120"/>
      <c r="HB74" s="120"/>
      <c r="HC74" s="120"/>
      <c r="HD74" s="120"/>
      <c r="HE74" s="120"/>
      <c r="HF74" s="120"/>
      <c r="HG74" s="120"/>
      <c r="HH74" s="120"/>
      <c r="HI74" s="120"/>
      <c r="HJ74" s="120"/>
      <c r="HK74" s="120"/>
      <c r="HL74" s="120"/>
      <c r="HM74" s="120"/>
      <c r="HN74" s="120"/>
      <c r="HO74" s="120"/>
      <c r="HP74" s="120"/>
    </row>
    <row r="75" spans="1:224" s="153" customFormat="1" ht="18.75" customHeight="1" x14ac:dyDescent="0.2">
      <c r="A75" s="476"/>
      <c r="B75" s="237" t="s">
        <v>149</v>
      </c>
      <c r="C75" s="376">
        <v>0.30705579783070558</v>
      </c>
      <c r="D75" s="390">
        <f t="shared" ref="D75:E75" si="123">D73/D77</f>
        <v>0.10623489608506526</v>
      </c>
      <c r="E75" s="390">
        <f t="shared" si="123"/>
        <v>8.2329103124666736E-2</v>
      </c>
      <c r="F75" s="390">
        <f t="shared" ref="F75:G75" si="124">F73/F77</f>
        <v>5.8829013611784449E-2</v>
      </c>
      <c r="G75" s="390">
        <f t="shared" si="124"/>
        <v>9.5629914061071492E-2</v>
      </c>
      <c r="H75" s="390">
        <f t="shared" ref="H75:I75" si="125">H73/H77</f>
        <v>0.10841067840398048</v>
      </c>
      <c r="I75" s="390">
        <f t="shared" si="125"/>
        <v>0.12069494123658661</v>
      </c>
      <c r="J75" s="390">
        <f t="shared" ref="J75:K75" si="126">J73/J77</f>
        <v>7.4997506731824079E-2</v>
      </c>
      <c r="K75" s="390">
        <f t="shared" si="126"/>
        <v>4.9127465857359637E-2</v>
      </c>
      <c r="L75" s="390">
        <f t="shared" ref="L75:M75" si="127">L73/L77</f>
        <v>6.3337282420486654E-2</v>
      </c>
      <c r="M75" s="390">
        <f t="shared" si="127"/>
        <v>7.2275759822090432E-2</v>
      </c>
      <c r="N75" s="390">
        <f t="shared" ref="N75:O75" si="128">N73/N77</f>
        <v>8.3697688944409737E-2</v>
      </c>
      <c r="O75" s="390">
        <f t="shared" si="128"/>
        <v>8.5686370297997069E-2</v>
      </c>
      <c r="P75" s="390">
        <f t="shared" ref="P75" si="129">P73/P77</f>
        <v>7.7584577584577583E-2</v>
      </c>
      <c r="Q75" s="390">
        <f t="shared" ref="Q75:S76" si="130">Q73/Q77</f>
        <v>8.9328826653790439E-2</v>
      </c>
      <c r="R75" s="390">
        <f t="shared" si="130"/>
        <v>7.5210643015521064E-2</v>
      </c>
      <c r="S75" s="390">
        <f t="shared" si="130"/>
        <v>6.7916108879964299E-2</v>
      </c>
      <c r="T75" s="390">
        <f t="shared" ref="T75:U75" si="131">T73/T77</f>
        <v>8.1907194550872711E-2</v>
      </c>
      <c r="U75" s="390">
        <f t="shared" si="131"/>
        <v>5.6688125894134481E-2</v>
      </c>
      <c r="V75" s="390">
        <f t="shared" ref="V75:W75" si="132">V73/V77</f>
        <v>7.6379572489043909E-2</v>
      </c>
      <c r="W75" s="390">
        <f t="shared" si="132"/>
        <v>9.1967198659730187E-2</v>
      </c>
      <c r="X75" s="390">
        <f t="shared" ref="X75:Y75" si="133">X73/X77</f>
        <v>9.2313316881455082E-2</v>
      </c>
      <c r="Y75" s="390">
        <f t="shared" si="133"/>
        <v>9.6226939834986563E-2</v>
      </c>
      <c r="Z75" s="390">
        <f t="shared" ref="Z75:AA75" si="134">Z73/Z77</f>
        <v>7.5834857087864499E-2</v>
      </c>
      <c r="AA75" s="390">
        <f t="shared" si="134"/>
        <v>8.8329608395685544E-2</v>
      </c>
      <c r="AB75" s="390">
        <f t="shared" ref="AB75" si="135">AB73/AB77</f>
        <v>8.6165429258600851E-2</v>
      </c>
      <c r="AC75" s="390">
        <f t="shared" ref="AC75:AH75" si="136">AC73/AC77</f>
        <v>0.13342516973334645</v>
      </c>
      <c r="AD75" s="390">
        <f t="shared" si="136"/>
        <v>0.14707392197125257</v>
      </c>
      <c r="AE75" s="390">
        <f t="shared" si="136"/>
        <v>0.17275515895147797</v>
      </c>
      <c r="AF75" s="390">
        <f t="shared" si="136"/>
        <v>0.14282208588957054</v>
      </c>
      <c r="AG75" s="390">
        <f t="shared" si="136"/>
        <v>0.13244100035223672</v>
      </c>
      <c r="AH75" s="390">
        <f t="shared" si="136"/>
        <v>0.10728346456692914</v>
      </c>
      <c r="AI75" s="390">
        <f t="shared" ref="AI75" si="137">AI73/AI77</f>
        <v>0.12525853154084798</v>
      </c>
      <c r="AJ75" s="231">
        <f>AVERAGE(D75:AH75)</f>
        <v>9.3319478104785886E-2</v>
      </c>
      <c r="AK75" s="120">
        <v>0.10284463894967177</v>
      </c>
      <c r="AL75" s="120">
        <v>0.13667667314144447</v>
      </c>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I75" s="120"/>
      <c r="CJ75" s="120"/>
      <c r="CK75" s="120"/>
      <c r="CL75" s="120"/>
      <c r="CM75" s="120"/>
      <c r="CN75" s="120"/>
      <c r="CO75" s="120"/>
      <c r="CP75" s="120"/>
      <c r="CQ75" s="120"/>
      <c r="CR75" s="120"/>
      <c r="CS75" s="120"/>
      <c r="CT75" s="120"/>
      <c r="CU75" s="120"/>
      <c r="CV75" s="120"/>
      <c r="CW75" s="120"/>
      <c r="CX75" s="120"/>
      <c r="CY75" s="120"/>
      <c r="CZ75" s="120"/>
      <c r="DA75" s="120"/>
      <c r="DB75" s="120"/>
      <c r="DC75" s="120"/>
      <c r="DD75" s="120"/>
      <c r="DE75" s="120"/>
      <c r="DF75" s="120"/>
      <c r="DG75" s="120"/>
      <c r="DH75" s="120"/>
      <c r="DI75" s="120"/>
      <c r="DJ75" s="120"/>
      <c r="DK75" s="120"/>
      <c r="DL75" s="120"/>
      <c r="DM75" s="120"/>
      <c r="DN75" s="120"/>
      <c r="DO75" s="120"/>
      <c r="DP75" s="120"/>
      <c r="DQ75" s="120"/>
      <c r="DR75" s="120"/>
      <c r="DS75" s="120"/>
      <c r="DT75" s="120"/>
      <c r="DU75" s="120"/>
      <c r="DV75" s="120"/>
      <c r="DW75" s="120"/>
      <c r="DX75" s="120"/>
      <c r="DY75" s="120"/>
      <c r="DZ75" s="120"/>
      <c r="EA75" s="120"/>
      <c r="EB75" s="120"/>
      <c r="EC75" s="120"/>
      <c r="ED75" s="120"/>
      <c r="EE75" s="120"/>
      <c r="EF75" s="120"/>
      <c r="EG75" s="120"/>
      <c r="EH75" s="120"/>
      <c r="EI75" s="120"/>
      <c r="EJ75" s="120"/>
      <c r="EK75" s="120"/>
      <c r="EL75" s="120"/>
      <c r="EM75" s="120"/>
      <c r="EN75" s="120"/>
      <c r="EO75" s="120"/>
      <c r="EP75" s="120"/>
      <c r="EQ75" s="120"/>
      <c r="ER75" s="120"/>
      <c r="ES75" s="120"/>
      <c r="ET75" s="120"/>
      <c r="EU75" s="120"/>
      <c r="EV75" s="120"/>
      <c r="EW75" s="120"/>
      <c r="EX75" s="120"/>
      <c r="EY75" s="120"/>
      <c r="EZ75" s="120"/>
      <c r="FA75" s="120"/>
      <c r="FB75" s="120"/>
      <c r="FC75" s="120"/>
      <c r="FD75" s="120"/>
      <c r="FE75" s="120"/>
      <c r="FF75" s="120"/>
      <c r="FG75" s="120"/>
      <c r="FH75" s="120"/>
      <c r="FI75" s="120"/>
      <c r="FJ75" s="120"/>
      <c r="FK75" s="120"/>
      <c r="FL75" s="120"/>
      <c r="FM75" s="120"/>
      <c r="FN75" s="120"/>
      <c r="FO75" s="120"/>
      <c r="FP75" s="120"/>
      <c r="FQ75" s="120"/>
      <c r="FR75" s="120"/>
      <c r="FS75" s="120"/>
      <c r="FT75" s="120"/>
      <c r="FU75" s="120"/>
      <c r="FV75" s="120"/>
      <c r="FW75" s="120"/>
      <c r="FX75" s="120"/>
      <c r="FY75" s="120"/>
      <c r="FZ75" s="120"/>
      <c r="GA75" s="120"/>
      <c r="GB75" s="120"/>
      <c r="GC75" s="120"/>
      <c r="GD75" s="120"/>
      <c r="GE75" s="120"/>
      <c r="GF75" s="120"/>
      <c r="GG75" s="120"/>
      <c r="GH75" s="120"/>
      <c r="GI75" s="120"/>
      <c r="GJ75" s="120"/>
      <c r="GK75" s="120"/>
      <c r="GL75" s="120"/>
      <c r="GM75" s="120"/>
      <c r="GN75" s="120"/>
      <c r="GO75" s="120"/>
      <c r="GP75" s="120"/>
      <c r="GQ75" s="120"/>
      <c r="GR75" s="120"/>
      <c r="GS75" s="120"/>
      <c r="GT75" s="120"/>
      <c r="GU75" s="120"/>
      <c r="GV75" s="120"/>
      <c r="GW75" s="120"/>
      <c r="GX75" s="120"/>
      <c r="GY75" s="120"/>
      <c r="GZ75" s="120"/>
      <c r="HA75" s="120"/>
      <c r="HB75" s="120"/>
      <c r="HC75" s="120"/>
      <c r="HD75" s="120"/>
      <c r="HE75" s="120"/>
      <c r="HF75" s="120"/>
      <c r="HG75" s="120"/>
      <c r="HH75" s="120"/>
      <c r="HI75" s="120"/>
      <c r="HJ75" s="120"/>
      <c r="HK75" s="120"/>
      <c r="HL75" s="120"/>
      <c r="HM75" s="120"/>
      <c r="HN75" s="120"/>
      <c r="HO75" s="120"/>
      <c r="HP75" s="120"/>
    </row>
    <row r="76" spans="1:224" s="148" customFormat="1" ht="30" x14ac:dyDescent="0.2">
      <c r="A76" s="476"/>
      <c r="B76" s="238" t="s">
        <v>150</v>
      </c>
      <c r="C76" s="377">
        <v>0.28876484351916182</v>
      </c>
      <c r="D76" s="391">
        <f t="shared" ref="D76:E76" si="138">D74/D78</f>
        <v>0.28152428573071925</v>
      </c>
      <c r="E76" s="391">
        <f t="shared" si="138"/>
        <v>0.27461061265582898</v>
      </c>
      <c r="F76" s="391">
        <f t="shared" ref="F76:G76" si="139">F74/F78</f>
        <v>0.26637094419959129</v>
      </c>
      <c r="G76" s="391">
        <f t="shared" si="139"/>
        <v>0.25997149044655832</v>
      </c>
      <c r="H76" s="391">
        <f t="shared" ref="H76:I76" si="140">H74/H78</f>
        <v>0.25473149333571521</v>
      </c>
      <c r="I76" s="391">
        <f t="shared" si="140"/>
        <v>0.25052873091762051</v>
      </c>
      <c r="J76" s="391">
        <f t="shared" ref="J76:K76" si="141">J74/J78</f>
        <v>0.24506434437044972</v>
      </c>
      <c r="K76" s="391">
        <f t="shared" si="141"/>
        <v>0.23885353190696221</v>
      </c>
      <c r="L76" s="391">
        <f t="shared" ref="L76:M76" si="142">L74/L78</f>
        <v>0.23324854778063631</v>
      </c>
      <c r="M76" s="391">
        <f t="shared" si="142"/>
        <v>0.22834674552205958</v>
      </c>
      <c r="N76" s="391">
        <f t="shared" ref="N76:O76" si="143">N74/N78</f>
        <v>0.22391284726116009</v>
      </c>
      <c r="O76" s="391">
        <f t="shared" si="143"/>
        <v>0.22014867791595494</v>
      </c>
      <c r="P76" s="391">
        <f t="shared" ref="P76" si="144">P74/P78</f>
        <v>0.21624468206237643</v>
      </c>
      <c r="Q76" s="391">
        <f t="shared" si="130"/>
        <v>0.21293250970933736</v>
      </c>
      <c r="R76" s="391">
        <f t="shared" si="130"/>
        <v>0.20912713388782966</v>
      </c>
      <c r="S76" s="391">
        <f t="shared" si="130"/>
        <v>0.2053532031207142</v>
      </c>
      <c r="T76" s="391">
        <f t="shared" ref="T76:U76" si="145">T74/T78</f>
        <v>0.20198929022199125</v>
      </c>
      <c r="U76" s="391">
        <f t="shared" si="145"/>
        <v>0.19831430690740673</v>
      </c>
      <c r="V76" s="391">
        <f t="shared" ref="V76:W76" si="146">V74/V78</f>
        <v>0.19530717532804115</v>
      </c>
      <c r="W76" s="391">
        <f t="shared" si="146"/>
        <v>0.19278523995403624</v>
      </c>
      <c r="X76" s="391">
        <f t="shared" ref="X76:Y76" si="147">X74/X78</f>
        <v>0.19047418822465864</v>
      </c>
      <c r="Y76" s="391">
        <f t="shared" si="147"/>
        <v>0.18838422669095184</v>
      </c>
      <c r="Z76" s="391">
        <f t="shared" ref="Z76:AA76" si="148">Z74/Z78</f>
        <v>0.18603031602168132</v>
      </c>
      <c r="AA76" s="391">
        <f t="shared" si="148"/>
        <v>0.18404768853377082</v>
      </c>
      <c r="AB76" s="391">
        <f t="shared" ref="AB76:AC76" si="149">AB74/AB78</f>
        <v>0.18223605393594189</v>
      </c>
      <c r="AC76" s="391">
        <f t="shared" si="149"/>
        <v>0.18129448609661195</v>
      </c>
      <c r="AD76" s="391">
        <f t="shared" ref="AD76:AE76" si="150">AD74/AD78</f>
        <v>0.18079574743473203</v>
      </c>
      <c r="AE76" s="391">
        <f t="shared" si="150"/>
        <v>0.18068931404504129</v>
      </c>
      <c r="AF76" s="391">
        <f t="shared" ref="AF76:AG76" si="151">AF74/AF78</f>
        <v>0.18012815384279698</v>
      </c>
      <c r="AG76" s="391">
        <f t="shared" si="151"/>
        <v>0.17940091068451747</v>
      </c>
      <c r="AH76" s="391">
        <f t="shared" ref="AH76:AI76" si="152">AH74/AH78</f>
        <v>0.17823915437128385</v>
      </c>
      <c r="AI76" s="391">
        <f t="shared" si="152"/>
        <v>0.17752680491030848</v>
      </c>
      <c r="AJ76" s="231">
        <f>AVERAGE(D76:AH76)</f>
        <v>0.21358342042312833</v>
      </c>
      <c r="AK76" s="130">
        <v>0.26187137718514447</v>
      </c>
      <c r="AL76" s="130">
        <v>0.13945671858022457</v>
      </c>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0"/>
      <c r="GJ76" s="130"/>
      <c r="GK76" s="130"/>
      <c r="GL76" s="130"/>
      <c r="GM76" s="130"/>
      <c r="GN76" s="130"/>
      <c r="GO76" s="130"/>
      <c r="GP76" s="130"/>
      <c r="GQ76" s="130"/>
      <c r="GR76" s="130"/>
      <c r="GS76" s="130"/>
      <c r="GT76" s="130"/>
      <c r="GU76" s="130"/>
      <c r="GV76" s="130"/>
      <c r="GW76" s="130"/>
      <c r="GX76" s="130"/>
      <c r="GY76" s="130"/>
      <c r="GZ76" s="130"/>
      <c r="HA76" s="130"/>
      <c r="HB76" s="130"/>
      <c r="HC76" s="130"/>
      <c r="HD76" s="130"/>
      <c r="HE76" s="130"/>
      <c r="HF76" s="130"/>
      <c r="HG76" s="130"/>
      <c r="HH76" s="130"/>
      <c r="HI76" s="130"/>
      <c r="HJ76" s="130"/>
      <c r="HK76" s="130"/>
      <c r="HL76" s="130"/>
      <c r="HM76" s="130"/>
      <c r="HN76" s="130"/>
      <c r="HO76" s="130"/>
      <c r="HP76" s="130"/>
    </row>
    <row r="77" spans="1:224" s="151" customFormat="1" ht="43.5" customHeight="1" x14ac:dyDescent="0.2">
      <c r="A77" s="476"/>
      <c r="B77" s="149" t="s">
        <v>151</v>
      </c>
      <c r="C77" s="304">
        <v>8943</v>
      </c>
      <c r="D77" s="304">
        <f t="shared" ref="D77:E77" si="153">D81+D73</f>
        <v>10345</v>
      </c>
      <c r="E77" s="304">
        <f t="shared" si="153"/>
        <v>9377</v>
      </c>
      <c r="F77" s="304">
        <f t="shared" ref="F77:G77" si="154">F81+F73</f>
        <v>10726</v>
      </c>
      <c r="G77" s="304">
        <f t="shared" si="154"/>
        <v>10938</v>
      </c>
      <c r="H77" s="304">
        <f t="shared" ref="H77:I77" si="155">H81+H73</f>
        <v>10451</v>
      </c>
      <c r="I77" s="304">
        <f t="shared" si="155"/>
        <v>9785</v>
      </c>
      <c r="J77" s="304">
        <f t="shared" ref="J77:K77" si="156">J81+J73</f>
        <v>10027</v>
      </c>
      <c r="K77" s="304">
        <f t="shared" si="156"/>
        <v>10544</v>
      </c>
      <c r="L77" s="304">
        <f t="shared" ref="L77:M77" si="157">L81+L73</f>
        <v>10973</v>
      </c>
      <c r="M77" s="304">
        <f t="shared" si="157"/>
        <v>10792</v>
      </c>
      <c r="N77" s="304">
        <f t="shared" ref="N77:O77" si="158">N81+N73</f>
        <v>11207</v>
      </c>
      <c r="O77" s="304">
        <f t="shared" si="158"/>
        <v>10235</v>
      </c>
      <c r="P77" s="304">
        <f t="shared" ref="P77" si="159">P81+P73</f>
        <v>10582</v>
      </c>
      <c r="Q77" s="304">
        <f t="shared" ref="Q77:V77" si="160">Q81+Q73</f>
        <v>10355</v>
      </c>
      <c r="R77" s="304">
        <f t="shared" si="160"/>
        <v>11275</v>
      </c>
      <c r="S77" s="304">
        <f t="shared" si="160"/>
        <v>11205</v>
      </c>
      <c r="T77" s="304">
        <f t="shared" si="160"/>
        <v>11745</v>
      </c>
      <c r="U77" s="304">
        <f t="shared" si="160"/>
        <v>11184</v>
      </c>
      <c r="V77" s="304">
        <f t="shared" si="160"/>
        <v>11181</v>
      </c>
      <c r="W77" s="304">
        <f t="shared" ref="W77:X77" si="161">W81+W73</f>
        <v>11341</v>
      </c>
      <c r="X77" s="304">
        <f t="shared" si="161"/>
        <v>10941</v>
      </c>
      <c r="Y77" s="304">
        <f t="shared" ref="Y77:Z77" si="162">Y81+Y73</f>
        <v>10787</v>
      </c>
      <c r="Z77" s="304">
        <f t="shared" si="162"/>
        <v>10391</v>
      </c>
      <c r="AA77" s="304">
        <f t="shared" ref="AA77:AB77" si="163">AA81+AA73</f>
        <v>10291</v>
      </c>
      <c r="AB77" s="304">
        <f t="shared" si="163"/>
        <v>9563</v>
      </c>
      <c r="AC77" s="304">
        <f t="shared" ref="AC77:AD77" si="164">AC81+AC73</f>
        <v>10163</v>
      </c>
      <c r="AD77" s="304">
        <f t="shared" si="164"/>
        <v>7792</v>
      </c>
      <c r="AE77" s="304">
        <f t="shared" ref="AE77:AF77" si="165">AE81+AE73</f>
        <v>7172</v>
      </c>
      <c r="AF77" s="304">
        <f t="shared" si="165"/>
        <v>8150</v>
      </c>
      <c r="AG77" s="304">
        <f t="shared" ref="AG77:AH77" si="166">AG81+AG73</f>
        <v>8517</v>
      </c>
      <c r="AH77" s="304">
        <f t="shared" si="166"/>
        <v>9144</v>
      </c>
      <c r="AI77" s="304">
        <f t="shared" ref="AI77" si="167">AI81+AI73</f>
        <v>7736</v>
      </c>
      <c r="AJ77" s="204">
        <f>AVERAGE(D77:AH77)</f>
        <v>10231.58064516129</v>
      </c>
      <c r="AK77" s="150">
        <v>5484</v>
      </c>
      <c r="AL77" s="150">
        <v>5663</v>
      </c>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50"/>
      <c r="BR77" s="150"/>
      <c r="BS77" s="150"/>
      <c r="BT77" s="150"/>
      <c r="BU77" s="150"/>
      <c r="BV77" s="150"/>
      <c r="BW77" s="150"/>
      <c r="BX77" s="150"/>
      <c r="BY77" s="150"/>
      <c r="BZ77" s="150"/>
      <c r="CA77" s="150"/>
      <c r="CB77" s="150"/>
      <c r="CC77" s="150"/>
      <c r="CD77" s="150"/>
      <c r="CE77" s="150"/>
      <c r="CF77" s="150"/>
      <c r="CG77" s="150"/>
      <c r="CH77" s="150"/>
      <c r="CI77" s="150"/>
      <c r="CJ77" s="150"/>
      <c r="CK77" s="150"/>
      <c r="CL77" s="150"/>
      <c r="CM77" s="150"/>
      <c r="CN77" s="150"/>
      <c r="CO77" s="150"/>
      <c r="CP77" s="150"/>
      <c r="CQ77" s="150"/>
      <c r="CR77" s="150"/>
      <c r="CS77" s="150"/>
      <c r="CT77" s="150"/>
      <c r="CU77" s="150"/>
      <c r="CV77" s="150"/>
      <c r="CW77" s="150"/>
      <c r="CX77" s="150"/>
      <c r="CY77" s="150"/>
      <c r="CZ77" s="150"/>
      <c r="DA77" s="150"/>
      <c r="DB77" s="150"/>
      <c r="DC77" s="150"/>
      <c r="DD77" s="150"/>
      <c r="DE77" s="150"/>
      <c r="DF77" s="150"/>
      <c r="DG77" s="150"/>
      <c r="DH77" s="150"/>
      <c r="DI77" s="150"/>
      <c r="DJ77" s="150"/>
      <c r="DK77" s="150"/>
      <c r="DL77" s="150"/>
      <c r="DM77" s="150"/>
      <c r="DN77" s="150"/>
      <c r="DO77" s="150"/>
      <c r="DP77" s="150"/>
      <c r="DQ77" s="150"/>
      <c r="DR77" s="150"/>
      <c r="DS77" s="150"/>
      <c r="DT77" s="150"/>
      <c r="DU77" s="150"/>
      <c r="DV77" s="150"/>
      <c r="DW77" s="150"/>
      <c r="DX77" s="150"/>
      <c r="DY77" s="150"/>
      <c r="DZ77" s="150"/>
      <c r="EA77" s="150"/>
      <c r="EB77" s="150"/>
      <c r="EC77" s="150"/>
      <c r="ED77" s="150"/>
      <c r="EE77" s="150"/>
      <c r="EF77" s="150"/>
      <c r="EG77" s="150"/>
      <c r="EH77" s="150"/>
      <c r="EI77" s="150"/>
      <c r="EJ77" s="150"/>
      <c r="EK77" s="150"/>
      <c r="EL77" s="150"/>
      <c r="EM77" s="150"/>
      <c r="EN77" s="150"/>
      <c r="EO77" s="150"/>
      <c r="EP77" s="150"/>
      <c r="EQ77" s="150"/>
      <c r="ER77" s="150"/>
      <c r="ES77" s="150"/>
      <c r="ET77" s="150"/>
      <c r="EU77" s="150"/>
      <c r="EV77" s="150"/>
      <c r="EW77" s="150"/>
      <c r="EX77" s="150"/>
      <c r="EY77" s="150"/>
      <c r="EZ77" s="150"/>
      <c r="FA77" s="150"/>
      <c r="FB77" s="150"/>
      <c r="FC77" s="150"/>
      <c r="FD77" s="150"/>
      <c r="FE77" s="150"/>
      <c r="FF77" s="150"/>
      <c r="FG77" s="150"/>
      <c r="FH77" s="150"/>
      <c r="FI77" s="150"/>
      <c r="FJ77" s="150"/>
      <c r="FK77" s="150"/>
      <c r="FL77" s="150"/>
      <c r="FM77" s="150"/>
      <c r="FN77" s="150"/>
      <c r="FO77" s="150"/>
      <c r="FP77" s="150"/>
      <c r="FQ77" s="150"/>
      <c r="FR77" s="150"/>
      <c r="FS77" s="150"/>
      <c r="FT77" s="150"/>
      <c r="FU77" s="150"/>
      <c r="FV77" s="150"/>
      <c r="FW77" s="150"/>
      <c r="FX77" s="150"/>
      <c r="FY77" s="150"/>
      <c r="FZ77" s="150"/>
      <c r="GA77" s="150"/>
      <c r="GB77" s="150"/>
      <c r="GC77" s="150"/>
      <c r="GD77" s="150"/>
      <c r="GE77" s="150"/>
      <c r="GF77" s="150"/>
      <c r="GG77" s="150"/>
      <c r="GH77" s="150"/>
      <c r="GI77" s="150"/>
      <c r="GJ77" s="150"/>
      <c r="GK77" s="150"/>
      <c r="GL77" s="150"/>
      <c r="GM77" s="150"/>
      <c r="GN77" s="150"/>
      <c r="GO77" s="150"/>
      <c r="GP77" s="150"/>
      <c r="GQ77" s="150"/>
      <c r="GR77" s="150"/>
      <c r="GS77" s="150"/>
      <c r="GT77" s="150"/>
      <c r="GU77" s="150"/>
      <c r="GV77" s="150"/>
      <c r="GW77" s="150"/>
      <c r="GX77" s="150"/>
      <c r="GY77" s="150"/>
      <c r="GZ77" s="150"/>
      <c r="HA77" s="150"/>
      <c r="HB77" s="150"/>
      <c r="HC77" s="150"/>
      <c r="HD77" s="150"/>
      <c r="HE77" s="150"/>
      <c r="HF77" s="150"/>
      <c r="HG77" s="150"/>
      <c r="HH77" s="150"/>
      <c r="HI77" s="150"/>
      <c r="HJ77" s="150"/>
      <c r="HK77" s="150"/>
      <c r="HL77" s="150"/>
      <c r="HM77" s="150"/>
      <c r="HN77" s="150"/>
      <c r="HO77" s="150"/>
      <c r="HP77" s="150"/>
    </row>
    <row r="78" spans="1:224" s="225" customFormat="1" ht="28.5" x14ac:dyDescent="0.2">
      <c r="A78" s="476"/>
      <c r="B78" s="215" t="s">
        <v>152</v>
      </c>
      <c r="C78" s="378">
        <v>250446</v>
      </c>
      <c r="D78" s="311">
        <f t="shared" ref="D78:E78" si="168">D74+D82</f>
        <v>260791</v>
      </c>
      <c r="E78" s="311">
        <f t="shared" si="168"/>
        <v>270168</v>
      </c>
      <c r="F78" s="311">
        <f t="shared" ref="F78:G78" si="169">F74+F82</f>
        <v>280894</v>
      </c>
      <c r="G78" s="311">
        <f t="shared" si="169"/>
        <v>291832</v>
      </c>
      <c r="H78" s="311">
        <f t="shared" ref="H78:I78" si="170">H74+H82</f>
        <v>302283</v>
      </c>
      <c r="I78" s="311">
        <f t="shared" si="170"/>
        <v>312068</v>
      </c>
      <c r="J78" s="311">
        <f t="shared" ref="J78:K78" si="171">J74+J82</f>
        <v>322095</v>
      </c>
      <c r="K78" s="311">
        <f t="shared" si="171"/>
        <v>332639</v>
      </c>
      <c r="L78" s="311">
        <f t="shared" ref="L78:M78" si="172">L74+L82</f>
        <v>343612</v>
      </c>
      <c r="M78" s="311">
        <f t="shared" si="172"/>
        <v>354404</v>
      </c>
      <c r="N78" s="311">
        <f t="shared" ref="N78:O78" si="173">N74+N82</f>
        <v>365611</v>
      </c>
      <c r="O78" s="311">
        <f t="shared" si="173"/>
        <v>375846</v>
      </c>
      <c r="P78" s="311">
        <f t="shared" ref="P78" si="174">P74+P82</f>
        <v>386428</v>
      </c>
      <c r="Q78" s="311">
        <f t="shared" ref="Q78:V78" si="175">Q74+Q82</f>
        <v>396783</v>
      </c>
      <c r="R78" s="311">
        <f t="shared" si="175"/>
        <v>408058</v>
      </c>
      <c r="S78" s="311">
        <f t="shared" si="175"/>
        <v>419263</v>
      </c>
      <c r="T78" s="311">
        <f t="shared" si="175"/>
        <v>431008</v>
      </c>
      <c r="U78" s="311">
        <f t="shared" si="175"/>
        <v>442192</v>
      </c>
      <c r="V78" s="311">
        <f t="shared" si="175"/>
        <v>453373</v>
      </c>
      <c r="W78" s="311">
        <f t="shared" ref="W78:X78" si="176">W74+W82</f>
        <v>464714</v>
      </c>
      <c r="X78" s="311">
        <f t="shared" si="176"/>
        <v>475655</v>
      </c>
      <c r="Y78" s="311">
        <f t="shared" ref="Y78:Z78" si="177">Y74+Y82</f>
        <v>486442</v>
      </c>
      <c r="Z78" s="311">
        <f t="shared" si="177"/>
        <v>496833</v>
      </c>
      <c r="AA78" s="311">
        <f t="shared" ref="AA78:AB78" si="178">AA74+AA82</f>
        <v>507124</v>
      </c>
      <c r="AB78" s="311">
        <f t="shared" si="178"/>
        <v>516687</v>
      </c>
      <c r="AC78" s="311">
        <f t="shared" ref="AC78:AD78" si="179">AC74+AC82</f>
        <v>526850</v>
      </c>
      <c r="AD78" s="311">
        <f t="shared" si="179"/>
        <v>534642</v>
      </c>
      <c r="AE78" s="311">
        <f t="shared" ref="AE78:AF78" si="180">AE74+AE82</f>
        <v>541814</v>
      </c>
      <c r="AF78" s="311">
        <f t="shared" si="180"/>
        <v>549964</v>
      </c>
      <c r="AG78" s="311">
        <f t="shared" ref="AG78:AH78" si="181">AG74+AG82</f>
        <v>558481</v>
      </c>
      <c r="AH78" s="311">
        <f t="shared" si="181"/>
        <v>567625</v>
      </c>
      <c r="AI78" s="311">
        <f t="shared" ref="AI78" si="182">AI74+AI82</f>
        <v>575361</v>
      </c>
      <c r="AJ78" s="216"/>
      <c r="AK78" s="224">
        <v>436470</v>
      </c>
      <c r="AL78" s="224">
        <v>207075</v>
      </c>
      <c r="AM78" s="224"/>
      <c r="AN78" s="224"/>
      <c r="AO78" s="224"/>
      <c r="AP78" s="224"/>
      <c r="AQ78" s="224"/>
      <c r="AR78" s="224"/>
      <c r="AS78" s="224"/>
      <c r="AT78" s="224"/>
      <c r="AU78" s="224"/>
      <c r="AV78" s="224"/>
      <c r="AW78" s="224"/>
      <c r="AX78" s="224"/>
      <c r="AY78" s="224"/>
      <c r="AZ78" s="224"/>
      <c r="BA78" s="224"/>
      <c r="BB78" s="224"/>
      <c r="BC78" s="224"/>
      <c r="BD78" s="224"/>
      <c r="BE78" s="224"/>
      <c r="BF78" s="224"/>
      <c r="BG78" s="224"/>
      <c r="BH78" s="224"/>
      <c r="BI78" s="224"/>
      <c r="BJ78" s="224"/>
      <c r="BK78" s="224"/>
      <c r="BL78" s="224"/>
      <c r="BM78" s="224"/>
      <c r="BN78" s="224"/>
      <c r="BO78" s="224"/>
      <c r="BP78" s="224"/>
      <c r="BQ78" s="224"/>
      <c r="BR78" s="224"/>
      <c r="BS78" s="224"/>
      <c r="BT78" s="224"/>
      <c r="BU78" s="224"/>
      <c r="BV78" s="224"/>
      <c r="BW78" s="224"/>
      <c r="BX78" s="224"/>
      <c r="BY78" s="224"/>
      <c r="BZ78" s="224"/>
      <c r="CA78" s="224"/>
      <c r="CB78" s="224"/>
      <c r="CC78" s="224"/>
      <c r="CD78" s="224"/>
      <c r="CE78" s="224"/>
      <c r="CF78" s="224"/>
      <c r="CG78" s="224"/>
      <c r="CH78" s="224"/>
      <c r="CI78" s="224"/>
      <c r="CJ78" s="224"/>
      <c r="CK78" s="224"/>
      <c r="CL78" s="224"/>
      <c r="CM78" s="224"/>
      <c r="CN78" s="224"/>
      <c r="CO78" s="224"/>
      <c r="CP78" s="224"/>
      <c r="CQ78" s="224"/>
      <c r="CR78" s="224"/>
      <c r="CS78" s="224"/>
      <c r="CT78" s="224"/>
      <c r="CU78" s="224"/>
      <c r="CV78" s="224"/>
      <c r="CW78" s="224"/>
      <c r="CX78" s="224"/>
      <c r="CY78" s="224"/>
      <c r="CZ78" s="224"/>
      <c r="DA78" s="224"/>
      <c r="DB78" s="224"/>
      <c r="DC78" s="224"/>
      <c r="DD78" s="224"/>
      <c r="DE78" s="224"/>
      <c r="DF78" s="224"/>
      <c r="DG78" s="224"/>
      <c r="DH78" s="224"/>
      <c r="DI78" s="224"/>
      <c r="DJ78" s="224"/>
      <c r="DK78" s="224"/>
      <c r="DL78" s="224"/>
      <c r="DM78" s="224"/>
      <c r="DN78" s="224"/>
      <c r="DO78" s="224"/>
      <c r="DP78" s="224"/>
      <c r="DQ78" s="224"/>
      <c r="DR78" s="224"/>
      <c r="DS78" s="224"/>
      <c r="DT78" s="224"/>
      <c r="DU78" s="224"/>
      <c r="DV78" s="224"/>
      <c r="DW78" s="224"/>
      <c r="DX78" s="224"/>
      <c r="DY78" s="224"/>
      <c r="DZ78" s="224"/>
      <c r="EA78" s="224"/>
      <c r="EB78" s="224"/>
      <c r="EC78" s="224"/>
      <c r="ED78" s="224"/>
      <c r="EE78" s="224"/>
      <c r="EF78" s="224"/>
      <c r="EG78" s="224"/>
      <c r="EH78" s="224"/>
      <c r="EI78" s="224"/>
      <c r="EJ78" s="224"/>
      <c r="EK78" s="224"/>
      <c r="EL78" s="224"/>
      <c r="EM78" s="224"/>
      <c r="EN78" s="224"/>
      <c r="EO78" s="224"/>
      <c r="EP78" s="224"/>
      <c r="EQ78" s="224"/>
      <c r="ER78" s="224"/>
      <c r="ES78" s="224"/>
      <c r="ET78" s="224"/>
      <c r="EU78" s="224"/>
      <c r="EV78" s="224"/>
      <c r="EW78" s="224"/>
      <c r="EX78" s="224"/>
      <c r="EY78" s="224"/>
      <c r="EZ78" s="224"/>
      <c r="FA78" s="224"/>
      <c r="FB78" s="224"/>
      <c r="FC78" s="224"/>
      <c r="FD78" s="224"/>
      <c r="FE78" s="224"/>
      <c r="FF78" s="224"/>
      <c r="FG78" s="224"/>
      <c r="FH78" s="224"/>
      <c r="FI78" s="224"/>
      <c r="FJ78" s="224"/>
      <c r="FK78" s="224"/>
      <c r="FL78" s="224"/>
      <c r="FM78" s="224"/>
      <c r="FN78" s="224"/>
      <c r="FO78" s="224"/>
      <c r="FP78" s="224"/>
      <c r="FQ78" s="224"/>
      <c r="FR78" s="224"/>
      <c r="FS78" s="224"/>
      <c r="FT78" s="224"/>
      <c r="FU78" s="224"/>
      <c r="FV78" s="224"/>
      <c r="FW78" s="224"/>
      <c r="FX78" s="224"/>
      <c r="FY78" s="224"/>
      <c r="FZ78" s="224"/>
      <c r="GA78" s="224"/>
      <c r="GB78" s="224"/>
      <c r="GC78" s="224"/>
      <c r="GD78" s="224"/>
      <c r="GE78" s="224"/>
      <c r="GF78" s="224"/>
      <c r="GG78" s="224"/>
      <c r="GH78" s="224"/>
      <c r="GI78" s="224"/>
      <c r="GJ78" s="224"/>
      <c r="GK78" s="224"/>
      <c r="GL78" s="224"/>
      <c r="GM78" s="224"/>
      <c r="GN78" s="224"/>
      <c r="GO78" s="224"/>
      <c r="GP78" s="224"/>
      <c r="GQ78" s="224"/>
      <c r="GR78" s="224"/>
      <c r="GS78" s="224"/>
      <c r="GT78" s="224"/>
      <c r="GU78" s="224"/>
      <c r="GV78" s="224"/>
      <c r="GW78" s="224"/>
      <c r="GX78" s="224"/>
      <c r="GY78" s="224"/>
      <c r="GZ78" s="224"/>
      <c r="HA78" s="224"/>
      <c r="HB78" s="224"/>
      <c r="HC78" s="224"/>
      <c r="HD78" s="224"/>
      <c r="HE78" s="224"/>
      <c r="HF78" s="224"/>
      <c r="HG78" s="224"/>
      <c r="HH78" s="224"/>
      <c r="HI78" s="224"/>
      <c r="HJ78" s="224"/>
      <c r="HK78" s="224"/>
      <c r="HL78" s="224"/>
      <c r="HM78" s="224"/>
      <c r="HN78" s="224"/>
      <c r="HO78" s="224"/>
      <c r="HP78" s="224"/>
    </row>
    <row r="79" spans="1:224" s="148" customFormat="1" ht="45" x14ac:dyDescent="0.2">
      <c r="A79" s="476"/>
      <c r="B79" s="152" t="s">
        <v>153</v>
      </c>
      <c r="C79" s="312">
        <v>-4074</v>
      </c>
      <c r="D79" s="312">
        <f t="shared" ref="D79:E79" si="183">D56-(D55+D59)</f>
        <v>-2743</v>
      </c>
      <c r="E79" s="312">
        <f t="shared" si="183"/>
        <v>-2664</v>
      </c>
      <c r="F79" s="312">
        <f t="shared" ref="F79:G79" si="184">F56-(F55+F59)</f>
        <v>-2104</v>
      </c>
      <c r="G79" s="312">
        <f t="shared" si="184"/>
        <v>-2787</v>
      </c>
      <c r="H79" s="312">
        <f t="shared" ref="H79:I79" si="185">H56-(H55+H59)</f>
        <v>-1910</v>
      </c>
      <c r="I79" s="312">
        <f t="shared" si="185"/>
        <v>-2797</v>
      </c>
      <c r="J79" s="312">
        <f t="shared" ref="J79:K79" si="186">J56-(J55+J59)</f>
        <v>-3145</v>
      </c>
      <c r="K79" s="312">
        <f t="shared" si="186"/>
        <v>-3055</v>
      </c>
      <c r="L79" s="312">
        <f t="shared" ref="L79:M79" si="187">L56-(L55+L59)</f>
        <v>-2677</v>
      </c>
      <c r="M79" s="312">
        <f t="shared" si="187"/>
        <v>-2827</v>
      </c>
      <c r="N79" s="312">
        <f t="shared" ref="N79:O79" si="188">N56-(N55+N59)</f>
        <v>-2856</v>
      </c>
      <c r="O79" s="312">
        <f t="shared" si="188"/>
        <v>-1592</v>
      </c>
      <c r="P79" s="312">
        <f t="shared" ref="P79" si="189">P56-(P55+P59)</f>
        <v>-1511</v>
      </c>
      <c r="Q79" s="312">
        <f t="shared" ref="Q79:V79" si="190">Q56-(Q55+Q59)</f>
        <v>-1221</v>
      </c>
      <c r="R79" s="312">
        <f t="shared" si="190"/>
        <v>-2893</v>
      </c>
      <c r="S79" s="312">
        <f t="shared" si="190"/>
        <v>-3099</v>
      </c>
      <c r="T79" s="312">
        <f t="shared" si="190"/>
        <v>-2079</v>
      </c>
      <c r="U79" s="312">
        <f t="shared" si="190"/>
        <v>-2930</v>
      </c>
      <c r="V79" s="312">
        <f t="shared" si="190"/>
        <v>-2072</v>
      </c>
      <c r="W79" s="312">
        <f t="shared" ref="W79:X79" si="191">W56-(W55+W59)</f>
        <v>-2759</v>
      </c>
      <c r="X79" s="312">
        <f t="shared" si="191"/>
        <v>-2596</v>
      </c>
      <c r="Y79" s="312">
        <f t="shared" ref="Y79:Z79" si="192">Y56-(Y55+Y59)</f>
        <v>-2760</v>
      </c>
      <c r="Z79" s="312">
        <f t="shared" si="192"/>
        <v>-2772</v>
      </c>
      <c r="AA79" s="312">
        <f t="shared" ref="AA79:AB79" si="193">AA56-(AA55+AA59)</f>
        <v>-571</v>
      </c>
      <c r="AB79" s="312">
        <f t="shared" si="193"/>
        <v>-1096</v>
      </c>
      <c r="AC79" s="312">
        <f t="shared" ref="AC79:AD79" si="194">AC56-(AC55+AC59)</f>
        <v>377</v>
      </c>
      <c r="AD79" s="312">
        <f t="shared" si="194"/>
        <v>-208</v>
      </c>
      <c r="AE79" s="312">
        <f t="shared" ref="AE79:AF79" si="195">AE56-(AE55+AE59)</f>
        <v>-998</v>
      </c>
      <c r="AF79" s="312">
        <f t="shared" si="195"/>
        <v>127</v>
      </c>
      <c r="AG79" s="312">
        <f t="shared" ref="AG79:AH79" si="196">AG56-(AG55+AG59)</f>
        <v>-1545</v>
      </c>
      <c r="AH79" s="312">
        <f t="shared" si="196"/>
        <v>-262</v>
      </c>
      <c r="AI79" s="312">
        <f t="shared" ref="AI79" si="197">AI56-(AI55+AI59)</f>
        <v>-599</v>
      </c>
      <c r="AJ79" s="205">
        <f>AVERAGE(D79:AH79)</f>
        <v>-2000.8064516129032</v>
      </c>
      <c r="AK79" s="130">
        <v>2330</v>
      </c>
      <c r="AL79" s="130">
        <v>-931</v>
      </c>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c r="DM79" s="130"/>
      <c r="DN79" s="130"/>
      <c r="DO79" s="130"/>
      <c r="DP79" s="130"/>
      <c r="DQ79" s="130"/>
      <c r="DR79" s="130"/>
      <c r="DS79" s="130"/>
      <c r="DT79" s="130"/>
      <c r="DU79" s="130"/>
      <c r="DV79" s="130"/>
      <c r="DW79" s="130"/>
      <c r="DX79" s="130"/>
      <c r="DY79" s="130"/>
      <c r="DZ79" s="130"/>
      <c r="EA79" s="130"/>
      <c r="EB79" s="130"/>
      <c r="EC79" s="130"/>
      <c r="ED79" s="130"/>
      <c r="EE79" s="130"/>
      <c r="EF79" s="130"/>
      <c r="EG79" s="130"/>
      <c r="EH79" s="130"/>
      <c r="EI79" s="130"/>
      <c r="EJ79" s="130"/>
      <c r="EK79" s="130"/>
      <c r="EL79" s="130"/>
      <c r="EM79" s="130"/>
      <c r="EN79" s="130"/>
      <c r="EO79" s="130"/>
      <c r="EP79" s="130"/>
      <c r="EQ79" s="130"/>
      <c r="ER79" s="130"/>
      <c r="ES79" s="130"/>
      <c r="ET79" s="130"/>
      <c r="EU79" s="130"/>
      <c r="EV79" s="130"/>
      <c r="EW79" s="130"/>
      <c r="EX79" s="130"/>
      <c r="EY79" s="130"/>
      <c r="EZ79" s="130"/>
      <c r="FA79" s="130"/>
      <c r="FB79" s="130"/>
      <c r="FC79" s="130"/>
      <c r="FD79" s="130"/>
      <c r="FE79" s="130"/>
      <c r="FF79" s="130"/>
      <c r="FG79" s="130"/>
      <c r="FH79" s="130"/>
      <c r="FI79" s="130"/>
      <c r="FJ79" s="130"/>
      <c r="FK79" s="130"/>
      <c r="FL79" s="130"/>
      <c r="FM79" s="130"/>
      <c r="FN79" s="130"/>
      <c r="FO79" s="130"/>
      <c r="FP79" s="130"/>
      <c r="FQ79" s="130"/>
      <c r="FR79" s="130"/>
      <c r="FS79" s="130"/>
      <c r="FT79" s="130"/>
      <c r="FU79" s="130"/>
      <c r="FV79" s="130"/>
      <c r="FW79" s="130"/>
      <c r="FX79" s="130"/>
      <c r="FY79" s="130"/>
      <c r="FZ79" s="130"/>
      <c r="GA79" s="130"/>
      <c r="GB79" s="130"/>
      <c r="GC79" s="130"/>
      <c r="GD79" s="130"/>
      <c r="GE79" s="130"/>
      <c r="GF79" s="130"/>
      <c r="GG79" s="130"/>
      <c r="GH79" s="130"/>
      <c r="GI79" s="130"/>
      <c r="GJ79" s="130"/>
      <c r="GK79" s="130"/>
      <c r="GL79" s="130"/>
      <c r="GM79" s="130"/>
      <c r="GN79" s="130"/>
      <c r="GO79" s="130"/>
      <c r="GP79" s="130"/>
      <c r="GQ79" s="130"/>
      <c r="GR79" s="130"/>
      <c r="GS79" s="130"/>
      <c r="GT79" s="130"/>
      <c r="GU79" s="130"/>
      <c r="GV79" s="130"/>
      <c r="GW79" s="130"/>
      <c r="GX79" s="130"/>
      <c r="GY79" s="130"/>
      <c r="GZ79" s="130"/>
      <c r="HA79" s="130"/>
      <c r="HB79" s="130"/>
      <c r="HC79" s="130"/>
      <c r="HD79" s="130"/>
      <c r="HE79" s="130"/>
      <c r="HF79" s="130"/>
      <c r="HG79" s="130"/>
      <c r="HH79" s="130"/>
      <c r="HI79" s="130"/>
      <c r="HJ79" s="130"/>
      <c r="HK79" s="130"/>
      <c r="HL79" s="130"/>
      <c r="HM79" s="130"/>
      <c r="HN79" s="130"/>
      <c r="HO79" s="130"/>
      <c r="HP79" s="130"/>
    </row>
    <row r="80" spans="1:224" s="153" customFormat="1" ht="30" x14ac:dyDescent="0.2">
      <c r="A80" s="476"/>
      <c r="B80" s="152" t="s">
        <v>154</v>
      </c>
      <c r="C80" s="312">
        <v>-4672</v>
      </c>
      <c r="D80" s="312">
        <f t="shared" ref="D80:I80" si="198">D56-D77</f>
        <v>538</v>
      </c>
      <c r="E80" s="312">
        <f t="shared" si="198"/>
        <v>971</v>
      </c>
      <c r="F80" s="312">
        <f t="shared" si="198"/>
        <v>1306</v>
      </c>
      <c r="G80" s="312">
        <f t="shared" si="198"/>
        <v>227</v>
      </c>
      <c r="H80" s="312">
        <f t="shared" si="198"/>
        <v>717</v>
      </c>
      <c r="I80" s="312">
        <f t="shared" si="198"/>
        <v>130</v>
      </c>
      <c r="J80" s="312">
        <f t="shared" ref="J80:K80" si="199">J56-J77</f>
        <v>928</v>
      </c>
      <c r="K80" s="312">
        <f t="shared" si="199"/>
        <v>-879</v>
      </c>
      <c r="L80" s="312">
        <f t="shared" ref="L80:M80" si="200">L56-L77</f>
        <v>-176</v>
      </c>
      <c r="M80" s="312">
        <f t="shared" si="200"/>
        <v>425</v>
      </c>
      <c r="N80" s="312">
        <f t="shared" ref="N80:O80" si="201">N56-N77</f>
        <v>237</v>
      </c>
      <c r="O80" s="312">
        <f t="shared" si="201"/>
        <v>-193</v>
      </c>
      <c r="P80" s="312">
        <f t="shared" ref="P80" si="202">P56-P77</f>
        <v>-357</v>
      </c>
      <c r="Q80" s="312">
        <f t="shared" ref="Q80:V80" si="203">Q56-Q77</f>
        <v>464</v>
      </c>
      <c r="R80" s="312">
        <f t="shared" si="203"/>
        <v>-694</v>
      </c>
      <c r="S80" s="312">
        <f t="shared" si="203"/>
        <v>-1310</v>
      </c>
      <c r="T80" s="312">
        <f t="shared" si="203"/>
        <v>58</v>
      </c>
      <c r="U80" s="312">
        <f t="shared" si="203"/>
        <v>216</v>
      </c>
      <c r="V80" s="312">
        <f t="shared" si="203"/>
        <v>-165</v>
      </c>
      <c r="W80" s="312">
        <f t="shared" ref="W80:X80" si="204">W56-W77</f>
        <v>132</v>
      </c>
      <c r="X80" s="312">
        <f t="shared" si="204"/>
        <v>775</v>
      </c>
      <c r="Y80" s="312">
        <f t="shared" ref="Y80:Z80" si="205">Y56-Y77</f>
        <v>607</v>
      </c>
      <c r="Z80" s="312">
        <f t="shared" si="205"/>
        <v>921</v>
      </c>
      <c r="AA80" s="312">
        <f t="shared" ref="AA80:AB80" si="206">AA56-AA77</f>
        <v>2048</v>
      </c>
      <c r="AB80" s="312">
        <f t="shared" si="206"/>
        <v>1127</v>
      </c>
      <c r="AC80" s="312">
        <f t="shared" ref="AC80:AD80" si="207">AC56-AC77</f>
        <v>-856</v>
      </c>
      <c r="AD80" s="312">
        <f t="shared" si="207"/>
        <v>-3550</v>
      </c>
      <c r="AE80" s="312">
        <f t="shared" ref="AE80:AF80" si="208">AE56-AE77</f>
        <v>-2092</v>
      </c>
      <c r="AF80" s="312">
        <f t="shared" si="208"/>
        <v>257</v>
      </c>
      <c r="AG80" s="312">
        <f t="shared" ref="AG80:AH80" si="209">AG56-AG77</f>
        <v>1672</v>
      </c>
      <c r="AH80" s="312">
        <f t="shared" si="209"/>
        <v>946</v>
      </c>
      <c r="AI80" s="312">
        <f t="shared" ref="AI80" si="210">AI56-AI77</f>
        <v>1151</v>
      </c>
      <c r="AJ80" s="205">
        <f>AVERAGE(D80:AH80)</f>
        <v>142.90322580645162</v>
      </c>
      <c r="AK80" s="120">
        <v>2853</v>
      </c>
      <c r="AL80" s="120">
        <v>-1740</v>
      </c>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c r="CK80" s="120"/>
      <c r="CL80" s="120"/>
      <c r="CM80" s="120"/>
      <c r="CN80" s="120"/>
      <c r="CO80" s="120"/>
      <c r="CP80" s="120"/>
      <c r="CQ80" s="120"/>
      <c r="CR80" s="120"/>
      <c r="CS80" s="120"/>
      <c r="CT80" s="120"/>
      <c r="CU80" s="120"/>
      <c r="CV80" s="120"/>
      <c r="CW80" s="120"/>
      <c r="CX80" s="120"/>
      <c r="CY80" s="120"/>
      <c r="CZ80" s="120"/>
      <c r="DA80" s="120"/>
      <c r="DB80" s="120"/>
      <c r="DC80" s="120"/>
      <c r="DD80" s="120"/>
      <c r="DE80" s="120"/>
      <c r="DF80" s="120"/>
      <c r="DG80" s="120"/>
      <c r="DH80" s="120"/>
      <c r="DI80" s="120"/>
      <c r="DJ80" s="120"/>
      <c r="DK80" s="120"/>
      <c r="DL80" s="120"/>
      <c r="DM80" s="120"/>
      <c r="DN80" s="120"/>
      <c r="DO80" s="120"/>
      <c r="DP80" s="120"/>
      <c r="DQ80" s="120"/>
      <c r="DR80" s="120"/>
      <c r="DS80" s="120"/>
      <c r="DT80" s="120"/>
      <c r="DU80" s="120"/>
      <c r="DV80" s="120"/>
      <c r="DW80" s="120"/>
      <c r="DX80" s="120"/>
      <c r="DY80" s="120"/>
      <c r="DZ80" s="120"/>
      <c r="EA80" s="120"/>
      <c r="EB80" s="120"/>
      <c r="EC80" s="120"/>
      <c r="ED80" s="120"/>
      <c r="EE80" s="120"/>
      <c r="EF80" s="120"/>
      <c r="EG80" s="120"/>
      <c r="EH80" s="120"/>
      <c r="EI80" s="120"/>
      <c r="EJ80" s="120"/>
      <c r="EK80" s="120"/>
      <c r="EL80" s="120"/>
      <c r="EM80" s="120"/>
      <c r="EN80" s="120"/>
      <c r="EO80" s="120"/>
      <c r="EP80" s="120"/>
      <c r="EQ80" s="120"/>
      <c r="ER80" s="120"/>
      <c r="ES80" s="120"/>
      <c r="ET80" s="120"/>
      <c r="EU80" s="120"/>
      <c r="EV80" s="120"/>
      <c r="EW80" s="120"/>
      <c r="EX80" s="120"/>
      <c r="EY80" s="120"/>
      <c r="EZ80" s="120"/>
      <c r="FA80" s="120"/>
      <c r="FB80" s="120"/>
      <c r="FC80" s="120"/>
      <c r="FD80" s="120"/>
      <c r="FE80" s="120"/>
      <c r="FF80" s="120"/>
      <c r="FG80" s="120"/>
      <c r="FH80" s="120"/>
      <c r="FI80" s="120"/>
      <c r="FJ80" s="120"/>
      <c r="FK80" s="120"/>
      <c r="FL80" s="120"/>
      <c r="FM80" s="120"/>
      <c r="FN80" s="120"/>
      <c r="FO80" s="120"/>
      <c r="FP80" s="120"/>
      <c r="FQ80" s="120"/>
      <c r="FR80" s="120"/>
      <c r="FS80" s="120"/>
      <c r="FT80" s="120"/>
      <c r="FU80" s="120"/>
      <c r="FV80" s="120"/>
      <c r="FW80" s="120"/>
      <c r="FX80" s="120"/>
      <c r="FY80" s="120"/>
      <c r="FZ80" s="120"/>
      <c r="GA80" s="120"/>
      <c r="GB80" s="120"/>
      <c r="GC80" s="120"/>
      <c r="GD80" s="120"/>
      <c r="GE80" s="120"/>
      <c r="GF80" s="120"/>
      <c r="GG80" s="120"/>
      <c r="GH80" s="120"/>
      <c r="GI80" s="120"/>
      <c r="GJ80" s="120"/>
      <c r="GK80" s="120"/>
      <c r="GL80" s="120"/>
      <c r="GM80" s="120"/>
      <c r="GN80" s="120"/>
      <c r="GO80" s="120"/>
      <c r="GP80" s="120"/>
      <c r="GQ80" s="120"/>
      <c r="GR80" s="120"/>
      <c r="GS80" s="120"/>
      <c r="GT80" s="120"/>
      <c r="GU80" s="120"/>
      <c r="GV80" s="120"/>
      <c r="GW80" s="120"/>
      <c r="GX80" s="120"/>
      <c r="GY80" s="120"/>
      <c r="GZ80" s="120"/>
      <c r="HA80" s="120"/>
      <c r="HB80" s="120"/>
      <c r="HC80" s="120"/>
      <c r="HD80" s="120"/>
      <c r="HE80" s="120"/>
      <c r="HF80" s="120"/>
      <c r="HG80" s="120"/>
      <c r="HH80" s="120"/>
      <c r="HI80" s="120"/>
      <c r="HJ80" s="120"/>
      <c r="HK80" s="120"/>
      <c r="HL80" s="120"/>
      <c r="HM80" s="120"/>
      <c r="HN80" s="120"/>
      <c r="HO80" s="120"/>
      <c r="HP80" s="120"/>
    </row>
    <row r="81" spans="1:224" s="318" customFormat="1" ht="45" x14ac:dyDescent="0.2">
      <c r="A81" s="476"/>
      <c r="B81" s="315" t="s">
        <v>155</v>
      </c>
      <c r="C81" s="316">
        <v>6197</v>
      </c>
      <c r="D81" s="316">
        <f t="shared" ref="D81:I81" si="211">D66+D59+D63</f>
        <v>9246</v>
      </c>
      <c r="E81" s="316">
        <f t="shared" si="211"/>
        <v>8605</v>
      </c>
      <c r="F81" s="316">
        <f t="shared" si="211"/>
        <v>10095</v>
      </c>
      <c r="G81" s="316">
        <f t="shared" si="211"/>
        <v>9892</v>
      </c>
      <c r="H81" s="316">
        <f t="shared" si="211"/>
        <v>9318</v>
      </c>
      <c r="I81" s="316">
        <f t="shared" si="211"/>
        <v>8604</v>
      </c>
      <c r="J81" s="316">
        <f t="shared" ref="J81:K81" si="212">J66+J59+J63</f>
        <v>9275</v>
      </c>
      <c r="K81" s="316">
        <f t="shared" si="212"/>
        <v>10026</v>
      </c>
      <c r="L81" s="316">
        <f t="shared" ref="L81:S81" si="213">L66+L59+L63</f>
        <v>10278</v>
      </c>
      <c r="M81" s="316">
        <f t="shared" si="213"/>
        <v>10012</v>
      </c>
      <c r="N81" s="316">
        <f t="shared" si="213"/>
        <v>10269</v>
      </c>
      <c r="O81" s="316">
        <f t="shared" si="213"/>
        <v>9358</v>
      </c>
      <c r="P81" s="316">
        <f t="shared" si="213"/>
        <v>9761</v>
      </c>
      <c r="Q81" s="316">
        <f t="shared" si="213"/>
        <v>9430</v>
      </c>
      <c r="R81" s="316">
        <f t="shared" si="213"/>
        <v>10427</v>
      </c>
      <c r="S81" s="316">
        <f t="shared" si="213"/>
        <v>10444</v>
      </c>
      <c r="T81" s="316">
        <f t="shared" ref="T81:U81" si="214">T66+T59+T63</f>
        <v>10783</v>
      </c>
      <c r="U81" s="316">
        <f t="shared" si="214"/>
        <v>10550</v>
      </c>
      <c r="V81" s="316">
        <f t="shared" ref="V81:W81" si="215">V66+V59+V63</f>
        <v>10327</v>
      </c>
      <c r="W81" s="316">
        <f t="shared" si="215"/>
        <v>10298</v>
      </c>
      <c r="X81" s="316">
        <f t="shared" ref="X81:Y81" si="216">X66+X59+X63</f>
        <v>9931</v>
      </c>
      <c r="Y81" s="316">
        <f t="shared" si="216"/>
        <v>9749</v>
      </c>
      <c r="Z81" s="316">
        <f t="shared" ref="Z81:AA81" si="217">Z66+Z59+Z63</f>
        <v>9603</v>
      </c>
      <c r="AA81" s="316">
        <f t="shared" si="217"/>
        <v>9382</v>
      </c>
      <c r="AB81" s="316">
        <f t="shared" ref="AB81" si="218">AB66+AB59+AB63</f>
        <v>8739</v>
      </c>
      <c r="AC81" s="316">
        <f>AC55-AC65+AC59</f>
        <v>8807</v>
      </c>
      <c r="AD81" s="316">
        <f>AD58+AD59+AD66</f>
        <v>6646</v>
      </c>
      <c r="AE81" s="316">
        <f>AE58+AE59+AE66</f>
        <v>5933</v>
      </c>
      <c r="AF81" s="316">
        <f t="shared" ref="AF81:AG81" si="219">AF66+AF59+AF63</f>
        <v>6986</v>
      </c>
      <c r="AG81" s="316">
        <f t="shared" si="219"/>
        <v>7389</v>
      </c>
      <c r="AH81" s="316">
        <f t="shared" ref="AH81" si="220">AH66+AH59+AH63</f>
        <v>8163</v>
      </c>
      <c r="AI81" s="316">
        <f>AI66+AI59+AI63</f>
        <v>6767</v>
      </c>
      <c r="AJ81" s="317">
        <f>AVERAGE(D81:AH81)</f>
        <v>9300.8387096774186</v>
      </c>
      <c r="AK81" s="318">
        <v>4920</v>
      </c>
      <c r="AL81" s="318">
        <v>4889</v>
      </c>
    </row>
    <row r="82" spans="1:224" s="318" customFormat="1" x14ac:dyDescent="0.2">
      <c r="A82" s="476"/>
      <c r="B82" s="315" t="s">
        <v>156</v>
      </c>
      <c r="C82" s="379">
        <v>178126</v>
      </c>
      <c r="D82" s="379">
        <f t="shared" ref="D82:P82" si="221">C82+D81</f>
        <v>187372</v>
      </c>
      <c r="E82" s="379">
        <f t="shared" si="221"/>
        <v>195977</v>
      </c>
      <c r="F82" s="379">
        <f t="shared" si="221"/>
        <v>206072</v>
      </c>
      <c r="G82" s="379">
        <f t="shared" si="221"/>
        <v>215964</v>
      </c>
      <c r="H82" s="379">
        <f t="shared" si="221"/>
        <v>225282</v>
      </c>
      <c r="I82" s="379">
        <f t="shared" si="221"/>
        <v>233886</v>
      </c>
      <c r="J82" s="379">
        <f t="shared" si="221"/>
        <v>243161</v>
      </c>
      <c r="K82" s="379">
        <f t="shared" si="221"/>
        <v>253187</v>
      </c>
      <c r="L82" s="379">
        <f t="shared" si="221"/>
        <v>263465</v>
      </c>
      <c r="M82" s="379">
        <f t="shared" si="221"/>
        <v>273477</v>
      </c>
      <c r="N82" s="379">
        <f t="shared" si="221"/>
        <v>283746</v>
      </c>
      <c r="O82" s="379">
        <f t="shared" si="221"/>
        <v>293104</v>
      </c>
      <c r="P82" s="379">
        <f t="shared" si="221"/>
        <v>302865</v>
      </c>
      <c r="Q82" s="379">
        <f t="shared" ref="Q82:AI82" si="222">P82+Q81</f>
        <v>312295</v>
      </c>
      <c r="R82" s="379">
        <f t="shared" si="222"/>
        <v>322722</v>
      </c>
      <c r="S82" s="379">
        <f t="shared" si="222"/>
        <v>333166</v>
      </c>
      <c r="T82" s="379">
        <f t="shared" si="222"/>
        <v>343949</v>
      </c>
      <c r="U82" s="379">
        <f t="shared" si="222"/>
        <v>354499</v>
      </c>
      <c r="V82" s="379">
        <f t="shared" si="222"/>
        <v>364826</v>
      </c>
      <c r="W82" s="379">
        <f t="shared" si="222"/>
        <v>375124</v>
      </c>
      <c r="X82" s="379">
        <f t="shared" si="222"/>
        <v>385055</v>
      </c>
      <c r="Y82" s="379">
        <f t="shared" si="222"/>
        <v>394804</v>
      </c>
      <c r="Z82" s="379">
        <f t="shared" si="222"/>
        <v>404407</v>
      </c>
      <c r="AA82" s="379">
        <f t="shared" si="222"/>
        <v>413789</v>
      </c>
      <c r="AB82" s="379">
        <f t="shared" si="222"/>
        <v>422528</v>
      </c>
      <c r="AC82" s="379">
        <f t="shared" si="222"/>
        <v>431335</v>
      </c>
      <c r="AD82" s="379">
        <f t="shared" si="222"/>
        <v>437981</v>
      </c>
      <c r="AE82" s="379">
        <f t="shared" si="222"/>
        <v>443914</v>
      </c>
      <c r="AF82" s="379">
        <f t="shared" si="222"/>
        <v>450900</v>
      </c>
      <c r="AG82" s="379">
        <f t="shared" si="222"/>
        <v>458289</v>
      </c>
      <c r="AH82" s="379">
        <f t="shared" si="222"/>
        <v>466452</v>
      </c>
      <c r="AI82" s="379">
        <f t="shared" si="222"/>
        <v>473219</v>
      </c>
      <c r="AJ82" s="317"/>
      <c r="AK82" s="318">
        <v>322171</v>
      </c>
      <c r="AL82" s="318">
        <v>178197</v>
      </c>
    </row>
    <row r="83" spans="1:224" s="153" customFormat="1" ht="33" customHeight="1" x14ac:dyDescent="0.2">
      <c r="A83" s="476"/>
      <c r="B83" s="152" t="s">
        <v>157</v>
      </c>
      <c r="C83" s="312">
        <v>1463</v>
      </c>
      <c r="D83" s="312">
        <f t="shared" ref="D83:E83" si="223">D69-D81</f>
        <v>3561</v>
      </c>
      <c r="E83" s="312">
        <f t="shared" si="223"/>
        <v>3116</v>
      </c>
      <c r="F83" s="312">
        <f t="shared" ref="F83:G83" si="224">F69-F81</f>
        <v>2246</v>
      </c>
      <c r="G83" s="312">
        <f t="shared" si="224"/>
        <v>-48</v>
      </c>
      <c r="H83" s="312">
        <f t="shared" ref="H83:I83" si="225">H69-H81</f>
        <v>-189</v>
      </c>
      <c r="I83" s="312">
        <f t="shared" si="225"/>
        <v>-11</v>
      </c>
      <c r="J83" s="312">
        <f t="shared" ref="J83:K83" si="226">J69-J81</f>
        <v>-852</v>
      </c>
      <c r="K83" s="312">
        <f t="shared" si="226"/>
        <v>-966</v>
      </c>
      <c r="L83" s="312">
        <f t="shared" ref="L83:M83" si="227">L69-L81</f>
        <v>-809</v>
      </c>
      <c r="M83" s="312">
        <f t="shared" si="227"/>
        <v>-430</v>
      </c>
      <c r="N83" s="312">
        <f t="shared" ref="N83:O83" si="228">N69-N81</f>
        <v>-31</v>
      </c>
      <c r="O83" s="312">
        <f t="shared" si="228"/>
        <v>-296</v>
      </c>
      <c r="P83" s="312">
        <f t="shared" ref="P83" si="229">P69-P81</f>
        <v>-5</v>
      </c>
      <c r="Q83" s="312">
        <f t="shared" ref="Q83:V83" si="230">Q69-Q81</f>
        <v>-296</v>
      </c>
      <c r="R83" s="312">
        <f t="shared" si="230"/>
        <v>-156</v>
      </c>
      <c r="S83" s="312">
        <f t="shared" si="230"/>
        <v>-22</v>
      </c>
      <c r="T83" s="312">
        <f t="shared" si="230"/>
        <v>-319</v>
      </c>
      <c r="U83" s="312">
        <f t="shared" si="230"/>
        <v>-18</v>
      </c>
      <c r="V83" s="312">
        <f t="shared" si="230"/>
        <v>-236</v>
      </c>
      <c r="W83" s="312">
        <f t="shared" ref="W83:X83" si="231">W69-W81</f>
        <v>-61</v>
      </c>
      <c r="X83" s="312">
        <f t="shared" si="231"/>
        <v>-249</v>
      </c>
      <c r="Y83" s="312">
        <f t="shared" ref="Y83:Z83" si="232">Y69-Y81</f>
        <v>-228</v>
      </c>
      <c r="Z83" s="312">
        <f t="shared" si="232"/>
        <v>191</v>
      </c>
      <c r="AA83" s="312">
        <f t="shared" ref="AA83:AB83" si="233">AA69-AA81</f>
        <v>-65</v>
      </c>
      <c r="AB83" s="312">
        <f t="shared" si="233"/>
        <v>-229</v>
      </c>
      <c r="AC83" s="312">
        <f t="shared" ref="AC83:AD83" si="234">AC69-AC81</f>
        <v>-2111</v>
      </c>
      <c r="AD83" s="312">
        <f t="shared" si="234"/>
        <v>-1032</v>
      </c>
      <c r="AE83" s="312">
        <f t="shared" ref="AE83:AF83" si="235">AE69-AE81</f>
        <v>-633</v>
      </c>
      <c r="AF83" s="312">
        <f t="shared" si="235"/>
        <v>-89</v>
      </c>
      <c r="AG83" s="312">
        <f t="shared" ref="AG83" si="236">AG69-AG81</f>
        <v>-151</v>
      </c>
      <c r="AH83" s="312">
        <f>AH69-AH81</f>
        <v>82</v>
      </c>
      <c r="AI83" s="312">
        <f>AI69-AI81</f>
        <v>-192</v>
      </c>
      <c r="AJ83" s="205">
        <f>AVERAGE(D83:AH83)</f>
        <v>-10.838709677419354</v>
      </c>
      <c r="AK83" s="120">
        <v>-783</v>
      </c>
      <c r="AL83" s="120">
        <v>2109</v>
      </c>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I83" s="120"/>
      <c r="CJ83" s="120"/>
      <c r="CK83" s="120"/>
      <c r="CL83" s="120"/>
      <c r="CM83" s="120"/>
      <c r="CN83" s="120"/>
      <c r="CO83" s="120"/>
      <c r="CP83" s="120"/>
      <c r="CQ83" s="120"/>
      <c r="CR83" s="120"/>
      <c r="CS83" s="120"/>
      <c r="CT83" s="120"/>
      <c r="CU83" s="120"/>
      <c r="CV83" s="120"/>
      <c r="CW83" s="120"/>
      <c r="CX83" s="120"/>
      <c r="CY83" s="120"/>
      <c r="CZ83" s="120"/>
      <c r="DA83" s="120"/>
      <c r="DB83" s="120"/>
      <c r="DC83" s="120"/>
      <c r="DD83" s="120"/>
      <c r="DE83" s="120"/>
      <c r="DF83" s="120"/>
      <c r="DG83" s="120"/>
      <c r="DH83" s="120"/>
      <c r="DI83" s="120"/>
      <c r="DJ83" s="120"/>
      <c r="DK83" s="120"/>
      <c r="DL83" s="120"/>
      <c r="DM83" s="120"/>
      <c r="DN83" s="120"/>
      <c r="DO83" s="120"/>
      <c r="DP83" s="120"/>
      <c r="DQ83" s="120"/>
      <c r="DR83" s="120"/>
      <c r="DS83" s="120"/>
      <c r="DT83" s="120"/>
      <c r="DU83" s="120"/>
      <c r="DV83" s="120"/>
      <c r="DW83" s="120"/>
      <c r="DX83" s="120"/>
      <c r="DY83" s="120"/>
      <c r="DZ83" s="120"/>
      <c r="EA83" s="120"/>
      <c r="EB83" s="120"/>
      <c r="EC83" s="120"/>
      <c r="ED83" s="120"/>
      <c r="EE83" s="120"/>
      <c r="EF83" s="120"/>
      <c r="EG83" s="120"/>
      <c r="EH83" s="120"/>
      <c r="EI83" s="120"/>
      <c r="EJ83" s="120"/>
      <c r="EK83" s="120"/>
      <c r="EL83" s="120"/>
      <c r="EM83" s="120"/>
      <c r="EN83" s="120"/>
      <c r="EO83" s="120"/>
      <c r="EP83" s="120"/>
      <c r="EQ83" s="120"/>
      <c r="ER83" s="120"/>
      <c r="ES83" s="120"/>
      <c r="ET83" s="120"/>
      <c r="EU83" s="120"/>
      <c r="EV83" s="120"/>
      <c r="EW83" s="120"/>
      <c r="EX83" s="120"/>
      <c r="EY83" s="120"/>
      <c r="EZ83" s="120"/>
      <c r="FA83" s="120"/>
      <c r="FB83" s="120"/>
      <c r="FC83" s="120"/>
      <c r="FD83" s="120"/>
      <c r="FE83" s="120"/>
      <c r="FF83" s="120"/>
      <c r="FG83" s="120"/>
      <c r="FH83" s="120"/>
      <c r="FI83" s="120"/>
      <c r="FJ83" s="120"/>
      <c r="FK83" s="120"/>
      <c r="FL83" s="120"/>
      <c r="FM83" s="120"/>
      <c r="FN83" s="120"/>
      <c r="FO83" s="120"/>
      <c r="FP83" s="120"/>
      <c r="FQ83" s="120"/>
      <c r="FR83" s="120"/>
      <c r="FS83" s="120"/>
      <c r="FT83" s="120"/>
      <c r="FU83" s="120"/>
      <c r="FV83" s="120"/>
      <c r="FW83" s="120"/>
      <c r="FX83" s="120"/>
      <c r="FY83" s="120"/>
      <c r="FZ83" s="120"/>
      <c r="GA83" s="120"/>
      <c r="GB83" s="120"/>
      <c r="GC83" s="120"/>
      <c r="GD83" s="120"/>
      <c r="GE83" s="120"/>
      <c r="GF83" s="120"/>
      <c r="GG83" s="120"/>
      <c r="GH83" s="120"/>
      <c r="GI83" s="120"/>
      <c r="GJ83" s="120"/>
      <c r="GK83" s="120"/>
      <c r="GL83" s="120"/>
      <c r="GM83" s="120"/>
      <c r="GN83" s="120"/>
      <c r="GO83" s="120"/>
      <c r="GP83" s="120"/>
      <c r="GQ83" s="120"/>
      <c r="GR83" s="120"/>
      <c r="GS83" s="120"/>
      <c r="GT83" s="120"/>
      <c r="GU83" s="120"/>
      <c r="GV83" s="120"/>
      <c r="GW83" s="120"/>
      <c r="GX83" s="120"/>
      <c r="GY83" s="120"/>
      <c r="GZ83" s="120"/>
      <c r="HA83" s="120"/>
      <c r="HB83" s="120"/>
      <c r="HC83" s="120"/>
      <c r="HD83" s="120"/>
      <c r="HE83" s="120"/>
      <c r="HF83" s="120"/>
      <c r="HG83" s="120"/>
      <c r="HH83" s="120"/>
      <c r="HI83" s="120"/>
      <c r="HJ83" s="120"/>
      <c r="HK83" s="120"/>
      <c r="HL83" s="120"/>
      <c r="HM83" s="120"/>
      <c r="HN83" s="120"/>
      <c r="HO83" s="120"/>
      <c r="HP83" s="120"/>
    </row>
    <row r="84" spans="1:224" s="153" customFormat="1" ht="21" customHeight="1" x14ac:dyDescent="0.2">
      <c r="A84" s="476"/>
      <c r="B84" s="154" t="s">
        <v>158</v>
      </c>
      <c r="C84" s="313">
        <v>5257</v>
      </c>
      <c r="D84" s="313">
        <f t="shared" ref="D84:E84" si="237">(D59+D63)-D67</f>
        <v>5540</v>
      </c>
      <c r="E84" s="313">
        <f t="shared" si="237"/>
        <v>4816</v>
      </c>
      <c r="F84" s="313">
        <f t="shared" ref="F84:G84" si="238">(F59+F63)-F67</f>
        <v>6306</v>
      </c>
      <c r="G84" s="313">
        <f t="shared" si="238"/>
        <v>6276</v>
      </c>
      <c r="H84" s="313">
        <f t="shared" ref="H84:I84" si="239">(H59+H63)-H67</f>
        <v>5935</v>
      </c>
      <c r="I84" s="313">
        <f t="shared" si="239"/>
        <v>5335</v>
      </c>
      <c r="J84" s="313">
        <f t="shared" ref="J84:K84" si="240">(J59+J63)-J67</f>
        <v>5749</v>
      </c>
      <c r="K84" s="313">
        <f t="shared" si="240"/>
        <v>5907</v>
      </c>
      <c r="L84" s="313">
        <f t="shared" ref="L84:M84" si="241">(L59+L63)-L67</f>
        <v>6350</v>
      </c>
      <c r="M84" s="313">
        <f t="shared" si="241"/>
        <v>6025</v>
      </c>
      <c r="N84" s="313">
        <f t="shared" ref="N84:O84" si="242">(N59+N63)-N67</f>
        <v>6580</v>
      </c>
      <c r="O84" s="313">
        <f t="shared" si="242"/>
        <v>5725</v>
      </c>
      <c r="P84" s="313">
        <f t="shared" ref="P84" si="243">(P59+P63)-P67</f>
        <v>5788</v>
      </c>
      <c r="Q84" s="313">
        <f t="shared" ref="Q84:V84" si="244">(Q59+Q63)-Q67</f>
        <v>5558</v>
      </c>
      <c r="R84" s="313">
        <f t="shared" si="244"/>
        <v>6803</v>
      </c>
      <c r="S84" s="313">
        <f t="shared" si="244"/>
        <v>6694</v>
      </c>
      <c r="T84" s="313">
        <f t="shared" si="244"/>
        <v>6947</v>
      </c>
      <c r="U84" s="313">
        <f t="shared" si="244"/>
        <v>6700</v>
      </c>
      <c r="V84" s="313">
        <f t="shared" si="244"/>
        <v>6582</v>
      </c>
      <c r="W84" s="313">
        <f t="shared" ref="W84:X84" si="245">(W59+W63)-W67</f>
        <v>6530</v>
      </c>
      <c r="X84" s="313">
        <f t="shared" si="245"/>
        <v>6684</v>
      </c>
      <c r="Y84" s="313">
        <f t="shared" ref="Y84:Z84" si="246">(Y59+Y63)-Y67</f>
        <v>7017</v>
      </c>
      <c r="Z84" s="313">
        <f t="shared" si="246"/>
        <v>7087</v>
      </c>
      <c r="AA84" s="313">
        <f t="shared" ref="AA84:AB84" si="247">(AA59+AA63)-AA67</f>
        <v>6751</v>
      </c>
      <c r="AB84" s="313">
        <f t="shared" si="247"/>
        <v>6349</v>
      </c>
      <c r="AC84" s="313">
        <f t="shared" ref="AC84:AD84" si="248">(AC59+AC63)-AC67</f>
        <v>-423</v>
      </c>
      <c r="AD84" s="313">
        <f t="shared" si="248"/>
        <v>2829</v>
      </c>
      <c r="AE84" s="313">
        <f t="shared" ref="AE84:AF84" si="249">(AE59+AE63)-AE67</f>
        <v>4959</v>
      </c>
      <c r="AF84" s="313">
        <f t="shared" si="249"/>
        <v>4276</v>
      </c>
      <c r="AG84" s="313">
        <f t="shared" ref="AG84:AH84" si="250">(AG59+AG63)-AG67</f>
        <v>4614</v>
      </c>
      <c r="AH84" s="313">
        <f t="shared" si="250"/>
        <v>4877</v>
      </c>
      <c r="AI84" s="313">
        <f t="shared" ref="AI84" si="251">(AI59+AI63)-AI67</f>
        <v>4324</v>
      </c>
      <c r="AJ84" s="204">
        <f>AVERAGE(D84:AH84)</f>
        <v>5715.0322580645161</v>
      </c>
      <c r="AK84" s="120">
        <v>1473</v>
      </c>
      <c r="AL84" s="120">
        <v>4486</v>
      </c>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I84" s="120"/>
      <c r="CJ84" s="120"/>
      <c r="CK84" s="120"/>
      <c r="CL84" s="120"/>
      <c r="CM84" s="120"/>
      <c r="CN84" s="120"/>
      <c r="CO84" s="120"/>
      <c r="CP84" s="120"/>
      <c r="CQ84" s="120"/>
      <c r="CR84" s="120"/>
      <c r="CS84" s="120"/>
      <c r="CT84" s="120"/>
      <c r="CU84" s="120"/>
      <c r="CV84" s="120"/>
      <c r="CW84" s="120"/>
      <c r="CX84" s="120"/>
      <c r="CY84" s="120"/>
      <c r="CZ84" s="120"/>
      <c r="DA84" s="120"/>
      <c r="DB84" s="120"/>
      <c r="DC84" s="120"/>
      <c r="DD84" s="120"/>
      <c r="DE84" s="120"/>
      <c r="DF84" s="120"/>
      <c r="DG84" s="120"/>
      <c r="DH84" s="120"/>
      <c r="DI84" s="120"/>
      <c r="DJ84" s="120"/>
      <c r="DK84" s="120"/>
      <c r="DL84" s="120"/>
      <c r="DM84" s="120"/>
      <c r="DN84" s="120"/>
      <c r="DO84" s="120"/>
      <c r="DP84" s="120"/>
      <c r="DQ84" s="120"/>
      <c r="DR84" s="120"/>
      <c r="DS84" s="120"/>
      <c r="DT84" s="120"/>
      <c r="DU84" s="120"/>
      <c r="DV84" s="120"/>
      <c r="DW84" s="120"/>
      <c r="DX84" s="120"/>
      <c r="DY84" s="120"/>
      <c r="DZ84" s="120"/>
      <c r="EA84" s="120"/>
      <c r="EB84" s="120"/>
      <c r="EC84" s="120"/>
      <c r="ED84" s="120"/>
      <c r="EE84" s="120"/>
      <c r="EF84" s="120"/>
      <c r="EG84" s="120"/>
      <c r="EH84" s="120"/>
      <c r="EI84" s="120"/>
      <c r="EJ84" s="120"/>
      <c r="EK84" s="120"/>
      <c r="EL84" s="120"/>
      <c r="EM84" s="120"/>
      <c r="EN84" s="120"/>
      <c r="EO84" s="120"/>
      <c r="EP84" s="120"/>
      <c r="EQ84" s="120"/>
      <c r="ER84" s="120"/>
      <c r="ES84" s="120"/>
      <c r="ET84" s="120"/>
      <c r="EU84" s="120"/>
      <c r="EV84" s="120"/>
      <c r="EW84" s="120"/>
      <c r="EX84" s="120"/>
      <c r="EY84" s="120"/>
      <c r="EZ84" s="120"/>
      <c r="FA84" s="120"/>
      <c r="FB84" s="120"/>
      <c r="FC84" s="120"/>
      <c r="FD84" s="120"/>
      <c r="FE84" s="120"/>
      <c r="FF84" s="120"/>
      <c r="FG84" s="120"/>
      <c r="FH84" s="120"/>
      <c r="FI84" s="120"/>
      <c r="FJ84" s="120"/>
      <c r="FK84" s="120"/>
      <c r="FL84" s="120"/>
      <c r="FM84" s="120"/>
      <c r="FN84" s="120"/>
      <c r="FO84" s="120"/>
      <c r="FP84" s="120"/>
      <c r="FQ84" s="120"/>
      <c r="FR84" s="120"/>
      <c r="FS84" s="120"/>
      <c r="FT84" s="120"/>
      <c r="FU84" s="120"/>
      <c r="FV84" s="120"/>
      <c r="FW84" s="120"/>
      <c r="FX84" s="120"/>
      <c r="FY84" s="120"/>
      <c r="FZ84" s="120"/>
      <c r="GA84" s="120"/>
      <c r="GB84" s="120"/>
      <c r="GC84" s="120"/>
      <c r="GD84" s="120"/>
      <c r="GE84" s="120"/>
      <c r="GF84" s="120"/>
      <c r="GG84" s="120"/>
      <c r="GH84" s="120"/>
      <c r="GI84" s="120"/>
      <c r="GJ84" s="120"/>
      <c r="GK84" s="120"/>
      <c r="GL84" s="120"/>
      <c r="GM84" s="120"/>
      <c r="GN84" s="120"/>
      <c r="GO84" s="120"/>
      <c r="GP84" s="120"/>
      <c r="GQ84" s="120"/>
      <c r="GR84" s="120"/>
      <c r="GS84" s="120"/>
      <c r="GT84" s="120"/>
      <c r="GU84" s="120"/>
      <c r="GV84" s="120"/>
      <c r="GW84" s="120"/>
      <c r="GX84" s="120"/>
      <c r="GY84" s="120"/>
      <c r="GZ84" s="120"/>
      <c r="HA84" s="120"/>
      <c r="HB84" s="120"/>
      <c r="HC84" s="120"/>
      <c r="HD84" s="120"/>
      <c r="HE84" s="120"/>
      <c r="HF84" s="120"/>
      <c r="HG84" s="120"/>
      <c r="HH84" s="120"/>
      <c r="HI84" s="120"/>
      <c r="HJ84" s="120"/>
      <c r="HK84" s="120"/>
      <c r="HL84" s="120"/>
      <c r="HM84" s="120"/>
      <c r="HN84" s="120"/>
      <c r="HO84" s="120"/>
      <c r="HP84" s="120"/>
    </row>
    <row r="85" spans="1:224" s="218" customFormat="1" ht="21" customHeight="1" x14ac:dyDescent="0.2">
      <c r="A85" s="476"/>
      <c r="B85" s="209" t="s">
        <v>159</v>
      </c>
      <c r="C85" s="311" t="s">
        <v>160</v>
      </c>
      <c r="D85" s="311" t="s">
        <v>160</v>
      </c>
      <c r="E85" s="311" t="s">
        <v>160</v>
      </c>
      <c r="F85" s="311" t="s">
        <v>160</v>
      </c>
      <c r="G85" s="311" t="s">
        <v>160</v>
      </c>
      <c r="H85" s="311" t="s">
        <v>160</v>
      </c>
      <c r="I85" s="311" t="s">
        <v>160</v>
      </c>
      <c r="J85" s="311" t="s">
        <v>160</v>
      </c>
      <c r="K85" s="311" t="s">
        <v>160</v>
      </c>
      <c r="L85" s="311" t="s">
        <v>160</v>
      </c>
      <c r="M85" s="311" t="s">
        <v>160</v>
      </c>
      <c r="N85" s="311" t="s">
        <v>160</v>
      </c>
      <c r="O85" s="311" t="s">
        <v>160</v>
      </c>
      <c r="P85" s="311" t="s">
        <v>160</v>
      </c>
      <c r="Q85" s="311" t="s">
        <v>160</v>
      </c>
      <c r="R85" s="311" t="s">
        <v>160</v>
      </c>
      <c r="S85" s="311" t="s">
        <v>160</v>
      </c>
      <c r="T85" s="311" t="s">
        <v>160</v>
      </c>
      <c r="U85" s="311" t="s">
        <v>160</v>
      </c>
      <c r="V85" s="311" t="s">
        <v>160</v>
      </c>
      <c r="W85" s="311" t="s">
        <v>160</v>
      </c>
      <c r="X85" s="311" t="s">
        <v>160</v>
      </c>
      <c r="Y85" s="311" t="s">
        <v>160</v>
      </c>
      <c r="Z85" s="311" t="s">
        <v>160</v>
      </c>
      <c r="AA85" s="311" t="s">
        <v>160</v>
      </c>
      <c r="AB85" s="311" t="s">
        <v>160</v>
      </c>
      <c r="AC85" s="311" t="s">
        <v>160</v>
      </c>
      <c r="AD85" s="311" t="s">
        <v>160</v>
      </c>
      <c r="AE85" s="311" t="s">
        <v>160</v>
      </c>
      <c r="AF85" s="311" t="s">
        <v>160</v>
      </c>
      <c r="AG85" s="311" t="s">
        <v>160</v>
      </c>
      <c r="AH85" s="311" t="s">
        <v>160</v>
      </c>
      <c r="AI85" s="311" t="s">
        <v>160</v>
      </c>
      <c r="AJ85" s="210" t="s">
        <v>161</v>
      </c>
      <c r="AK85" s="217" t="s">
        <v>160</v>
      </c>
      <c r="AL85" s="217" t="s">
        <v>160</v>
      </c>
      <c r="AM85" s="217"/>
      <c r="AN85" s="217"/>
      <c r="AO85" s="217"/>
      <c r="AP85" s="217"/>
      <c r="AQ85" s="217"/>
      <c r="AR85" s="217"/>
      <c r="AS85" s="217"/>
      <c r="AT85" s="217"/>
      <c r="AU85" s="217"/>
      <c r="AV85" s="217"/>
      <c r="AW85" s="217"/>
      <c r="AX85" s="217"/>
      <c r="AY85" s="217"/>
      <c r="AZ85" s="217"/>
      <c r="BA85" s="217"/>
      <c r="BB85" s="217"/>
      <c r="BC85" s="217"/>
      <c r="BD85" s="217"/>
      <c r="BE85" s="217"/>
      <c r="BF85" s="217"/>
      <c r="BG85" s="217"/>
      <c r="BH85" s="217"/>
      <c r="BI85" s="217"/>
      <c r="BJ85" s="217"/>
      <c r="BK85" s="217"/>
      <c r="BL85" s="217"/>
      <c r="BM85" s="217"/>
      <c r="BN85" s="217"/>
      <c r="BO85" s="217"/>
      <c r="BP85" s="217"/>
      <c r="BQ85" s="217"/>
      <c r="BR85" s="217"/>
      <c r="BS85" s="217"/>
      <c r="BT85" s="217"/>
      <c r="BU85" s="217"/>
      <c r="BV85" s="217"/>
      <c r="BW85" s="217"/>
      <c r="BX85" s="217"/>
      <c r="BY85" s="217"/>
      <c r="BZ85" s="217"/>
      <c r="CA85" s="217"/>
      <c r="CB85" s="217"/>
      <c r="CC85" s="217"/>
      <c r="CD85" s="217"/>
      <c r="CE85" s="217"/>
      <c r="CF85" s="217"/>
      <c r="CG85" s="217"/>
      <c r="CH85" s="217"/>
      <c r="CI85" s="217"/>
      <c r="CJ85" s="217"/>
      <c r="CK85" s="217"/>
      <c r="CL85" s="217"/>
      <c r="CM85" s="217"/>
      <c r="CN85" s="217"/>
      <c r="CO85" s="217"/>
      <c r="CP85" s="217"/>
      <c r="CQ85" s="217"/>
      <c r="CR85" s="217"/>
      <c r="CS85" s="217"/>
      <c r="CT85" s="217"/>
      <c r="CU85" s="217"/>
      <c r="CV85" s="217"/>
      <c r="CW85" s="217"/>
      <c r="CX85" s="217"/>
      <c r="CY85" s="217"/>
      <c r="CZ85" s="217"/>
      <c r="DA85" s="217"/>
      <c r="DB85" s="217"/>
      <c r="DC85" s="217"/>
      <c r="DD85" s="217"/>
      <c r="DE85" s="217"/>
      <c r="DF85" s="217"/>
      <c r="DG85" s="217"/>
      <c r="DH85" s="217"/>
      <c r="DI85" s="217"/>
      <c r="DJ85" s="217"/>
      <c r="DK85" s="217"/>
      <c r="DL85" s="217"/>
      <c r="DM85" s="217"/>
      <c r="DN85" s="217"/>
      <c r="DO85" s="217"/>
      <c r="DP85" s="217"/>
      <c r="DQ85" s="217"/>
      <c r="DR85" s="217"/>
      <c r="DS85" s="217"/>
      <c r="DT85" s="217"/>
      <c r="DU85" s="217"/>
      <c r="DV85" s="217"/>
      <c r="DW85" s="217"/>
      <c r="DX85" s="217"/>
      <c r="DY85" s="217"/>
      <c r="DZ85" s="217"/>
      <c r="EA85" s="217"/>
      <c r="EB85" s="217"/>
      <c r="EC85" s="217"/>
      <c r="ED85" s="217"/>
      <c r="EE85" s="217"/>
      <c r="EF85" s="217"/>
      <c r="EG85" s="217"/>
      <c r="EH85" s="217"/>
      <c r="EI85" s="217"/>
      <c r="EJ85" s="217"/>
      <c r="EK85" s="217"/>
      <c r="EL85" s="217"/>
      <c r="EM85" s="217"/>
      <c r="EN85" s="217"/>
      <c r="EO85" s="217"/>
      <c r="EP85" s="217"/>
      <c r="EQ85" s="217"/>
      <c r="ER85" s="217"/>
      <c r="ES85" s="217"/>
      <c r="ET85" s="217"/>
      <c r="EU85" s="217"/>
      <c r="EV85" s="217"/>
      <c r="EW85" s="217"/>
      <c r="EX85" s="217"/>
      <c r="EY85" s="217"/>
      <c r="EZ85" s="217"/>
      <c r="FA85" s="217"/>
      <c r="FB85" s="217"/>
      <c r="FC85" s="217"/>
      <c r="FD85" s="217"/>
      <c r="FE85" s="217"/>
      <c r="FF85" s="217"/>
      <c r="FG85" s="217"/>
      <c r="FH85" s="217"/>
      <c r="FI85" s="217"/>
      <c r="FJ85" s="217"/>
      <c r="FK85" s="217"/>
      <c r="FL85" s="217"/>
      <c r="FM85" s="217"/>
      <c r="FN85" s="217"/>
      <c r="FO85" s="217"/>
      <c r="FP85" s="217"/>
      <c r="FQ85" s="217"/>
      <c r="FR85" s="217"/>
      <c r="FS85" s="217"/>
      <c r="FT85" s="217"/>
      <c r="FU85" s="217"/>
      <c r="FV85" s="217"/>
      <c r="FW85" s="217"/>
      <c r="FX85" s="217"/>
      <c r="FY85" s="217"/>
      <c r="FZ85" s="217"/>
      <c r="GA85" s="217"/>
      <c r="GB85" s="217"/>
      <c r="GC85" s="217"/>
      <c r="GD85" s="217"/>
      <c r="GE85" s="217"/>
      <c r="GF85" s="217"/>
      <c r="GG85" s="217"/>
      <c r="GH85" s="217"/>
      <c r="GI85" s="217"/>
      <c r="GJ85" s="217"/>
      <c r="GK85" s="217"/>
      <c r="GL85" s="217"/>
      <c r="GM85" s="217"/>
      <c r="GN85" s="217"/>
      <c r="GO85" s="217"/>
      <c r="GP85" s="217"/>
      <c r="GQ85" s="217"/>
      <c r="GR85" s="217"/>
      <c r="GS85" s="217"/>
      <c r="GT85" s="217"/>
      <c r="GU85" s="217"/>
      <c r="GV85" s="217"/>
      <c r="GW85" s="217"/>
      <c r="GX85" s="217"/>
      <c r="GY85" s="217"/>
      <c r="GZ85" s="217"/>
      <c r="HA85" s="217"/>
      <c r="HB85" s="217"/>
      <c r="HC85" s="217"/>
      <c r="HD85" s="217"/>
      <c r="HE85" s="217"/>
      <c r="HF85" s="217"/>
      <c r="HG85" s="217"/>
      <c r="HH85" s="217"/>
      <c r="HI85" s="217"/>
      <c r="HJ85" s="217"/>
      <c r="HK85" s="217"/>
      <c r="HL85" s="217"/>
      <c r="HM85" s="217"/>
      <c r="HN85" s="217"/>
      <c r="HO85" s="217"/>
      <c r="HP85" s="217"/>
    </row>
    <row r="86" spans="1:224" s="222" customFormat="1" ht="36.75" hidden="1" thickBot="1" x14ac:dyDescent="0.25">
      <c r="A86" s="477"/>
      <c r="B86" s="219" t="s">
        <v>162</v>
      </c>
      <c r="C86" s="314" t="e">
        <f>C69/([1]STATION!B6*1000)</f>
        <v>#VALUE!</v>
      </c>
      <c r="D86" s="314">
        <f>D69/([1]STATION!C6*1000)</f>
        <v>4.5804721030042925</v>
      </c>
      <c r="E86" s="380">
        <f>E69/([1]STATION!D6*1000)</f>
        <v>4.3266888150609084</v>
      </c>
      <c r="F86" s="314">
        <f>F69/([1]STATION!E6*1000)</f>
        <v>4.4941733430444284</v>
      </c>
      <c r="G86" s="314">
        <f>G69/([1]STATION!F6*1000)</f>
        <v>3.6540460282108387</v>
      </c>
      <c r="H86" s="314">
        <f>H69/([1]STATION!G6*1000)</f>
        <v>3.4475075528700914</v>
      </c>
      <c r="I86" s="314">
        <f>I69/([1]STATION!H6*1000)</f>
        <v>3.1201888162672478</v>
      </c>
      <c r="J86" s="314">
        <f>J69/([1]STATION!I6*1000)</f>
        <v>3.0898752751283931</v>
      </c>
      <c r="K86" s="314">
        <f>K69/([1]STATION!J6*1000)</f>
        <v>3.3186813186813189</v>
      </c>
      <c r="L86" s="314">
        <f>L69/([1]STATION!K6*1000)</f>
        <v>3.454578620941263</v>
      </c>
      <c r="M86" s="314">
        <f>M69/([1]STATION!L6*1000)</f>
        <v>3.4996347699050401</v>
      </c>
      <c r="N86" s="314">
        <f>N69/([1]STATION!M6*1000)</f>
        <v>3.7570642201834867</v>
      </c>
      <c r="O86" s="314">
        <f>O69/([1]STATION!N6*1000)</f>
        <v>3.3169838945827235</v>
      </c>
      <c r="P86" s="314">
        <f>P69/([1]STATION!O6*1000)</f>
        <v>3.8806682577565623</v>
      </c>
      <c r="Q86" s="314">
        <f>Q69/([1]STATION!P6*1000)</f>
        <v>3.7220863895680529</v>
      </c>
      <c r="R86" s="314">
        <f>R69/([1]STATION!Q6*1000)</f>
        <v>4.0532754538279399</v>
      </c>
      <c r="S86" s="314">
        <f>S69/([1]STATION!R6*1000)</f>
        <v>4.129160063391442</v>
      </c>
      <c r="T86" s="314">
        <f>T69/([1]STATION!S6*1000)</f>
        <v>4.0558139534883724</v>
      </c>
      <c r="U86" s="314">
        <f>U69/([1]STATION!T6*1000)</f>
        <v>4.0229182582123757</v>
      </c>
      <c r="V86" s="314">
        <f>V69/([1]STATION!U6*1000)</f>
        <v>3.8603672532517215</v>
      </c>
      <c r="W86" s="314">
        <f>W69/([1]STATION!V6*1000)</f>
        <v>4.0752388535031852</v>
      </c>
      <c r="X86" s="314">
        <f>X69/([1]STATION!W6*1000)</f>
        <v>4.0817875210792582</v>
      </c>
      <c r="Y86" s="314">
        <f>Y69/([1]STATION!X6*1000)</f>
        <v>4.1216450216450218</v>
      </c>
      <c r="Z86" s="314">
        <f>Z69/([1]STATION!Y6*1000)</f>
        <v>4.0287947346770876</v>
      </c>
      <c r="AA86" s="314">
        <f>AA69/([1]STATION!Z6*1000)</f>
        <v>3.5834615384615383</v>
      </c>
      <c r="AB86" s="314">
        <f>AB69/([1]STATION!AA6*1000)</f>
        <v>3.2173913043478266</v>
      </c>
      <c r="AC86" s="314">
        <f>AC69/([1]STATION!AB6*1000)</f>
        <v>2.4772475027746945</v>
      </c>
      <c r="AD86" s="314">
        <f>AD69/([1]STATION!AC6*1000)</f>
        <v>2.1168929110105585</v>
      </c>
      <c r="AE86" s="314">
        <f>AE69/([1]STATION!AD6*1000)</f>
        <v>2.0221289584128197</v>
      </c>
      <c r="AF86" s="314">
        <f>AF69/([1]STATION!AE6*1000)</f>
        <v>2.6254282451465549</v>
      </c>
      <c r="AG86" s="314">
        <f>AG69/([1]STATION!AF6*1000)</f>
        <v>2.7313207547169811</v>
      </c>
      <c r="AH86" s="314">
        <f>AH69/([1]STATION!AG6*1000)</f>
        <v>3.1219235138205224</v>
      </c>
      <c r="AI86" s="314" t="e">
        <f>AI69/([1]STATION!AH6*1000)</f>
        <v>#REF!</v>
      </c>
      <c r="AJ86" s="220">
        <f>AJ69/(STATION!AG6*1000)</f>
        <v>3.5924207269914925</v>
      </c>
      <c r="AK86" s="221">
        <v>3.8618847768027478</v>
      </c>
      <c r="AL86" s="221"/>
      <c r="AM86" s="221"/>
      <c r="AN86" s="221"/>
      <c r="AO86" s="221"/>
      <c r="AP86" s="221"/>
      <c r="AQ86" s="221"/>
      <c r="AR86" s="221"/>
      <c r="AS86" s="221"/>
      <c r="AT86" s="221"/>
      <c r="AU86" s="221"/>
      <c r="AV86" s="221"/>
      <c r="AW86" s="221"/>
      <c r="AX86" s="221"/>
      <c r="AY86" s="221"/>
      <c r="AZ86" s="221"/>
      <c r="BA86" s="221"/>
      <c r="BB86" s="221"/>
      <c r="BC86" s="221"/>
      <c r="BD86" s="221"/>
      <c r="BE86" s="221"/>
      <c r="BF86" s="221"/>
      <c r="BG86" s="221"/>
      <c r="BH86" s="221"/>
      <c r="BI86" s="221"/>
      <c r="BJ86" s="221"/>
      <c r="BK86" s="221"/>
      <c r="BL86" s="221"/>
      <c r="BM86" s="221"/>
      <c r="BN86" s="221"/>
      <c r="BO86" s="221"/>
      <c r="BP86" s="221"/>
      <c r="BQ86" s="221"/>
      <c r="BR86" s="221"/>
      <c r="BS86" s="221"/>
      <c r="BT86" s="221"/>
      <c r="BU86" s="221"/>
      <c r="BV86" s="221"/>
      <c r="BW86" s="221"/>
      <c r="BX86" s="221"/>
      <c r="BY86" s="221"/>
      <c r="BZ86" s="221"/>
      <c r="CA86" s="221"/>
      <c r="CB86" s="221"/>
      <c r="CC86" s="221"/>
      <c r="CD86" s="221"/>
      <c r="CE86" s="221"/>
      <c r="CF86" s="221"/>
      <c r="CG86" s="221"/>
      <c r="CH86" s="221"/>
      <c r="CI86" s="221"/>
      <c r="CJ86" s="221"/>
      <c r="CK86" s="221"/>
      <c r="CL86" s="221"/>
      <c r="CM86" s="221"/>
      <c r="CN86" s="221"/>
      <c r="CO86" s="221"/>
      <c r="CP86" s="221"/>
      <c r="CQ86" s="221"/>
      <c r="CR86" s="221"/>
      <c r="CS86" s="221"/>
      <c r="CT86" s="221"/>
      <c r="CU86" s="221"/>
      <c r="CV86" s="221"/>
      <c r="CW86" s="221"/>
      <c r="CX86" s="221"/>
      <c r="CY86" s="221"/>
      <c r="CZ86" s="221"/>
      <c r="DA86" s="221"/>
      <c r="DB86" s="221"/>
      <c r="DC86" s="221"/>
      <c r="DD86" s="221"/>
      <c r="DE86" s="221"/>
      <c r="DF86" s="221"/>
      <c r="DG86" s="221"/>
      <c r="DH86" s="221"/>
      <c r="DI86" s="221"/>
      <c r="DJ86" s="221"/>
      <c r="DK86" s="221"/>
      <c r="DL86" s="221"/>
      <c r="DM86" s="221"/>
      <c r="DN86" s="221"/>
      <c r="DO86" s="221"/>
      <c r="DP86" s="221"/>
      <c r="DQ86" s="221"/>
      <c r="DR86" s="221"/>
      <c r="DS86" s="221"/>
      <c r="DT86" s="221"/>
      <c r="DU86" s="221"/>
      <c r="DV86" s="221"/>
      <c r="DW86" s="221"/>
      <c r="DX86" s="221"/>
      <c r="DY86" s="221"/>
      <c r="DZ86" s="221"/>
      <c r="EA86" s="221"/>
      <c r="EB86" s="221"/>
      <c r="EC86" s="221"/>
      <c r="ED86" s="221"/>
      <c r="EE86" s="221"/>
      <c r="EF86" s="221"/>
      <c r="EG86" s="221"/>
      <c r="EH86" s="221"/>
      <c r="EI86" s="221"/>
      <c r="EJ86" s="221"/>
      <c r="EK86" s="221"/>
      <c r="EL86" s="221"/>
      <c r="EM86" s="221"/>
      <c r="EN86" s="221"/>
      <c r="EO86" s="221"/>
      <c r="EP86" s="221"/>
      <c r="EQ86" s="221"/>
      <c r="ER86" s="221"/>
      <c r="ES86" s="221"/>
      <c r="ET86" s="221"/>
      <c r="EU86" s="221"/>
      <c r="EV86" s="221"/>
      <c r="EW86" s="221"/>
      <c r="EX86" s="221"/>
      <c r="EY86" s="221"/>
      <c r="EZ86" s="221"/>
      <c r="FA86" s="221"/>
      <c r="FB86" s="221"/>
      <c r="FC86" s="221"/>
      <c r="FD86" s="221"/>
      <c r="FE86" s="221"/>
      <c r="FF86" s="221"/>
      <c r="FG86" s="221"/>
      <c r="FH86" s="221"/>
      <c r="FI86" s="221"/>
      <c r="FJ86" s="221"/>
      <c r="FK86" s="221"/>
      <c r="FL86" s="221"/>
      <c r="FM86" s="221"/>
      <c r="FN86" s="221"/>
      <c r="FO86" s="221"/>
      <c r="FP86" s="221"/>
      <c r="FQ86" s="221"/>
      <c r="FR86" s="221"/>
      <c r="FS86" s="221"/>
      <c r="FT86" s="221"/>
      <c r="FU86" s="221"/>
      <c r="FV86" s="221"/>
      <c r="FW86" s="221"/>
      <c r="FX86" s="221"/>
      <c r="FY86" s="221"/>
      <c r="FZ86" s="221"/>
      <c r="GA86" s="221"/>
      <c r="GB86" s="221"/>
      <c r="GC86" s="221"/>
      <c r="GD86" s="221"/>
      <c r="GE86" s="221"/>
      <c r="GF86" s="221"/>
      <c r="GG86" s="221"/>
      <c r="GH86" s="221"/>
      <c r="GI86" s="221"/>
      <c r="GJ86" s="221"/>
      <c r="GK86" s="221"/>
      <c r="GL86" s="221"/>
      <c r="GM86" s="221"/>
      <c r="GN86" s="221"/>
      <c r="GO86" s="221"/>
      <c r="GP86" s="221"/>
      <c r="GQ86" s="221"/>
      <c r="GR86" s="221"/>
      <c r="GS86" s="221"/>
      <c r="GT86" s="221"/>
      <c r="GU86" s="221"/>
      <c r="GV86" s="221"/>
      <c r="GW86" s="221"/>
      <c r="GX86" s="221"/>
      <c r="GY86" s="221"/>
      <c r="GZ86" s="221"/>
      <c r="HA86" s="221"/>
      <c r="HB86" s="221"/>
      <c r="HC86" s="221"/>
      <c r="HD86" s="221"/>
      <c r="HE86" s="221"/>
      <c r="HF86" s="221"/>
      <c r="HG86" s="221"/>
      <c r="HH86" s="221"/>
      <c r="HI86" s="221"/>
      <c r="HJ86" s="221"/>
      <c r="HK86" s="221"/>
      <c r="HL86" s="221"/>
      <c r="HM86" s="221"/>
      <c r="HN86" s="221"/>
      <c r="HO86" s="221"/>
      <c r="HP86" s="221"/>
    </row>
    <row r="91" spans="1:224" x14ac:dyDescent="0.2">
      <c r="D91" s="233"/>
      <c r="E91" s="381"/>
      <c r="F91" s="233"/>
      <c r="G91" s="233"/>
      <c r="H91" s="233"/>
      <c r="I91" s="233"/>
      <c r="J91" s="233"/>
      <c r="K91" s="233"/>
      <c r="L91" s="233"/>
      <c r="M91" s="233"/>
    </row>
  </sheetData>
  <mergeCells count="8">
    <mergeCell ref="A69:A86"/>
    <mergeCell ref="A54:A67"/>
    <mergeCell ref="A1:AG1"/>
    <mergeCell ref="AJ1:AJ2"/>
    <mergeCell ref="A2:B2"/>
    <mergeCell ref="A3:A28"/>
    <mergeCell ref="A29:A39"/>
    <mergeCell ref="A40:A53"/>
  </mergeCells>
  <phoneticPr fontId="2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K291"/>
  <sheetViews>
    <sheetView tabSelected="1" zoomScale="90" zoomScaleNormal="90" workbookViewId="0">
      <pane xSplit="2" ySplit="2" topLeftCell="V3" activePane="bottomRight" state="frozen"/>
      <selection pane="topRight" activeCell="C1" sqref="C1"/>
      <selection pane="bottomLeft" activeCell="A4" sqref="A4"/>
      <selection pane="bottomRight" activeCell="A2" sqref="A2:B2"/>
    </sheetView>
  </sheetViews>
  <sheetFormatPr defaultColWidth="9.140625" defaultRowHeight="12.75" x14ac:dyDescent="0.2"/>
  <cols>
    <col min="1" max="1" width="8.28515625" style="35" customWidth="1"/>
    <col min="2" max="2" width="27.85546875" style="35" customWidth="1"/>
    <col min="3" max="3" width="12.5703125" style="35" customWidth="1"/>
    <col min="4" max="4" width="11.42578125" style="35" customWidth="1"/>
    <col min="5" max="5" width="11" style="35" bestFit="1" customWidth="1"/>
    <col min="6" max="6" width="12.5703125" style="35" customWidth="1"/>
    <col min="7" max="8" width="10.7109375" style="35" customWidth="1"/>
    <col min="9" max="9" width="10.7109375" style="61" customWidth="1"/>
    <col min="10" max="18" width="10.7109375" style="35" customWidth="1"/>
    <col min="19" max="19" width="11.85546875" style="35" customWidth="1"/>
    <col min="20" max="20" width="10.7109375" style="35" customWidth="1"/>
    <col min="21" max="21" width="10.7109375" style="59" customWidth="1"/>
    <col min="22" max="22" width="10.7109375" style="31" customWidth="1"/>
    <col min="23" max="25" width="10.7109375" style="35" customWidth="1"/>
    <col min="26" max="26" width="9.7109375" style="35" customWidth="1"/>
    <col min="27" max="28" width="10.7109375" style="35" customWidth="1"/>
    <col min="29" max="29" width="12.28515625" style="35" customWidth="1"/>
    <col min="30" max="32" width="10.7109375" style="35" customWidth="1"/>
    <col min="33" max="33" width="10.7109375" style="31" customWidth="1"/>
    <col min="34" max="34" width="11.28515625" style="404" customWidth="1"/>
    <col min="35" max="16384" width="9.140625" style="404"/>
  </cols>
  <sheetData>
    <row r="1" spans="1:63" ht="36" customHeight="1" x14ac:dyDescent="0.2">
      <c r="A1" s="492">
        <v>45413</v>
      </c>
      <c r="B1" s="493"/>
      <c r="C1" s="115" t="s">
        <v>535</v>
      </c>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291"/>
      <c r="AH1" s="403"/>
    </row>
    <row r="2" spans="1:63" ht="30" customHeight="1" x14ac:dyDescent="0.2">
      <c r="A2" s="496" t="s">
        <v>163</v>
      </c>
      <c r="B2" s="496"/>
      <c r="C2" s="344"/>
      <c r="D2" s="1">
        <v>1</v>
      </c>
      <c r="E2" s="1">
        <v>2</v>
      </c>
      <c r="F2" s="1">
        <v>3</v>
      </c>
      <c r="G2" s="1">
        <v>4</v>
      </c>
      <c r="H2" s="1">
        <v>5</v>
      </c>
      <c r="I2" s="34">
        <v>6</v>
      </c>
      <c r="J2" s="1">
        <v>7</v>
      </c>
      <c r="K2" s="1">
        <v>8</v>
      </c>
      <c r="L2" s="1">
        <v>9</v>
      </c>
      <c r="M2" s="1">
        <v>10</v>
      </c>
      <c r="N2" s="1">
        <v>11</v>
      </c>
      <c r="O2" s="1">
        <v>12</v>
      </c>
      <c r="P2" s="1">
        <v>13</v>
      </c>
      <c r="Q2" s="1">
        <v>14</v>
      </c>
      <c r="R2" s="1">
        <v>15</v>
      </c>
      <c r="S2" s="1">
        <v>16</v>
      </c>
      <c r="T2" s="1">
        <v>17</v>
      </c>
      <c r="U2" s="1">
        <v>18</v>
      </c>
      <c r="V2" s="1">
        <v>19</v>
      </c>
      <c r="W2" s="1">
        <v>20</v>
      </c>
      <c r="X2" s="1">
        <v>21</v>
      </c>
      <c r="Y2" s="1">
        <v>22</v>
      </c>
      <c r="Z2" s="1">
        <v>23</v>
      </c>
      <c r="AA2" s="1">
        <v>24</v>
      </c>
      <c r="AB2" s="1">
        <v>25</v>
      </c>
      <c r="AC2" s="1">
        <v>26</v>
      </c>
      <c r="AD2" s="1">
        <v>27</v>
      </c>
      <c r="AE2" s="1">
        <v>28</v>
      </c>
      <c r="AF2" s="1">
        <v>29</v>
      </c>
      <c r="AG2" s="1">
        <v>30</v>
      </c>
      <c r="AH2" s="405">
        <v>31</v>
      </c>
    </row>
    <row r="3" spans="1:63" ht="8.25" customHeight="1" x14ac:dyDescent="0.2">
      <c r="A3" s="494"/>
      <c r="B3" s="495"/>
      <c r="C3" s="495"/>
      <c r="D3" s="495"/>
      <c r="E3" s="495"/>
      <c r="F3" s="495"/>
      <c r="G3" s="495"/>
      <c r="H3" s="495"/>
      <c r="I3" s="495"/>
      <c r="J3" s="495"/>
      <c r="K3" s="495"/>
      <c r="L3" s="495"/>
      <c r="M3" s="495"/>
      <c r="N3" s="495"/>
      <c r="O3" s="495"/>
      <c r="P3" s="495"/>
      <c r="Q3" s="495"/>
      <c r="R3" s="495"/>
      <c r="S3" s="495"/>
      <c r="T3" s="495"/>
      <c r="U3" s="495"/>
      <c r="V3" s="495"/>
      <c r="W3" s="495"/>
      <c r="X3" s="495"/>
      <c r="Y3" s="495"/>
      <c r="Z3" s="495"/>
      <c r="AA3" s="495"/>
      <c r="AB3" s="495"/>
      <c r="AC3" s="495"/>
      <c r="AD3" s="495"/>
      <c r="AE3" s="495"/>
      <c r="AF3" s="495"/>
      <c r="AG3" s="495"/>
      <c r="AH3" s="503"/>
      <c r="AI3" s="503"/>
      <c r="AJ3" s="503"/>
      <c r="AK3" s="503"/>
      <c r="AL3" s="503"/>
      <c r="AM3" s="503"/>
      <c r="AN3" s="503"/>
      <c r="AO3" s="503"/>
      <c r="AP3" s="503"/>
      <c r="AQ3" s="503"/>
      <c r="AR3" s="503"/>
      <c r="AS3" s="503"/>
      <c r="AT3" s="503"/>
      <c r="AU3" s="503"/>
      <c r="AV3" s="503"/>
      <c r="AW3" s="503"/>
      <c r="AX3" s="503"/>
      <c r="AY3" s="503"/>
      <c r="AZ3" s="503"/>
      <c r="BA3" s="503"/>
      <c r="BB3" s="503"/>
      <c r="BC3" s="503"/>
      <c r="BD3" s="503"/>
      <c r="BE3" s="503"/>
      <c r="BF3" s="503"/>
      <c r="BG3" s="503"/>
      <c r="BH3" s="503"/>
      <c r="BI3" s="503"/>
      <c r="BJ3" s="503"/>
      <c r="BK3" s="503"/>
    </row>
    <row r="4" spans="1:63" ht="30" customHeight="1" x14ac:dyDescent="0.2">
      <c r="A4" s="497" t="s">
        <v>164</v>
      </c>
      <c r="B4" s="4" t="s">
        <v>165</v>
      </c>
      <c r="C4" s="36" t="s">
        <v>166</v>
      </c>
      <c r="D4" s="3">
        <f>Totalizer!D6-Totalizer!C6</f>
        <v>701</v>
      </c>
      <c r="E4" s="3">
        <f>Totalizer!E6-Totalizer!D6</f>
        <v>559</v>
      </c>
      <c r="F4" s="3">
        <f>Totalizer!F6-Totalizer!E6</f>
        <v>710</v>
      </c>
      <c r="G4" s="3">
        <f>Totalizer!G6-Totalizer!F6</f>
        <v>700</v>
      </c>
      <c r="H4" s="3">
        <f>Totalizer!H6-Totalizer!G6</f>
        <v>709</v>
      </c>
      <c r="I4" s="3">
        <f>Totalizer!I6-Totalizer!H6</f>
        <v>724</v>
      </c>
      <c r="J4" s="3">
        <f>Totalizer!J6-Totalizer!I6</f>
        <v>705</v>
      </c>
      <c r="K4" s="3">
        <f>Totalizer!K6-Totalizer!J6</f>
        <v>719</v>
      </c>
      <c r="L4" s="3">
        <f>Totalizer!L6-Totalizer!K6</f>
        <v>715</v>
      </c>
      <c r="M4" s="3">
        <f>Totalizer!M6-Totalizer!L6</f>
        <v>716</v>
      </c>
      <c r="N4" s="3">
        <f>Totalizer!N6-Totalizer!M6</f>
        <v>727</v>
      </c>
      <c r="O4" s="3">
        <f>Totalizer!O6-Totalizer!N6</f>
        <v>709</v>
      </c>
      <c r="P4" s="3">
        <f>Totalizer!P6-Totalizer!O6</f>
        <v>714</v>
      </c>
      <c r="Q4" s="3">
        <f>Totalizer!Q6-Totalizer!P6</f>
        <v>735</v>
      </c>
      <c r="R4" s="3">
        <f>Totalizer!R6-Totalizer!Q6</f>
        <v>702</v>
      </c>
      <c r="S4" s="3">
        <f>Totalizer!S6-Totalizer!R6</f>
        <v>718</v>
      </c>
      <c r="T4" s="3">
        <f>Totalizer!T6-Totalizer!S6</f>
        <v>719</v>
      </c>
      <c r="U4" s="3">
        <f>Totalizer!U6-Totalizer!T6</f>
        <v>707</v>
      </c>
      <c r="V4" s="3">
        <f>Totalizer!V6-Totalizer!U6</f>
        <v>706</v>
      </c>
      <c r="W4" s="3">
        <f>Totalizer!W6-Totalizer!V6</f>
        <v>699</v>
      </c>
      <c r="X4" s="3">
        <f>Totalizer!X6-Totalizer!W6</f>
        <v>696</v>
      </c>
      <c r="Y4" s="3">
        <f>Totalizer!Y6-Totalizer!X6</f>
        <v>721</v>
      </c>
      <c r="Z4" s="3">
        <f>Totalizer!Z6-Totalizer!Y6</f>
        <v>699</v>
      </c>
      <c r="AA4" s="3">
        <f>Totalizer!AA6-Totalizer!Z6</f>
        <v>704</v>
      </c>
      <c r="AB4" s="3">
        <f>Totalizer!AB6-Totalizer!AA6</f>
        <v>698</v>
      </c>
      <c r="AC4" s="3">
        <f>Totalizer!AC6-Totalizer!AB6</f>
        <v>706</v>
      </c>
      <c r="AD4" s="3">
        <f>Totalizer!AD6-Totalizer!AC6</f>
        <v>713</v>
      </c>
      <c r="AE4" s="3">
        <f>Totalizer!AE6-Totalizer!AD6</f>
        <v>600</v>
      </c>
      <c r="AF4" s="3">
        <f>Totalizer!AF6-Totalizer!AE6</f>
        <v>582</v>
      </c>
      <c r="AG4" s="3">
        <f>Totalizer!AG6-Totalizer!AF6</f>
        <v>601</v>
      </c>
      <c r="AH4" s="3">
        <f>Totalizer!AH6-Totalizer!AG6</f>
        <v>620</v>
      </c>
    </row>
    <row r="5" spans="1:63" ht="30" customHeight="1" x14ac:dyDescent="0.2">
      <c r="A5" s="497"/>
      <c r="B5" s="2" t="s">
        <v>61</v>
      </c>
      <c r="C5" s="36" t="s">
        <v>44</v>
      </c>
      <c r="D5" s="3">
        <v>31.621271133422852</v>
      </c>
      <c r="E5" s="3">
        <v>31.605892181396484</v>
      </c>
      <c r="F5" s="3">
        <v>30.928256988525391</v>
      </c>
      <c r="G5" s="3">
        <v>29.972089767456055</v>
      </c>
      <c r="H5" s="3">
        <v>32.571056365966797</v>
      </c>
      <c r="I5" s="3">
        <v>31.640256881713867</v>
      </c>
      <c r="J5" s="3">
        <v>31.594659805297852</v>
      </c>
      <c r="K5" s="3">
        <v>31.18406867980957</v>
      </c>
      <c r="L5" s="3">
        <v>31.681140899658203</v>
      </c>
      <c r="M5" s="3">
        <v>31.762226104736328</v>
      </c>
      <c r="N5" s="3">
        <v>31.134098052978516</v>
      </c>
      <c r="O5" s="3">
        <v>31.518112182617188</v>
      </c>
      <c r="P5" s="3">
        <v>32.790702819824219</v>
      </c>
      <c r="Q5" s="3">
        <v>31.298652648925781</v>
      </c>
      <c r="R5" s="3">
        <v>31.162277221679688</v>
      </c>
      <c r="S5" s="3">
        <v>32.396072387695313</v>
      </c>
      <c r="T5" s="3">
        <v>31.355415344238281</v>
      </c>
      <c r="U5" s="3">
        <v>31.355768203735352</v>
      </c>
      <c r="V5" s="3">
        <v>30.763269424438477</v>
      </c>
      <c r="W5" s="3">
        <v>30.294149398803711</v>
      </c>
      <c r="X5" s="3">
        <v>31.969791412353516</v>
      </c>
      <c r="Y5" s="3">
        <v>30.887666702270508</v>
      </c>
      <c r="Z5" s="3">
        <v>30.871799468994141</v>
      </c>
      <c r="AA5" s="3">
        <v>32.836341857910156</v>
      </c>
      <c r="AB5" s="3">
        <v>31.442155838012695</v>
      </c>
      <c r="AC5" s="3">
        <v>31.523828506469727</v>
      </c>
      <c r="AD5" s="3">
        <v>29.627738952636719</v>
      </c>
      <c r="AE5" s="3">
        <v>24.823572158813477</v>
      </c>
      <c r="AF5" s="3">
        <v>25.75628662109375</v>
      </c>
      <c r="AG5" s="3">
        <v>28.010343551635742</v>
      </c>
      <c r="AH5" s="406">
        <v>29.487539291381836</v>
      </c>
      <c r="AJ5" s="407" t="s">
        <v>447</v>
      </c>
    </row>
    <row r="6" spans="1:63" ht="30" customHeight="1" x14ac:dyDescent="0.2">
      <c r="A6" s="497"/>
      <c r="B6" s="2" t="s">
        <v>62</v>
      </c>
      <c r="C6" s="36" t="s">
        <v>44</v>
      </c>
      <c r="D6" s="3">
        <v>0</v>
      </c>
      <c r="E6" s="3">
        <v>-0.20113149285316467</v>
      </c>
      <c r="F6" s="3">
        <v>27.828977584838867</v>
      </c>
      <c r="G6" s="3">
        <v>27.439355850219727</v>
      </c>
      <c r="H6" s="3">
        <v>28.253860473632813</v>
      </c>
      <c r="I6" s="3">
        <v>28.403728485107422</v>
      </c>
      <c r="J6" s="3">
        <v>27.587505340576172</v>
      </c>
      <c r="K6" s="3">
        <v>28.290798187255859</v>
      </c>
      <c r="L6" s="3">
        <v>28.621391296386719</v>
      </c>
      <c r="M6" s="3">
        <v>28.593585968017578</v>
      </c>
      <c r="N6" s="3">
        <v>28.170442581176758</v>
      </c>
      <c r="O6" s="3">
        <v>27.867813110351563</v>
      </c>
      <c r="P6" s="3">
        <v>29.343244552612305</v>
      </c>
      <c r="Q6" s="3">
        <v>27.721420288085938</v>
      </c>
      <c r="R6" s="3">
        <v>28.060100555419922</v>
      </c>
      <c r="S6" s="3">
        <v>28.443161010742188</v>
      </c>
      <c r="T6" s="3">
        <v>27.508745193481445</v>
      </c>
      <c r="U6" s="3">
        <v>27.440338134765625</v>
      </c>
      <c r="V6" s="3">
        <v>27.745113372802734</v>
      </c>
      <c r="W6" s="3">
        <v>27.051284790039063</v>
      </c>
      <c r="X6" s="3">
        <v>28.409154891967773</v>
      </c>
      <c r="Y6" s="3">
        <v>28.002702713012695</v>
      </c>
      <c r="Z6" s="3">
        <v>27.684614181518555</v>
      </c>
      <c r="AA6" s="3">
        <v>28.259740829467773</v>
      </c>
      <c r="AB6" s="3">
        <v>26.444118499755859</v>
      </c>
      <c r="AC6" s="3">
        <v>28.320442199707031</v>
      </c>
      <c r="AD6" s="3">
        <v>23.394699096679688</v>
      </c>
      <c r="AE6" s="3">
        <v>23.622154235839844</v>
      </c>
      <c r="AF6" s="3">
        <v>23.225584030151367</v>
      </c>
      <c r="AG6" s="3">
        <v>24.199787139892578</v>
      </c>
      <c r="AH6" s="406">
        <v>25.256633758544922</v>
      </c>
    </row>
    <row r="7" spans="1:63" ht="30" customHeight="1" x14ac:dyDescent="0.2">
      <c r="A7" s="497" t="s">
        <v>167</v>
      </c>
      <c r="B7" s="4" t="s">
        <v>165</v>
      </c>
      <c r="C7" s="36" t="s">
        <v>166</v>
      </c>
      <c r="D7" s="3">
        <f>Totalizer!D7-Totalizer!C7</f>
        <v>722</v>
      </c>
      <c r="E7" s="3">
        <f>Totalizer!E7-Totalizer!D7</f>
        <v>581</v>
      </c>
      <c r="F7" s="3">
        <f>Totalizer!F7-Totalizer!E7</f>
        <v>709</v>
      </c>
      <c r="G7" s="3">
        <f>Totalizer!G7-Totalizer!F7</f>
        <v>713</v>
      </c>
      <c r="H7" s="3">
        <f>Totalizer!H7-Totalizer!G7</f>
        <v>698</v>
      </c>
      <c r="I7" s="3">
        <f>Totalizer!I7-Totalizer!H7</f>
        <v>724</v>
      </c>
      <c r="J7" s="3">
        <f>Totalizer!J7-Totalizer!I7</f>
        <v>711</v>
      </c>
      <c r="K7" s="3">
        <f>Totalizer!K7-Totalizer!J7</f>
        <v>704</v>
      </c>
      <c r="L7" s="3">
        <f>Totalizer!L7-Totalizer!K7</f>
        <v>736</v>
      </c>
      <c r="M7" s="3">
        <f>Totalizer!M7-Totalizer!L7</f>
        <v>708</v>
      </c>
      <c r="N7" s="3">
        <f>Totalizer!N7-Totalizer!M7</f>
        <v>725</v>
      </c>
      <c r="O7" s="3">
        <f>Totalizer!O7-Totalizer!N7</f>
        <v>725</v>
      </c>
      <c r="P7" s="3">
        <f>Totalizer!P7-Totalizer!O7</f>
        <v>711</v>
      </c>
      <c r="Q7" s="3">
        <f>Totalizer!Q7-Totalizer!P7</f>
        <v>731</v>
      </c>
      <c r="R7" s="3">
        <f>Totalizer!R7-Totalizer!Q7</f>
        <v>715</v>
      </c>
      <c r="S7" s="3">
        <f>Totalizer!S7-Totalizer!R7</f>
        <v>720</v>
      </c>
      <c r="T7" s="3">
        <f>Totalizer!T7-Totalizer!S7</f>
        <v>745</v>
      </c>
      <c r="U7" s="3">
        <f>Totalizer!U7-Totalizer!T7</f>
        <v>706</v>
      </c>
      <c r="V7" s="3">
        <f>Totalizer!V7-Totalizer!U7</f>
        <v>713</v>
      </c>
      <c r="W7" s="3">
        <f>Totalizer!W7-Totalizer!V7</f>
        <v>714</v>
      </c>
      <c r="X7" s="3">
        <f>Totalizer!X7-Totalizer!W7</f>
        <v>712</v>
      </c>
      <c r="Y7" s="3">
        <f>Totalizer!Y7-Totalizer!X7</f>
        <v>734</v>
      </c>
      <c r="Z7" s="3">
        <f>Totalizer!Z7-Totalizer!Y7</f>
        <v>719</v>
      </c>
      <c r="AA7" s="3">
        <f>Totalizer!AA7-Totalizer!Z7</f>
        <v>712</v>
      </c>
      <c r="AB7" s="3">
        <f>Totalizer!AB7-Totalizer!AA7</f>
        <v>718</v>
      </c>
      <c r="AC7" s="3">
        <f>Totalizer!AC7-Totalizer!AB7</f>
        <v>703</v>
      </c>
      <c r="AD7" s="3">
        <f>Totalizer!AD7-Totalizer!AC7</f>
        <v>691</v>
      </c>
      <c r="AE7" s="3">
        <f>Totalizer!AE7-Totalizer!AD7</f>
        <v>620</v>
      </c>
      <c r="AF7" s="3">
        <f>Totalizer!AF7-Totalizer!AE7</f>
        <v>596</v>
      </c>
      <c r="AG7" s="3">
        <f>Totalizer!AG7-Totalizer!AF7</f>
        <v>599</v>
      </c>
      <c r="AH7" s="3">
        <f>Totalizer!AH7-Totalizer!AG7</f>
        <v>635</v>
      </c>
    </row>
    <row r="8" spans="1:63" ht="30" customHeight="1" x14ac:dyDescent="0.2">
      <c r="A8" s="497"/>
      <c r="B8" s="2" t="s">
        <v>61</v>
      </c>
      <c r="C8" s="36" t="s">
        <v>44</v>
      </c>
      <c r="D8" s="3">
        <v>32.397857666015625</v>
      </c>
      <c r="E8" s="3">
        <v>31.802087783813477</v>
      </c>
      <c r="F8" s="3">
        <v>31.624446868896484</v>
      </c>
      <c r="G8" s="3">
        <v>31.156606674194336</v>
      </c>
      <c r="H8" s="3">
        <v>31.839155197143555</v>
      </c>
      <c r="I8" s="3">
        <v>32.436599731445313</v>
      </c>
      <c r="J8" s="3">
        <v>32.074569702148438</v>
      </c>
      <c r="K8" s="3">
        <v>32.607875823974609</v>
      </c>
      <c r="L8" s="3">
        <v>31.40192985534668</v>
      </c>
      <c r="M8" s="3">
        <v>32.695243835449219</v>
      </c>
      <c r="N8" s="3">
        <v>32.359237670898438</v>
      </c>
      <c r="O8" s="3">
        <v>31.390010833740234</v>
      </c>
      <c r="P8" s="3">
        <v>31.953319549560547</v>
      </c>
      <c r="Q8" s="3">
        <v>31.938791275024414</v>
      </c>
      <c r="R8" s="3">
        <v>31.526756286621094</v>
      </c>
      <c r="S8" s="3">
        <v>33.346992492675781</v>
      </c>
      <c r="T8" s="3">
        <v>31.237079620361328</v>
      </c>
      <c r="U8" s="3">
        <v>31.757421493530273</v>
      </c>
      <c r="V8" s="3">
        <v>32.182811737060547</v>
      </c>
      <c r="W8" s="3">
        <v>31.690528869628906</v>
      </c>
      <c r="X8" s="3">
        <v>32.168777465820313</v>
      </c>
      <c r="Y8" s="3">
        <v>32.610683441162109</v>
      </c>
      <c r="Z8" s="3">
        <v>32.154129028320313</v>
      </c>
      <c r="AA8" s="3">
        <v>32.451759338378906</v>
      </c>
      <c r="AB8" s="3">
        <v>31.195096969604492</v>
      </c>
      <c r="AC8" s="3">
        <v>30.652359008789063</v>
      </c>
      <c r="AD8" s="3">
        <v>29.613534927368164</v>
      </c>
      <c r="AE8" s="3">
        <v>26.486257553100586</v>
      </c>
      <c r="AF8" s="3">
        <v>26.125185012817383</v>
      </c>
      <c r="AG8" s="3">
        <v>27.831226348876953</v>
      </c>
      <c r="AH8" s="406">
        <v>28.983316421508789</v>
      </c>
    </row>
    <row r="9" spans="1:63" ht="30" customHeight="1" x14ac:dyDescent="0.2">
      <c r="A9" s="497"/>
      <c r="B9" s="2" t="s">
        <v>62</v>
      </c>
      <c r="C9" s="36" t="s">
        <v>44</v>
      </c>
      <c r="D9" s="3">
        <v>0</v>
      </c>
      <c r="E9" s="3">
        <v>0</v>
      </c>
      <c r="F9" s="3">
        <v>27.897478103637695</v>
      </c>
      <c r="G9" s="3">
        <v>27.741909027099609</v>
      </c>
      <c r="H9" s="3">
        <v>28.306221008300781</v>
      </c>
      <c r="I9" s="3">
        <v>28.248390197753906</v>
      </c>
      <c r="J9" s="3">
        <v>27.001081466674805</v>
      </c>
      <c r="K9" s="3">
        <v>29.089303970336914</v>
      </c>
      <c r="L9" s="3">
        <v>27.247785568237305</v>
      </c>
      <c r="M9" s="3">
        <v>27.178716659545898</v>
      </c>
      <c r="N9" s="3">
        <v>29.111789703369141</v>
      </c>
      <c r="O9" s="3">
        <v>28.268405914306641</v>
      </c>
      <c r="P9" s="3">
        <v>27.538862228393555</v>
      </c>
      <c r="Q9" s="3">
        <v>28.037933349609375</v>
      </c>
      <c r="R9" s="3">
        <v>28.598978042602539</v>
      </c>
      <c r="S9" s="3">
        <v>28.282505035400391</v>
      </c>
      <c r="T9" s="3">
        <v>27.239646911621094</v>
      </c>
      <c r="U9" s="3">
        <v>27.53996467590332</v>
      </c>
      <c r="V9" s="3">
        <v>28.241891860961914</v>
      </c>
      <c r="W9" s="3">
        <v>27.261615753173828</v>
      </c>
      <c r="X9" s="3">
        <v>28.659389495849609</v>
      </c>
      <c r="Y9" s="3">
        <v>28.013404846191406</v>
      </c>
      <c r="Z9" s="3">
        <v>28.339778900146484</v>
      </c>
      <c r="AA9" s="3">
        <v>28.240398406982422</v>
      </c>
      <c r="AB9" s="3">
        <v>27.966238021850586</v>
      </c>
      <c r="AC9" s="3">
        <v>27.744705200195313</v>
      </c>
      <c r="AD9" s="3">
        <v>24.138837814331055</v>
      </c>
      <c r="AE9" s="3">
        <v>24.023691177368164</v>
      </c>
      <c r="AF9" s="3">
        <v>23.734445571899414</v>
      </c>
      <c r="AG9" s="3">
        <v>24.869720458984375</v>
      </c>
      <c r="AH9" s="406">
        <v>25.780115127563477</v>
      </c>
    </row>
    <row r="10" spans="1:63" ht="30" customHeight="1" x14ac:dyDescent="0.2">
      <c r="A10" s="497" t="s">
        <v>168</v>
      </c>
      <c r="B10" s="4" t="s">
        <v>165</v>
      </c>
      <c r="C10" s="36" t="s">
        <v>166</v>
      </c>
      <c r="D10" s="3">
        <f>Totalizer!D8-Totalizer!C8</f>
        <v>677</v>
      </c>
      <c r="E10" s="3">
        <f>Totalizer!E8-Totalizer!D8</f>
        <v>525</v>
      </c>
      <c r="F10" s="3">
        <f>Totalizer!F8-Totalizer!E8</f>
        <v>692</v>
      </c>
      <c r="G10" s="3">
        <f>Totalizer!G8-Totalizer!F8</f>
        <v>703</v>
      </c>
      <c r="H10" s="3">
        <f>Totalizer!H8-Totalizer!G8</f>
        <v>702</v>
      </c>
      <c r="I10" s="3">
        <f>Totalizer!I8-Totalizer!H8</f>
        <v>699</v>
      </c>
      <c r="J10" s="3">
        <f>Totalizer!J8-Totalizer!I8</f>
        <v>698</v>
      </c>
      <c r="K10" s="3">
        <f>Totalizer!K8-Totalizer!J8</f>
        <v>706</v>
      </c>
      <c r="L10" s="3">
        <f>Totalizer!L8-Totalizer!K8</f>
        <v>706</v>
      </c>
      <c r="M10" s="3">
        <f>Totalizer!M8-Totalizer!L8</f>
        <v>699</v>
      </c>
      <c r="N10" s="3">
        <f>Totalizer!N8-Totalizer!M8</f>
        <v>717</v>
      </c>
      <c r="O10" s="3">
        <f>Totalizer!O8-Totalizer!N8</f>
        <v>691</v>
      </c>
      <c r="P10" s="3">
        <f>Totalizer!P8-Totalizer!O8</f>
        <v>718</v>
      </c>
      <c r="Q10" s="3">
        <f>Totalizer!Q8-Totalizer!P8</f>
        <v>721</v>
      </c>
      <c r="R10" s="3">
        <f>Totalizer!R8-Totalizer!Q8</f>
        <v>697</v>
      </c>
      <c r="S10" s="3">
        <f>Totalizer!S8-Totalizer!R8</f>
        <v>739</v>
      </c>
      <c r="T10" s="3">
        <f>Totalizer!T8-Totalizer!S8</f>
        <v>713</v>
      </c>
      <c r="U10" s="3">
        <f>Totalizer!U8-Totalizer!T8</f>
        <v>713</v>
      </c>
      <c r="V10" s="3">
        <f>Totalizer!V8-Totalizer!U8</f>
        <v>715</v>
      </c>
      <c r="W10" s="3">
        <f>Totalizer!W8-Totalizer!V8</f>
        <v>696</v>
      </c>
      <c r="X10" s="3">
        <f>Totalizer!X8-Totalizer!W8</f>
        <v>720</v>
      </c>
      <c r="Y10" s="3">
        <f>Totalizer!Y8-Totalizer!X8</f>
        <v>740</v>
      </c>
      <c r="Z10" s="3">
        <f>Totalizer!Z8-Totalizer!Y8</f>
        <v>716</v>
      </c>
      <c r="AA10" s="3">
        <f>Totalizer!AA8-Totalizer!Z8</f>
        <v>727</v>
      </c>
      <c r="AB10" s="3">
        <f>Totalizer!AB8-Totalizer!AA8</f>
        <v>727</v>
      </c>
      <c r="AC10" s="3">
        <f>Totalizer!AC8-Totalizer!AB8</f>
        <v>711</v>
      </c>
      <c r="AD10" s="3">
        <f>Totalizer!AD8-Totalizer!AC8</f>
        <v>717</v>
      </c>
      <c r="AE10" s="3">
        <f>Totalizer!AE8-Totalizer!AD8</f>
        <v>592</v>
      </c>
      <c r="AF10" s="3">
        <f>Totalizer!AF8-Totalizer!AE8</f>
        <v>576</v>
      </c>
      <c r="AG10" s="3">
        <f>Totalizer!AG8-Totalizer!AF8</f>
        <v>568</v>
      </c>
      <c r="AH10" s="3">
        <f>Totalizer!AH8-Totalizer!AG8</f>
        <v>626</v>
      </c>
    </row>
    <row r="11" spans="1:63" ht="30" customHeight="1" x14ac:dyDescent="0.2">
      <c r="A11" s="497"/>
      <c r="B11" s="2" t="s">
        <v>61</v>
      </c>
      <c r="C11" s="36" t="s">
        <v>44</v>
      </c>
      <c r="D11" s="3">
        <v>30.887096405029297</v>
      </c>
      <c r="E11" s="3">
        <v>30.926092147827148</v>
      </c>
      <c r="F11" s="3">
        <v>31.492586135864258</v>
      </c>
      <c r="G11" s="3">
        <v>31.541322708129883</v>
      </c>
      <c r="H11" s="3">
        <v>30.204339981079102</v>
      </c>
      <c r="I11" s="3">
        <v>30.694513320922852</v>
      </c>
      <c r="J11" s="3">
        <v>31.082845687866211</v>
      </c>
      <c r="K11" s="3">
        <v>31.225326538085938</v>
      </c>
      <c r="L11" s="3">
        <v>30.685413360595703</v>
      </c>
      <c r="M11" s="3">
        <v>31.657838821411133</v>
      </c>
      <c r="N11" s="3">
        <v>30.341184616088867</v>
      </c>
      <c r="O11" s="3">
        <v>31.737611770629883</v>
      </c>
      <c r="P11" s="3">
        <v>31.846794128417969</v>
      </c>
      <c r="Q11" s="3">
        <v>30.304952621459961</v>
      </c>
      <c r="R11" s="3">
        <v>32.627174377441406</v>
      </c>
      <c r="S11" s="3">
        <v>32.319137573242188</v>
      </c>
      <c r="T11" s="3">
        <v>31.485071182250977</v>
      </c>
      <c r="U11" s="3">
        <v>32.222759246826172</v>
      </c>
      <c r="V11" s="3">
        <v>30.541990280151367</v>
      </c>
      <c r="W11" s="3">
        <v>31.27294921875</v>
      </c>
      <c r="X11" s="3">
        <v>32.613632202148438</v>
      </c>
      <c r="Y11" s="3">
        <v>32.137058258056641</v>
      </c>
      <c r="Z11" s="3">
        <v>32.433067321777344</v>
      </c>
      <c r="AA11" s="3">
        <v>31.265924453735352</v>
      </c>
      <c r="AB11" s="3">
        <v>32.232444763183594</v>
      </c>
      <c r="AC11" s="3">
        <v>31.344951629638672</v>
      </c>
      <c r="AD11" s="3">
        <v>31.512189865112305</v>
      </c>
      <c r="AE11" s="3">
        <v>25.07194709777832</v>
      </c>
      <c r="AF11" s="3">
        <v>25.307550430297852</v>
      </c>
      <c r="AG11" s="3">
        <v>27.438413619995117</v>
      </c>
      <c r="AH11" s="406">
        <v>28.025009155273438</v>
      </c>
    </row>
    <row r="12" spans="1:63" ht="30" customHeight="1" x14ac:dyDescent="0.2">
      <c r="A12" s="497"/>
      <c r="B12" s="2" t="s">
        <v>62</v>
      </c>
      <c r="C12" s="36" t="s">
        <v>44</v>
      </c>
      <c r="D12" s="3">
        <v>0</v>
      </c>
      <c r="E12" s="3">
        <v>0</v>
      </c>
      <c r="F12" s="3">
        <v>28.426445007324219</v>
      </c>
      <c r="G12" s="3">
        <v>26.657154083251953</v>
      </c>
      <c r="H12" s="3">
        <v>28.201770782470703</v>
      </c>
      <c r="I12" s="3">
        <v>27.017288208007813</v>
      </c>
      <c r="J12" s="3">
        <v>27.338106155395508</v>
      </c>
      <c r="K12" s="3">
        <v>27.828954696655273</v>
      </c>
      <c r="L12" s="3">
        <v>27.724510192871094</v>
      </c>
      <c r="M12" s="3">
        <v>28.381940841674805</v>
      </c>
      <c r="N12" s="3">
        <v>27.465133666992188</v>
      </c>
      <c r="O12" s="3">
        <v>28.225376129150391</v>
      </c>
      <c r="P12" s="3">
        <v>28.560586929321289</v>
      </c>
      <c r="Q12" s="3">
        <v>27.279607772827148</v>
      </c>
      <c r="R12" s="3">
        <v>28.896528244018555</v>
      </c>
      <c r="S12" s="3">
        <v>28.432161331176758</v>
      </c>
      <c r="T12" s="3">
        <v>28.196481704711914</v>
      </c>
      <c r="U12" s="3">
        <v>27.749750137329102</v>
      </c>
      <c r="V12" s="3">
        <v>28.365928649902344</v>
      </c>
      <c r="W12" s="3">
        <v>28.050355911254883</v>
      </c>
      <c r="X12" s="3">
        <v>28.680212020874023</v>
      </c>
      <c r="Y12" s="3">
        <v>28.083118438720703</v>
      </c>
      <c r="Z12" s="3">
        <v>28.036815643310547</v>
      </c>
      <c r="AA12" s="3">
        <v>28.949468612670898</v>
      </c>
      <c r="AB12" s="3">
        <v>29.168224334716797</v>
      </c>
      <c r="AC12" s="3">
        <v>28.056573867797852</v>
      </c>
      <c r="AD12" s="3">
        <v>23.549877166748047</v>
      </c>
      <c r="AE12" s="3">
        <v>23.093894958496094</v>
      </c>
      <c r="AF12" s="3">
        <v>22.469476699829102</v>
      </c>
      <c r="AG12" s="3">
        <v>22.782400131225586</v>
      </c>
      <c r="AH12" s="406">
        <v>24.764968872070313</v>
      </c>
    </row>
    <row r="13" spans="1:63" ht="30" customHeight="1" x14ac:dyDescent="0.2">
      <c r="A13" s="497" t="s">
        <v>169</v>
      </c>
      <c r="B13" s="4" t="s">
        <v>165</v>
      </c>
      <c r="C13" s="36" t="s">
        <v>166</v>
      </c>
      <c r="D13" s="3">
        <f>Totalizer!D9-Totalizer!C9</f>
        <v>649</v>
      </c>
      <c r="E13" s="3">
        <f>Totalizer!E9-Totalizer!D9</f>
        <v>527</v>
      </c>
      <c r="F13" s="3">
        <f>Totalizer!F9-Totalizer!E9</f>
        <v>664</v>
      </c>
      <c r="G13" s="3">
        <f>Totalizer!G9-Totalizer!F9</f>
        <v>662</v>
      </c>
      <c r="H13" s="3">
        <f>Totalizer!H9-Totalizer!G9</f>
        <v>676</v>
      </c>
      <c r="I13" s="3">
        <f>Totalizer!I9-Totalizer!H9</f>
        <v>663</v>
      </c>
      <c r="J13" s="3">
        <f>Totalizer!J9-Totalizer!I9</f>
        <v>674</v>
      </c>
      <c r="K13" s="3">
        <f>Totalizer!K9-Totalizer!J9</f>
        <v>702</v>
      </c>
      <c r="L13" s="3">
        <f>Totalizer!L9-Totalizer!K9</f>
        <v>684</v>
      </c>
      <c r="M13" s="3">
        <f>Totalizer!M9-Totalizer!L9</f>
        <v>703</v>
      </c>
      <c r="N13" s="3">
        <f>Totalizer!N9-Totalizer!M9</f>
        <v>711</v>
      </c>
      <c r="O13" s="3">
        <f>Totalizer!O9-Totalizer!N9</f>
        <v>675</v>
      </c>
      <c r="P13" s="3">
        <f>Totalizer!P9-Totalizer!O9</f>
        <v>702</v>
      </c>
      <c r="Q13" s="3">
        <f>Totalizer!Q9-Totalizer!P9</f>
        <v>709</v>
      </c>
      <c r="R13" s="3">
        <f>Totalizer!R9-Totalizer!Q9</f>
        <v>684</v>
      </c>
      <c r="S13" s="3">
        <f>Totalizer!S9-Totalizer!R9</f>
        <v>707</v>
      </c>
      <c r="T13" s="3">
        <f>Totalizer!T9-Totalizer!S9</f>
        <v>696</v>
      </c>
      <c r="U13" s="3">
        <f>Totalizer!U9-Totalizer!T9</f>
        <v>690</v>
      </c>
      <c r="V13" s="3">
        <f>Totalizer!V9-Totalizer!U9</f>
        <v>679</v>
      </c>
      <c r="W13" s="3">
        <f>Totalizer!W9-Totalizer!V9</f>
        <v>662</v>
      </c>
      <c r="X13" s="3">
        <f>Totalizer!X9-Totalizer!W9</f>
        <v>699</v>
      </c>
      <c r="Y13" s="3">
        <f>Totalizer!Y9-Totalizer!X9</f>
        <v>705</v>
      </c>
      <c r="Z13" s="3">
        <f>Totalizer!Z9-Totalizer!Y9</f>
        <v>690</v>
      </c>
      <c r="AA13" s="3">
        <f>Totalizer!AA9-Totalizer!Z9</f>
        <v>694</v>
      </c>
      <c r="AB13" s="3">
        <f>Totalizer!AB9-Totalizer!AA9</f>
        <v>691</v>
      </c>
      <c r="AC13" s="3">
        <f>Totalizer!AC9-Totalizer!AB9</f>
        <v>697</v>
      </c>
      <c r="AD13" s="3">
        <f>Totalizer!AD9-Totalizer!AC9</f>
        <v>660</v>
      </c>
      <c r="AE13" s="3">
        <f>Totalizer!AE9-Totalizer!AD9</f>
        <v>560</v>
      </c>
      <c r="AF13" s="3">
        <f>Totalizer!AF9-Totalizer!AE9</f>
        <v>561</v>
      </c>
      <c r="AG13" s="3">
        <f>Totalizer!AG9-Totalizer!AF9</f>
        <v>569</v>
      </c>
      <c r="AH13" s="3">
        <f>Totalizer!AH9-Totalizer!AG9</f>
        <v>615</v>
      </c>
    </row>
    <row r="14" spans="1:63" ht="30" customHeight="1" x14ac:dyDescent="0.2">
      <c r="A14" s="497"/>
      <c r="B14" s="2" t="s">
        <v>61</v>
      </c>
      <c r="C14" s="36" t="s">
        <v>44</v>
      </c>
      <c r="D14" s="3">
        <v>29.990747451782227</v>
      </c>
      <c r="E14" s="3">
        <v>30.447040557861328</v>
      </c>
      <c r="F14" s="3">
        <v>30.027767181396484</v>
      </c>
      <c r="G14" s="3">
        <v>29.777851104736328</v>
      </c>
      <c r="H14" s="3">
        <v>29.92352294921875</v>
      </c>
      <c r="I14" s="3">
        <v>28.487037658691406</v>
      </c>
      <c r="J14" s="3">
        <v>29.456398010253906</v>
      </c>
      <c r="K14" s="3">
        <v>31.161403656005859</v>
      </c>
      <c r="L14" s="3">
        <v>30.478021621704102</v>
      </c>
      <c r="M14" s="3">
        <v>31.506446838378906</v>
      </c>
      <c r="N14" s="3">
        <v>31.565681457519531</v>
      </c>
      <c r="O14" s="3">
        <v>30.876354217529297</v>
      </c>
      <c r="P14" s="3">
        <v>31.350475311279297</v>
      </c>
      <c r="Q14" s="3">
        <v>31.393556594848633</v>
      </c>
      <c r="R14" s="3">
        <v>30.916202545166016</v>
      </c>
      <c r="S14" s="3">
        <v>31.153261184692383</v>
      </c>
      <c r="T14" s="3">
        <v>30.848640441894531</v>
      </c>
      <c r="U14" s="3">
        <v>30.418666839599609</v>
      </c>
      <c r="V14" s="3">
        <v>30.792074203491211</v>
      </c>
      <c r="W14" s="3">
        <v>30.129823684692383</v>
      </c>
      <c r="X14" s="3">
        <v>30.72966194152832</v>
      </c>
      <c r="Y14" s="3">
        <v>30.767377853393555</v>
      </c>
      <c r="Z14" s="3">
        <v>30.643577575683594</v>
      </c>
      <c r="AA14" s="3">
        <v>30.221549987792969</v>
      </c>
      <c r="AB14" s="3">
        <v>32.210853576660156</v>
      </c>
      <c r="AC14" s="3">
        <v>30.206811904907227</v>
      </c>
      <c r="AD14" s="3">
        <v>30.596918106079102</v>
      </c>
      <c r="AE14" s="3">
        <v>23.739105224609375</v>
      </c>
      <c r="AF14" s="3">
        <v>24.112106323242188</v>
      </c>
      <c r="AG14" s="3">
        <v>25.630119323730469</v>
      </c>
      <c r="AH14" s="406">
        <v>28.368242263793945</v>
      </c>
    </row>
    <row r="15" spans="1:63" ht="30" customHeight="1" x14ac:dyDescent="0.2">
      <c r="A15" s="497"/>
      <c r="B15" s="2" t="s">
        <v>62</v>
      </c>
      <c r="C15" s="36" t="s">
        <v>44</v>
      </c>
      <c r="D15" s="3">
        <v>0</v>
      </c>
      <c r="E15" s="3">
        <v>0</v>
      </c>
      <c r="F15" s="3">
        <v>25.970735549926758</v>
      </c>
      <c r="G15" s="3">
        <v>26.558771133422852</v>
      </c>
      <c r="H15" s="3">
        <v>26.544548034667969</v>
      </c>
      <c r="I15" s="3">
        <v>25.954071044921875</v>
      </c>
      <c r="J15" s="3">
        <v>27.559982299804688</v>
      </c>
      <c r="K15" s="3">
        <v>28.180221557617188</v>
      </c>
      <c r="L15" s="3">
        <v>26.412982940673828</v>
      </c>
      <c r="M15" s="3">
        <v>27.697042465209961</v>
      </c>
      <c r="N15" s="3">
        <v>26.500986099243164</v>
      </c>
      <c r="O15" s="3">
        <v>26.708045959472656</v>
      </c>
      <c r="P15" s="3">
        <v>27.959102630615234</v>
      </c>
      <c r="Q15" s="3">
        <v>26.953899383544922</v>
      </c>
      <c r="R15" s="3">
        <v>26.911550521850586</v>
      </c>
      <c r="S15" s="3">
        <v>27.933757781982422</v>
      </c>
      <c r="T15" s="3">
        <v>26.97740364074707</v>
      </c>
      <c r="U15" s="3">
        <v>27.077930450439453</v>
      </c>
      <c r="V15" s="3">
        <v>25.744602203369141</v>
      </c>
      <c r="W15" s="3">
        <v>26.422124862670898</v>
      </c>
      <c r="X15" s="3">
        <v>27.678354263305664</v>
      </c>
      <c r="Y15" s="3">
        <v>27.022308349609375</v>
      </c>
      <c r="Z15" s="3">
        <v>27.340044021606445</v>
      </c>
      <c r="AA15" s="3">
        <v>26.65278434753418</v>
      </c>
      <c r="AB15" s="3">
        <v>27.398614883422852</v>
      </c>
      <c r="AC15" s="3">
        <v>27.392629623413086</v>
      </c>
      <c r="AD15" s="3">
        <v>22.728126525878906</v>
      </c>
      <c r="AE15" s="3">
        <v>22.554183959960938</v>
      </c>
      <c r="AF15" s="3">
        <v>22.163530349731445</v>
      </c>
      <c r="AG15" s="3">
        <v>23.454395294189453</v>
      </c>
      <c r="AH15" s="406">
        <v>25.15336799621582</v>
      </c>
    </row>
    <row r="16" spans="1:63" ht="30" customHeight="1" x14ac:dyDescent="0.2">
      <c r="A16" s="497" t="s">
        <v>170</v>
      </c>
      <c r="B16" s="4" t="s">
        <v>165</v>
      </c>
      <c r="C16" s="36" t="s">
        <v>166</v>
      </c>
      <c r="D16" s="3">
        <f>Totalizer!D10-Totalizer!C10</f>
        <v>719</v>
      </c>
      <c r="E16" s="3">
        <f>Totalizer!E10-Totalizer!D10</f>
        <v>531</v>
      </c>
      <c r="F16" s="3">
        <f>Totalizer!F10-Totalizer!E10</f>
        <v>694</v>
      </c>
      <c r="G16" s="3">
        <f>Totalizer!G10-Totalizer!F10</f>
        <v>719</v>
      </c>
      <c r="H16" s="3">
        <f>Totalizer!H10-Totalizer!G10</f>
        <v>691</v>
      </c>
      <c r="I16" s="3">
        <f>Totalizer!I10-Totalizer!H10</f>
        <v>701</v>
      </c>
      <c r="J16" s="3">
        <f>Totalizer!J10-Totalizer!I10</f>
        <v>691</v>
      </c>
      <c r="K16" s="3">
        <f>Totalizer!K10-Totalizer!J10</f>
        <v>695</v>
      </c>
      <c r="L16" s="3">
        <f>Totalizer!L10-Totalizer!K10</f>
        <v>709</v>
      </c>
      <c r="M16" s="3">
        <f>Totalizer!M10-Totalizer!L10</f>
        <v>699</v>
      </c>
      <c r="N16" s="3">
        <f>Totalizer!N10-Totalizer!M10</f>
        <v>716</v>
      </c>
      <c r="O16" s="3">
        <f>Totalizer!O10-Totalizer!N10</f>
        <v>732</v>
      </c>
      <c r="P16" s="3">
        <f>Totalizer!P10-Totalizer!O10</f>
        <v>721</v>
      </c>
      <c r="Q16" s="3">
        <f>Totalizer!Q10-Totalizer!P10</f>
        <v>739</v>
      </c>
      <c r="R16" s="3">
        <f>Totalizer!R10-Totalizer!Q10</f>
        <v>729</v>
      </c>
      <c r="S16" s="3">
        <f>Totalizer!S10-Totalizer!R10</f>
        <v>750</v>
      </c>
      <c r="T16" s="3">
        <f>Totalizer!T10-Totalizer!S10</f>
        <v>744</v>
      </c>
      <c r="U16" s="3">
        <f>Totalizer!U10-Totalizer!T10</f>
        <v>728</v>
      </c>
      <c r="V16" s="3">
        <f>Totalizer!V10-Totalizer!U10</f>
        <v>714</v>
      </c>
      <c r="W16" s="3">
        <f>Totalizer!W10-Totalizer!V10</f>
        <v>720</v>
      </c>
      <c r="X16" s="3">
        <f>Totalizer!X10-Totalizer!W10</f>
        <v>735</v>
      </c>
      <c r="Y16" s="3">
        <f>Totalizer!Y10-Totalizer!X10</f>
        <v>693</v>
      </c>
      <c r="Z16" s="3">
        <f>Totalizer!Z10-Totalizer!Y10</f>
        <v>714</v>
      </c>
      <c r="AA16" s="3">
        <f>Totalizer!AA10-Totalizer!Z10</f>
        <v>685</v>
      </c>
      <c r="AB16" s="3">
        <f>Totalizer!AB10-Totalizer!AA10</f>
        <v>473</v>
      </c>
      <c r="AC16" s="3">
        <f>Totalizer!AC10-Totalizer!AB10</f>
        <v>372</v>
      </c>
      <c r="AD16" s="3">
        <f>Totalizer!AD10-Totalizer!AC10</f>
        <v>650</v>
      </c>
      <c r="AE16" s="3">
        <f>Totalizer!AE10-Totalizer!AD10</f>
        <v>596</v>
      </c>
      <c r="AF16" s="3">
        <f>Totalizer!AF10-Totalizer!AE10</f>
        <v>598</v>
      </c>
      <c r="AG16" s="3">
        <f>Totalizer!AG10-Totalizer!AF10</f>
        <v>618</v>
      </c>
      <c r="AH16" s="3">
        <f>Totalizer!AH10-Totalizer!AG10</f>
        <v>667</v>
      </c>
    </row>
    <row r="17" spans="1:35" ht="30" customHeight="1" x14ac:dyDescent="0.2">
      <c r="A17" s="497"/>
      <c r="B17" s="2" t="s">
        <v>61</v>
      </c>
      <c r="C17" s="36" t="s">
        <v>44</v>
      </c>
      <c r="D17" s="3">
        <v>32.106231689453125</v>
      </c>
      <c r="E17" s="3">
        <v>31.481794357299805</v>
      </c>
      <c r="F17" s="3">
        <v>31.942129135131836</v>
      </c>
      <c r="G17" s="3">
        <v>31.685874938964844</v>
      </c>
      <c r="H17" s="3">
        <v>30.423046112060547</v>
      </c>
      <c r="I17" s="3">
        <v>31.400577545166016</v>
      </c>
      <c r="J17" s="3">
        <v>30.347589492797852</v>
      </c>
      <c r="K17" s="3">
        <v>32.048866271972656</v>
      </c>
      <c r="L17" s="3">
        <v>31.1375732421875</v>
      </c>
      <c r="M17" s="3">
        <v>31.401760101318359</v>
      </c>
      <c r="N17" s="3">
        <v>31.966760635375977</v>
      </c>
      <c r="O17" s="3">
        <v>31.908515930175781</v>
      </c>
      <c r="P17" s="3">
        <v>32.855323791503906</v>
      </c>
      <c r="Q17" s="3">
        <v>32.969451904296875</v>
      </c>
      <c r="R17" s="3">
        <v>31.855184555053711</v>
      </c>
      <c r="S17" s="3">
        <v>33.561958312988281</v>
      </c>
      <c r="T17" s="3">
        <v>33.158824920654297</v>
      </c>
      <c r="U17" s="3">
        <v>32.764900207519531</v>
      </c>
      <c r="V17" s="3">
        <v>31.17677116394043</v>
      </c>
      <c r="W17" s="3">
        <v>31.82269287109375</v>
      </c>
      <c r="X17" s="3">
        <v>33.376285552978516</v>
      </c>
      <c r="Y17" s="3">
        <v>30.917343139648438</v>
      </c>
      <c r="Z17" s="3">
        <v>31.69450569152832</v>
      </c>
      <c r="AA17" s="3">
        <v>30.768775939941406</v>
      </c>
      <c r="AB17" s="3">
        <v>29.436712265014648</v>
      </c>
      <c r="AC17" s="3">
        <v>30.778493881225586</v>
      </c>
      <c r="AD17" s="3">
        <v>28.647321701049805</v>
      </c>
      <c r="AE17" s="3">
        <v>25.831687927246094</v>
      </c>
      <c r="AF17" s="3">
        <v>26.534646987915039</v>
      </c>
      <c r="AG17" s="3">
        <v>28.510217666625977</v>
      </c>
      <c r="AH17" s="406">
        <v>29.770130157470703</v>
      </c>
    </row>
    <row r="18" spans="1:35" ht="30" customHeight="1" x14ac:dyDescent="0.2">
      <c r="A18" s="497"/>
      <c r="B18" s="2" t="s">
        <v>62</v>
      </c>
      <c r="C18" s="36" t="s">
        <v>44</v>
      </c>
      <c r="D18" s="3">
        <v>0</v>
      </c>
      <c r="E18" s="3">
        <v>0</v>
      </c>
      <c r="F18" s="3">
        <v>27.855562210083008</v>
      </c>
      <c r="G18" s="3">
        <v>27.19732666015625</v>
      </c>
      <c r="H18" s="3">
        <v>27.188907623291016</v>
      </c>
      <c r="I18" s="3">
        <v>26.896682739257813</v>
      </c>
      <c r="J18" s="3">
        <v>27.570140838623047</v>
      </c>
      <c r="K18" s="3">
        <v>27.875886917114258</v>
      </c>
      <c r="L18" s="3">
        <v>28.113191604614258</v>
      </c>
      <c r="M18" s="3">
        <v>27.901458740234375</v>
      </c>
      <c r="N18" s="3">
        <v>28.225923538208008</v>
      </c>
      <c r="O18" s="3">
        <v>28.606042861938477</v>
      </c>
      <c r="P18" s="3">
        <v>28.603494644165039</v>
      </c>
      <c r="Q18" s="3">
        <v>28.528154373168945</v>
      </c>
      <c r="R18" s="3">
        <v>28.386795043945313</v>
      </c>
      <c r="S18" s="3">
        <v>30.099496841430664</v>
      </c>
      <c r="T18" s="3">
        <v>29.929780960083008</v>
      </c>
      <c r="U18" s="3">
        <v>27.674045562744141</v>
      </c>
      <c r="V18" s="3">
        <v>27.523635864257813</v>
      </c>
      <c r="W18" s="3">
        <v>29.065715789794922</v>
      </c>
      <c r="X18" s="3">
        <v>25.741975784301758</v>
      </c>
      <c r="Y18" s="3">
        <v>27.823326110839844</v>
      </c>
      <c r="Z18" s="3">
        <v>27.097064971923828</v>
      </c>
      <c r="AA18" s="3">
        <v>26.923610687255859</v>
      </c>
      <c r="AB18" s="3">
        <v>0</v>
      </c>
      <c r="AC18" s="3">
        <v>10.132150650024414</v>
      </c>
      <c r="AD18" s="3">
        <v>23.501070022583008</v>
      </c>
      <c r="AE18" s="223">
        <v>23.074800491333008</v>
      </c>
      <c r="AF18" s="223">
        <v>23.889093399047852</v>
      </c>
      <c r="AG18" s="223">
        <v>25.382081985473633</v>
      </c>
      <c r="AH18" s="408">
        <v>26.566989898681641</v>
      </c>
    </row>
    <row r="19" spans="1:35" ht="30" customHeight="1" x14ac:dyDescent="0.2">
      <c r="A19" s="497" t="s">
        <v>171</v>
      </c>
      <c r="B19" s="4" t="s">
        <v>165</v>
      </c>
      <c r="C19" s="36" t="s">
        <v>166</v>
      </c>
      <c r="D19" s="3">
        <f>Totalizer!D11-Totalizer!C11</f>
        <v>723</v>
      </c>
      <c r="E19" s="3">
        <f>Totalizer!E11-Totalizer!D11</f>
        <v>597</v>
      </c>
      <c r="F19" s="3">
        <f>Totalizer!F11-Totalizer!E11</f>
        <v>712</v>
      </c>
      <c r="G19" s="3">
        <f>Totalizer!G11-Totalizer!F11</f>
        <v>742</v>
      </c>
      <c r="H19" s="3">
        <f>Totalizer!H11-Totalizer!G11</f>
        <v>730</v>
      </c>
      <c r="I19" s="3">
        <f>Totalizer!I11-Totalizer!H11</f>
        <v>718</v>
      </c>
      <c r="J19" s="3">
        <f>Totalizer!J11-Totalizer!I11</f>
        <v>718</v>
      </c>
      <c r="K19" s="3">
        <f>Totalizer!K11-Totalizer!J11</f>
        <v>732</v>
      </c>
      <c r="L19" s="3">
        <f>Totalizer!L11-Totalizer!K11</f>
        <v>725</v>
      </c>
      <c r="M19" s="3">
        <f>Totalizer!M11-Totalizer!L11</f>
        <v>746</v>
      </c>
      <c r="N19" s="3">
        <f>Totalizer!N11-Totalizer!M11</f>
        <v>746</v>
      </c>
      <c r="O19" s="3">
        <f>Totalizer!O11-Totalizer!N11</f>
        <v>738</v>
      </c>
      <c r="P19" s="3">
        <f>Totalizer!P11-Totalizer!O11</f>
        <v>748</v>
      </c>
      <c r="Q19" s="3">
        <f>Totalizer!Q11-Totalizer!P11</f>
        <v>754</v>
      </c>
      <c r="R19" s="3">
        <f>Totalizer!R11-Totalizer!Q11</f>
        <v>748</v>
      </c>
      <c r="S19" s="3">
        <f>Totalizer!S11-Totalizer!R11</f>
        <v>749</v>
      </c>
      <c r="T19" s="3">
        <f>Totalizer!T11-Totalizer!S11</f>
        <v>747</v>
      </c>
      <c r="U19" s="3">
        <f>Totalizer!U11-Totalizer!T11</f>
        <v>749</v>
      </c>
      <c r="V19" s="3">
        <f>Totalizer!V11-Totalizer!U11</f>
        <v>728</v>
      </c>
      <c r="W19" s="3">
        <f>Totalizer!W11-Totalizer!V11</f>
        <v>743</v>
      </c>
      <c r="X19" s="3">
        <f>Totalizer!X11-Totalizer!W11</f>
        <v>747</v>
      </c>
      <c r="Y19" s="3">
        <f>Totalizer!Y11-Totalizer!X11</f>
        <v>727</v>
      </c>
      <c r="Z19" s="3">
        <f>Totalizer!Z11-Totalizer!Y11</f>
        <v>745</v>
      </c>
      <c r="AA19" s="3">
        <f>Totalizer!AA11-Totalizer!Z11</f>
        <v>719</v>
      </c>
      <c r="AB19" s="3">
        <f>Totalizer!AB11-Totalizer!AA11</f>
        <v>728</v>
      </c>
      <c r="AC19" s="3">
        <f>Totalizer!AC11-Totalizer!AB11</f>
        <v>737</v>
      </c>
      <c r="AD19" s="3">
        <f>Totalizer!AD11-Totalizer!AC11</f>
        <v>677</v>
      </c>
      <c r="AE19" s="3">
        <f>Totalizer!AE11-Totalizer!AD11</f>
        <v>601</v>
      </c>
      <c r="AF19" s="3">
        <f>Totalizer!AF11-Totalizer!AE11</f>
        <v>614</v>
      </c>
      <c r="AG19" s="3">
        <f>Totalizer!AG11-Totalizer!AF11</f>
        <v>640</v>
      </c>
      <c r="AH19" s="3">
        <f>Totalizer!AH11-Totalizer!AG11</f>
        <v>661</v>
      </c>
    </row>
    <row r="20" spans="1:35" ht="30" customHeight="1" x14ac:dyDescent="0.2">
      <c r="A20" s="497"/>
      <c r="B20" s="2" t="s">
        <v>61</v>
      </c>
      <c r="C20" s="36" t="s">
        <v>44</v>
      </c>
      <c r="D20" s="3">
        <v>32.326934814453125</v>
      </c>
      <c r="E20" s="3">
        <v>31.140171051025391</v>
      </c>
      <c r="F20" s="3">
        <v>31.60554313659668</v>
      </c>
      <c r="G20" s="3">
        <v>32.347282409667969</v>
      </c>
      <c r="H20" s="3">
        <v>31.340204238891602</v>
      </c>
      <c r="I20" s="3">
        <v>31.29327392578125</v>
      </c>
      <c r="J20" s="3">
        <v>32.185398101806641</v>
      </c>
      <c r="K20" s="3">
        <v>31.521484375</v>
      </c>
      <c r="L20" s="3">
        <v>32.55340576171875</v>
      </c>
      <c r="M20" s="3">
        <v>32.720020294189453</v>
      </c>
      <c r="N20" s="3">
        <v>32.511222839355469</v>
      </c>
      <c r="O20" s="3">
        <v>32.332199096679688</v>
      </c>
      <c r="P20" s="3">
        <v>32.797275543212891</v>
      </c>
      <c r="Q20" s="3">
        <v>32.929126739501953</v>
      </c>
      <c r="R20" s="3">
        <v>32.293994903564453</v>
      </c>
      <c r="S20" s="3">
        <v>32.741001129150391</v>
      </c>
      <c r="T20" s="3">
        <v>33.355873107910156</v>
      </c>
      <c r="U20" s="3">
        <v>33.000419616699219</v>
      </c>
      <c r="V20" s="3">
        <v>32.755111694335938</v>
      </c>
      <c r="W20" s="3">
        <v>32.583301544189453</v>
      </c>
      <c r="X20" s="3">
        <v>32.411838531494141</v>
      </c>
      <c r="Y20" s="3">
        <v>32.807647705078125</v>
      </c>
      <c r="Z20" s="3">
        <v>32.967678070068359</v>
      </c>
      <c r="AA20" s="3">
        <v>30.901439666748047</v>
      </c>
      <c r="AB20" s="3">
        <v>32.830089569091797</v>
      </c>
      <c r="AC20" s="3">
        <v>32.923381805419922</v>
      </c>
      <c r="AD20" s="3">
        <v>31.301109313964844</v>
      </c>
      <c r="AE20" s="3">
        <v>25.123882293701172</v>
      </c>
      <c r="AF20" s="3">
        <v>27.811912536621094</v>
      </c>
      <c r="AG20" s="3">
        <v>28.452503204345703</v>
      </c>
      <c r="AH20" s="406">
        <v>31.142620086669922</v>
      </c>
    </row>
    <row r="21" spans="1:35" ht="30" customHeight="1" x14ac:dyDescent="0.2">
      <c r="A21" s="497"/>
      <c r="B21" s="2" t="s">
        <v>62</v>
      </c>
      <c r="C21" s="36" t="s">
        <v>44</v>
      </c>
      <c r="D21" s="3">
        <v>0</v>
      </c>
      <c r="E21" s="3">
        <v>0</v>
      </c>
      <c r="F21" s="3">
        <v>28.323183059692383</v>
      </c>
      <c r="G21" s="3">
        <v>29.918527603149414</v>
      </c>
      <c r="H21" s="3">
        <v>28.106481552124023</v>
      </c>
      <c r="I21" s="3">
        <v>28.413103103637695</v>
      </c>
      <c r="J21" s="3">
        <v>29.112987518310547</v>
      </c>
      <c r="K21" s="3">
        <v>29.067850112915039</v>
      </c>
      <c r="L21" s="3">
        <v>28.64228630065918</v>
      </c>
      <c r="M21" s="3">
        <v>29.616998672485352</v>
      </c>
      <c r="N21" s="3">
        <v>29.450405120849609</v>
      </c>
      <c r="O21" s="3">
        <v>29.284694671630859</v>
      </c>
      <c r="P21" s="3">
        <v>29.761579513549805</v>
      </c>
      <c r="Q21" s="3">
        <v>29.542903900146484</v>
      </c>
      <c r="R21" s="3">
        <v>30.259714126586914</v>
      </c>
      <c r="S21" s="3">
        <v>29.929615020751953</v>
      </c>
      <c r="T21" s="3">
        <v>28.94914436340332</v>
      </c>
      <c r="U21" s="3">
        <v>28.173748016357422</v>
      </c>
      <c r="V21" s="3">
        <v>29.091487884521484</v>
      </c>
      <c r="W21" s="3">
        <v>29.646633148193359</v>
      </c>
      <c r="X21" s="3">
        <v>27.880344390869141</v>
      </c>
      <c r="Y21" s="3">
        <v>29.271137237548828</v>
      </c>
      <c r="Z21" s="3">
        <v>29.206727981567383</v>
      </c>
      <c r="AA21" s="3">
        <v>28.666099548339844</v>
      </c>
      <c r="AB21" s="3">
        <v>28.766368865966797</v>
      </c>
      <c r="AC21" s="3">
        <v>27.946243286132813</v>
      </c>
      <c r="AD21" s="3">
        <v>24.792980194091797</v>
      </c>
      <c r="AE21" s="3">
        <v>24.034183502197266</v>
      </c>
      <c r="AF21" s="3">
        <v>25.59821891784668</v>
      </c>
      <c r="AG21" s="3">
        <v>25.911996841430664</v>
      </c>
      <c r="AH21" s="406">
        <v>26.753688812255859</v>
      </c>
    </row>
    <row r="22" spans="1:35" ht="30" customHeight="1" x14ac:dyDescent="0.2">
      <c r="A22" s="497" t="s">
        <v>172</v>
      </c>
      <c r="B22" s="4" t="s">
        <v>165</v>
      </c>
      <c r="C22" s="36" t="s">
        <v>166</v>
      </c>
      <c r="D22" s="3">
        <f>Totalizer!D12-Totalizer!C12</f>
        <v>549</v>
      </c>
      <c r="E22" s="3">
        <f>Totalizer!E12-Totalizer!D12</f>
        <v>590</v>
      </c>
      <c r="F22" s="3">
        <f>Totalizer!F12-Totalizer!E12</f>
        <v>652</v>
      </c>
      <c r="G22" s="3">
        <f>Totalizer!G12-Totalizer!F12</f>
        <v>666</v>
      </c>
      <c r="H22" s="3">
        <f>Totalizer!H12-Totalizer!G12</f>
        <v>651</v>
      </c>
      <c r="I22" s="3">
        <f>Totalizer!I12-Totalizer!H12</f>
        <v>669</v>
      </c>
      <c r="J22" s="3">
        <f>Totalizer!J12-Totalizer!I12</f>
        <v>661</v>
      </c>
      <c r="K22" s="3">
        <f>Totalizer!K12-Totalizer!J12</f>
        <v>581</v>
      </c>
      <c r="L22" s="3">
        <f>Totalizer!L12-Totalizer!K12</f>
        <v>511</v>
      </c>
      <c r="M22" s="3">
        <f>Totalizer!M12-Totalizer!L12</f>
        <v>562</v>
      </c>
      <c r="N22" s="3">
        <f>Totalizer!N12-Totalizer!M12</f>
        <v>605</v>
      </c>
      <c r="O22" s="3">
        <f>Totalizer!O12-Totalizer!N12</f>
        <v>658</v>
      </c>
      <c r="P22" s="3">
        <f>Totalizer!P12-Totalizer!O12</f>
        <v>662</v>
      </c>
      <c r="Q22" s="3">
        <f>Totalizer!Q12-Totalizer!P12</f>
        <v>668</v>
      </c>
      <c r="R22" s="3">
        <f>Totalizer!R12-Totalizer!Q12</f>
        <v>686</v>
      </c>
      <c r="S22" s="3">
        <f>Totalizer!S12-Totalizer!R12</f>
        <v>667</v>
      </c>
      <c r="T22" s="3">
        <f>Totalizer!T12-Totalizer!S12</f>
        <v>667</v>
      </c>
      <c r="U22" s="3">
        <f>Totalizer!U12-Totalizer!T12</f>
        <v>674</v>
      </c>
      <c r="V22" s="3">
        <f>Totalizer!V12-Totalizer!U12</f>
        <v>662</v>
      </c>
      <c r="W22" s="3">
        <f>Totalizer!W12-Totalizer!V12</f>
        <v>682</v>
      </c>
      <c r="X22" s="3">
        <f>Totalizer!X12-Totalizer!W12</f>
        <v>671</v>
      </c>
      <c r="Y22" s="3">
        <f>Totalizer!Y12-Totalizer!X12</f>
        <v>689</v>
      </c>
      <c r="Z22" s="3">
        <f>Totalizer!Z12-Totalizer!Y12</f>
        <v>678</v>
      </c>
      <c r="AA22" s="3">
        <f>Totalizer!AA12-Totalizer!Z12</f>
        <v>660</v>
      </c>
      <c r="AB22" s="3">
        <f>Totalizer!AB12-Totalizer!AA12</f>
        <v>195</v>
      </c>
      <c r="AC22" s="3">
        <f>Totalizer!AC12-Totalizer!AB12</f>
        <v>666</v>
      </c>
      <c r="AD22" s="3">
        <f>Totalizer!AD12-Totalizer!AC12</f>
        <v>560</v>
      </c>
      <c r="AE22" s="3">
        <f>Totalizer!AE12-Totalizer!AD12</f>
        <v>548</v>
      </c>
      <c r="AF22" s="3">
        <f>Totalizer!AF12-Totalizer!AE12</f>
        <v>572</v>
      </c>
      <c r="AG22" s="3">
        <f>Totalizer!AG12-Totalizer!AF12</f>
        <v>587</v>
      </c>
      <c r="AH22" s="3">
        <f>Totalizer!AH12-Totalizer!AG12</f>
        <v>618</v>
      </c>
      <c r="AI22" s="406"/>
    </row>
    <row r="23" spans="1:35" ht="30" customHeight="1" x14ac:dyDescent="0.2">
      <c r="A23" s="497"/>
      <c r="B23" s="2" t="s">
        <v>61</v>
      </c>
      <c r="C23" s="36" t="s">
        <v>44</v>
      </c>
      <c r="D23" s="3">
        <v>30.515010833740234</v>
      </c>
      <c r="E23" s="3">
        <v>29.353067398071289</v>
      </c>
      <c r="F23" s="3">
        <v>29.937871932983398</v>
      </c>
      <c r="G23" s="3">
        <v>30.476543426513672</v>
      </c>
      <c r="H23" s="3">
        <v>28.500192642211914</v>
      </c>
      <c r="I23" s="3">
        <v>29.21339225769043</v>
      </c>
      <c r="J23" s="3">
        <v>28.78162956237793</v>
      </c>
      <c r="K23" s="3">
        <v>28.763582229614258</v>
      </c>
      <c r="L23" s="3">
        <v>24.654781341552734</v>
      </c>
      <c r="M23" s="3">
        <v>24.598093032836914</v>
      </c>
      <c r="N23" s="3">
        <v>27.205043792724609</v>
      </c>
      <c r="O23" s="3">
        <v>29.238443374633789</v>
      </c>
      <c r="P23" s="3">
        <v>28.895696640014648</v>
      </c>
      <c r="Q23" s="3">
        <v>29.938316345214844</v>
      </c>
      <c r="R23" s="3">
        <v>30.160114288330078</v>
      </c>
      <c r="S23" s="3">
        <v>30.218107223510742</v>
      </c>
      <c r="T23" s="3">
        <v>29.948352813720703</v>
      </c>
      <c r="U23" s="3">
        <v>29.436450958251953</v>
      </c>
      <c r="V23" s="3">
        <v>29.126308441162109</v>
      </c>
      <c r="W23" s="3">
        <v>29.778579711914063</v>
      </c>
      <c r="X23" s="3">
        <v>29.922758102416992</v>
      </c>
      <c r="Y23" s="3">
        <v>30.328878402709961</v>
      </c>
      <c r="Z23" s="3">
        <v>29.629476547241211</v>
      </c>
      <c r="AA23" s="3">
        <v>29.421663284301758</v>
      </c>
      <c r="AB23" s="3">
        <v>29.309412002563477</v>
      </c>
      <c r="AC23" s="3">
        <v>29.973575592041016</v>
      </c>
      <c r="AD23" s="3">
        <v>25.789823532104492</v>
      </c>
      <c r="AE23" s="3">
        <v>24.34284782409668</v>
      </c>
      <c r="AF23" s="3">
        <v>25.111083984375</v>
      </c>
      <c r="AG23" s="3">
        <v>26.230928421020508</v>
      </c>
      <c r="AH23" s="406">
        <v>27.073877334594727</v>
      </c>
    </row>
    <row r="24" spans="1:35" ht="30" customHeight="1" x14ac:dyDescent="0.2">
      <c r="A24" s="497"/>
      <c r="B24" s="2" t="s">
        <v>62</v>
      </c>
      <c r="C24" s="36" t="s">
        <v>44</v>
      </c>
      <c r="D24" s="3">
        <v>0</v>
      </c>
      <c r="E24" s="3">
        <v>0</v>
      </c>
      <c r="F24" s="3">
        <v>24.695318222045898</v>
      </c>
      <c r="G24" s="3">
        <v>26.078729629516602</v>
      </c>
      <c r="H24" s="3">
        <v>26.185384750366211</v>
      </c>
      <c r="I24" s="3">
        <v>26.663446426391602</v>
      </c>
      <c r="J24" s="3">
        <v>26.010416030883789</v>
      </c>
      <c r="K24" s="3">
        <v>19.80872917175293</v>
      </c>
      <c r="L24" s="3">
        <v>18.389848709106445</v>
      </c>
      <c r="M24" s="3">
        <v>22.521255493164063</v>
      </c>
      <c r="N24" s="3">
        <v>23.380573272705078</v>
      </c>
      <c r="O24" s="3">
        <v>25.723033905029297</v>
      </c>
      <c r="P24" s="3">
        <v>26.346427917480469</v>
      </c>
      <c r="Q24" s="3">
        <v>25.954540252685547</v>
      </c>
      <c r="R24" s="3">
        <v>27.252532958984375</v>
      </c>
      <c r="S24" s="3">
        <v>23.910581588745117</v>
      </c>
      <c r="T24" s="3">
        <v>26.370903015136719</v>
      </c>
      <c r="U24" s="3">
        <v>26.673620223999023</v>
      </c>
      <c r="V24" s="3">
        <v>26.481218338012695</v>
      </c>
      <c r="W24" s="3">
        <v>27.008045196533203</v>
      </c>
      <c r="X24" s="3">
        <v>22.402141571044922</v>
      </c>
      <c r="Y24" s="3">
        <v>27.286060333251953</v>
      </c>
      <c r="Z24" s="3">
        <v>26.673067092895508</v>
      </c>
      <c r="AA24" s="3">
        <v>26.407079696655273</v>
      </c>
      <c r="AB24" s="3">
        <v>0</v>
      </c>
      <c r="AC24" s="3">
        <v>25.14586067199707</v>
      </c>
      <c r="AD24" s="3">
        <v>21.701728820800781</v>
      </c>
      <c r="AE24" s="3">
        <v>21.832530975341797</v>
      </c>
      <c r="AF24" s="3">
        <v>22.056827545166016</v>
      </c>
      <c r="AG24" s="3">
        <v>23.088443756103516</v>
      </c>
      <c r="AH24" s="406">
        <v>24.625297546386719</v>
      </c>
    </row>
    <row r="25" spans="1:35" ht="30" customHeight="1" x14ac:dyDescent="0.2">
      <c r="A25" s="497" t="s">
        <v>173</v>
      </c>
      <c r="B25" s="4" t="s">
        <v>165</v>
      </c>
      <c r="C25" s="36" t="s">
        <v>166</v>
      </c>
      <c r="D25" s="3">
        <f>Totalizer!D13-Totalizer!C13</f>
        <v>599</v>
      </c>
      <c r="E25" s="3">
        <f>Totalizer!E13-Totalizer!D13</f>
        <v>573</v>
      </c>
      <c r="F25" s="3">
        <f>Totalizer!F13-Totalizer!E13</f>
        <v>753</v>
      </c>
      <c r="G25" s="3">
        <f>Totalizer!G13-Totalizer!F13</f>
        <v>745</v>
      </c>
      <c r="H25" s="3">
        <f>Totalizer!H13-Totalizer!G13</f>
        <v>712</v>
      </c>
      <c r="I25" s="3">
        <f>Totalizer!I13-Totalizer!H13</f>
        <v>738</v>
      </c>
      <c r="J25" s="3">
        <f>Totalizer!J13-Totalizer!I13</f>
        <v>748</v>
      </c>
      <c r="K25" s="3">
        <f>Totalizer!K13-Totalizer!J13</f>
        <v>626</v>
      </c>
      <c r="L25" s="3">
        <f>Totalizer!L13-Totalizer!K13</f>
        <v>543</v>
      </c>
      <c r="M25" s="3">
        <f>Totalizer!M13-Totalizer!L13</f>
        <v>638</v>
      </c>
      <c r="N25" s="3">
        <f>Totalizer!N13-Totalizer!M13</f>
        <v>639</v>
      </c>
      <c r="O25" s="3">
        <f>Totalizer!O13-Totalizer!N13</f>
        <v>688</v>
      </c>
      <c r="P25" s="3">
        <f>Totalizer!P13-Totalizer!O13</f>
        <v>740</v>
      </c>
      <c r="Q25" s="3">
        <f>Totalizer!Q13-Totalizer!P13</f>
        <v>723</v>
      </c>
      <c r="R25" s="3">
        <f>Totalizer!R13-Totalizer!Q13</f>
        <v>736</v>
      </c>
      <c r="S25" s="3">
        <f>Totalizer!S13-Totalizer!R13</f>
        <v>746</v>
      </c>
      <c r="T25" s="3">
        <f>Totalizer!T13-Totalizer!S13</f>
        <v>714</v>
      </c>
      <c r="U25" s="3">
        <f>Totalizer!U13-Totalizer!T13</f>
        <v>748</v>
      </c>
      <c r="V25" s="3">
        <f>Totalizer!V13-Totalizer!U13</f>
        <v>724</v>
      </c>
      <c r="W25" s="3">
        <f>Totalizer!W13-Totalizer!V13</f>
        <v>720</v>
      </c>
      <c r="X25" s="3">
        <f>Totalizer!X13-Totalizer!W13</f>
        <v>746</v>
      </c>
      <c r="Y25" s="3">
        <f>Totalizer!Y13-Totalizer!X13</f>
        <v>734</v>
      </c>
      <c r="Z25" s="3">
        <f>Totalizer!Z13-Totalizer!Y13</f>
        <v>728</v>
      </c>
      <c r="AA25" s="3">
        <f>Totalizer!AA13-Totalizer!Z13</f>
        <v>738</v>
      </c>
      <c r="AB25" s="3">
        <f>Totalizer!AB13-Totalizer!AA13</f>
        <v>177</v>
      </c>
      <c r="AC25" s="3">
        <f>Totalizer!AC13-Totalizer!AB13</f>
        <v>724</v>
      </c>
      <c r="AD25" s="3">
        <f>Totalizer!AD13-Totalizer!AC13</f>
        <v>626</v>
      </c>
      <c r="AE25" s="3">
        <f>Totalizer!AE13-Totalizer!AD13</f>
        <v>587</v>
      </c>
      <c r="AF25" s="3">
        <f>Totalizer!AF13-Totalizer!AE13</f>
        <v>619</v>
      </c>
      <c r="AG25" s="3">
        <f>Totalizer!AG13-Totalizer!AF13</f>
        <v>628</v>
      </c>
      <c r="AH25" s="3">
        <f>Totalizer!AH13-Totalizer!AG13</f>
        <v>638</v>
      </c>
    </row>
    <row r="26" spans="1:35" ht="30" customHeight="1" x14ac:dyDescent="0.2">
      <c r="A26" s="497"/>
      <c r="B26" s="2" t="s">
        <v>61</v>
      </c>
      <c r="C26" s="36" t="s">
        <v>44</v>
      </c>
      <c r="D26" s="3">
        <v>33.135097503662109</v>
      </c>
      <c r="E26" s="3">
        <v>31.857233047485352</v>
      </c>
      <c r="F26" s="3">
        <v>31.551519393920898</v>
      </c>
      <c r="G26" s="3">
        <v>32.544033050537109</v>
      </c>
      <c r="H26" s="3">
        <v>31.103033065795898</v>
      </c>
      <c r="I26" s="3">
        <v>34.161823272705078</v>
      </c>
      <c r="J26" s="3">
        <v>33.734874725341797</v>
      </c>
      <c r="K26" s="3">
        <v>31.47191047668457</v>
      </c>
      <c r="L26" s="3">
        <v>26.272104263305664</v>
      </c>
      <c r="M26" s="3">
        <v>29.145875930786133</v>
      </c>
      <c r="N26" s="3">
        <v>28.251800537109375</v>
      </c>
      <c r="O26" s="3">
        <v>31.135723114013672</v>
      </c>
      <c r="P26" s="3">
        <v>32.406307220458984</v>
      </c>
      <c r="Q26" s="3">
        <v>31.849555969238281</v>
      </c>
      <c r="R26" s="3">
        <v>32.588123321533203</v>
      </c>
      <c r="S26" s="3">
        <v>33.871723175048828</v>
      </c>
      <c r="T26" s="3">
        <v>31.460180282592773</v>
      </c>
      <c r="U26" s="3">
        <v>33.027297973632813</v>
      </c>
      <c r="V26" s="3">
        <v>32.716876983642578</v>
      </c>
      <c r="W26" s="3">
        <v>32.375839233398438</v>
      </c>
      <c r="X26" s="3">
        <v>33.459835052490234</v>
      </c>
      <c r="Y26" s="3">
        <v>32.169235229492188</v>
      </c>
      <c r="Z26" s="3">
        <v>32.432018280029297</v>
      </c>
      <c r="AA26" s="3">
        <v>32.807765960693359</v>
      </c>
      <c r="AB26" s="3">
        <v>30.777223587036133</v>
      </c>
      <c r="AC26" s="3">
        <v>32.993255615234375</v>
      </c>
      <c r="AD26" s="3">
        <v>29.228900909423828</v>
      </c>
      <c r="AE26" s="3">
        <v>25.459383010864258</v>
      </c>
      <c r="AF26" s="3">
        <v>27.409172058105469</v>
      </c>
      <c r="AG26" s="3">
        <v>27.052482604980469</v>
      </c>
      <c r="AH26" s="406">
        <v>27.76542854309082</v>
      </c>
    </row>
    <row r="27" spans="1:35" ht="30" customHeight="1" x14ac:dyDescent="0.2">
      <c r="A27" s="497"/>
      <c r="B27" s="2" t="s">
        <v>62</v>
      </c>
      <c r="C27" s="36" t="s">
        <v>44</v>
      </c>
      <c r="D27" s="3">
        <v>0</v>
      </c>
      <c r="E27" s="3">
        <v>0</v>
      </c>
      <c r="F27" s="3">
        <v>26.730628967285156</v>
      </c>
      <c r="G27" s="3">
        <v>28.946678161621094</v>
      </c>
      <c r="H27" s="3">
        <v>27.923435211181641</v>
      </c>
      <c r="I27" s="3">
        <v>29.215139389038086</v>
      </c>
      <c r="J27" s="3">
        <v>29.396102905273438</v>
      </c>
      <c r="K27" s="3">
        <v>21.692703247070313</v>
      </c>
      <c r="L27" s="3">
        <v>19.042448043823242</v>
      </c>
      <c r="M27" s="3">
        <v>23.866382598876953</v>
      </c>
      <c r="N27" s="3">
        <v>25.183691024780273</v>
      </c>
      <c r="O27" s="3">
        <v>24.988639831542969</v>
      </c>
      <c r="P27" s="3">
        <v>28.858009338378906</v>
      </c>
      <c r="Q27" s="3">
        <v>28.947057723999023</v>
      </c>
      <c r="R27" s="3">
        <v>29.011190414428711</v>
      </c>
      <c r="S27" s="3">
        <v>29.694242477416992</v>
      </c>
      <c r="T27" s="3">
        <v>28.152687072753906</v>
      </c>
      <c r="U27" s="3">
        <v>29.114511489868164</v>
      </c>
      <c r="V27" s="3">
        <v>28.433322906494141</v>
      </c>
      <c r="W27" s="3">
        <v>28.644145965576172</v>
      </c>
      <c r="X27" s="3">
        <v>29.775796890258789</v>
      </c>
      <c r="Y27" s="3">
        <v>28.813020706176758</v>
      </c>
      <c r="Z27" s="3">
        <v>28.508163452148438</v>
      </c>
      <c r="AA27" s="3">
        <v>29.062395095825195</v>
      </c>
      <c r="AB27" s="3">
        <v>0</v>
      </c>
      <c r="AC27" s="3">
        <v>14.538287162780762</v>
      </c>
      <c r="AD27" s="3">
        <v>22.862512588500977</v>
      </c>
      <c r="AE27" s="3">
        <v>22.96232795715332</v>
      </c>
      <c r="AF27" s="3">
        <v>24.3204345703125</v>
      </c>
      <c r="AG27" s="3">
        <v>25.421148300170898</v>
      </c>
      <c r="AH27" s="406">
        <v>25.608505249023438</v>
      </c>
    </row>
    <row r="28" spans="1:35" ht="30" customHeight="1" x14ac:dyDescent="0.2">
      <c r="A28" s="497" t="s">
        <v>174</v>
      </c>
      <c r="B28" s="4" t="s">
        <v>165</v>
      </c>
      <c r="C28" s="36" t="s">
        <v>44</v>
      </c>
      <c r="D28" s="3">
        <f>Totalizer!D14-Totalizer!C14</f>
        <v>580</v>
      </c>
      <c r="E28" s="3">
        <f>Totalizer!E14-Totalizer!D14</f>
        <v>580</v>
      </c>
      <c r="F28" s="3">
        <f>Totalizer!F14-Totalizer!E14</f>
        <v>697</v>
      </c>
      <c r="G28" s="3">
        <f>Totalizer!G14-Totalizer!F14</f>
        <v>706</v>
      </c>
      <c r="H28" s="3">
        <f>Totalizer!H14-Totalizer!G14</f>
        <v>705</v>
      </c>
      <c r="I28" s="3">
        <f>Totalizer!I14-Totalizer!H14</f>
        <v>695</v>
      </c>
      <c r="J28" s="3">
        <f>Totalizer!J14-Totalizer!I14</f>
        <v>693</v>
      </c>
      <c r="K28" s="3">
        <f>Totalizer!K14-Totalizer!J14</f>
        <v>604</v>
      </c>
      <c r="L28" s="3">
        <f>Totalizer!L14-Totalizer!K14</f>
        <v>529</v>
      </c>
      <c r="M28" s="3">
        <f>Totalizer!M14-Totalizer!L14</f>
        <v>555</v>
      </c>
      <c r="N28" s="3">
        <f>Totalizer!N14-Totalizer!M14</f>
        <v>630</v>
      </c>
      <c r="O28" s="3">
        <f>Totalizer!O14-Totalizer!N14</f>
        <v>639</v>
      </c>
      <c r="P28" s="3">
        <f>Totalizer!P14-Totalizer!O14</f>
        <v>680</v>
      </c>
      <c r="Q28" s="3">
        <f>Totalizer!Q14-Totalizer!P14</f>
        <v>707</v>
      </c>
      <c r="R28" s="3">
        <f>Totalizer!R14-Totalizer!Q14</f>
        <v>699</v>
      </c>
      <c r="S28" s="3">
        <f>Totalizer!S14-Totalizer!R14</f>
        <v>714</v>
      </c>
      <c r="T28" s="3">
        <f>Totalizer!T14-Totalizer!S14</f>
        <v>684</v>
      </c>
      <c r="U28" s="3">
        <f>Totalizer!U14-Totalizer!T14</f>
        <v>715</v>
      </c>
      <c r="V28" s="3">
        <f>Totalizer!V14-Totalizer!U14</f>
        <v>699</v>
      </c>
      <c r="W28" s="3">
        <f>Totalizer!W14-Totalizer!V14</f>
        <v>683</v>
      </c>
      <c r="X28" s="3">
        <f>Totalizer!X14-Totalizer!W14</f>
        <v>724</v>
      </c>
      <c r="Y28" s="3">
        <f>Totalizer!Y14-Totalizer!X14</f>
        <v>718</v>
      </c>
      <c r="Z28" s="3">
        <f>Totalizer!Z14-Totalizer!Y14</f>
        <v>694</v>
      </c>
      <c r="AA28" s="3">
        <f>Totalizer!AA14-Totalizer!Z14</f>
        <v>703</v>
      </c>
      <c r="AB28" s="3">
        <f>Totalizer!AB14-Totalizer!AA14</f>
        <v>211</v>
      </c>
      <c r="AC28" s="3">
        <f>Totalizer!AC14-Totalizer!AB14</f>
        <v>690</v>
      </c>
      <c r="AD28" s="3">
        <f>Totalizer!AD14-Totalizer!AC14</f>
        <v>581</v>
      </c>
      <c r="AE28" s="3">
        <f>Totalizer!AE14-Totalizer!AD14</f>
        <v>566</v>
      </c>
      <c r="AF28" s="3">
        <f>Totalizer!AF14-Totalizer!AE14</f>
        <v>577</v>
      </c>
      <c r="AG28" s="3">
        <f>Totalizer!AG14-Totalizer!AF14</f>
        <v>598</v>
      </c>
      <c r="AH28" s="3">
        <f>Totalizer!AH14-Totalizer!AG14</f>
        <v>620</v>
      </c>
      <c r="AI28" s="406"/>
    </row>
    <row r="29" spans="1:35" ht="30" customHeight="1" x14ac:dyDescent="0.2">
      <c r="A29" s="497"/>
      <c r="B29" s="2" t="s">
        <v>61</v>
      </c>
      <c r="C29" s="36" t="s">
        <v>44</v>
      </c>
      <c r="D29" s="3">
        <v>30.175195693969727</v>
      </c>
      <c r="E29" s="3">
        <v>31.147327423095703</v>
      </c>
      <c r="F29" s="3">
        <v>32.127277374267578</v>
      </c>
      <c r="G29" s="3">
        <v>31.197601318359375</v>
      </c>
      <c r="H29" s="3">
        <v>31.550918579101563</v>
      </c>
      <c r="I29" s="3">
        <v>31.087150573730469</v>
      </c>
      <c r="J29" s="3">
        <v>31.127143859863281</v>
      </c>
      <c r="K29" s="3">
        <v>29.893791198730469</v>
      </c>
      <c r="L29" s="3">
        <v>24.078248977661133</v>
      </c>
      <c r="M29" s="3">
        <v>26.171621322631836</v>
      </c>
      <c r="N29" s="3">
        <v>28.585178375244141</v>
      </c>
      <c r="O29" s="3">
        <v>28.657794952392578</v>
      </c>
      <c r="P29" s="3">
        <v>29.467832565307617</v>
      </c>
      <c r="Q29" s="3">
        <v>31.954607009887695</v>
      </c>
      <c r="R29" s="3">
        <v>30.555028915405273</v>
      </c>
      <c r="S29" s="3">
        <v>32.087741851806641</v>
      </c>
      <c r="T29" s="3">
        <v>31.456340789794922</v>
      </c>
      <c r="U29" s="3">
        <v>31.629985809326172</v>
      </c>
      <c r="V29" s="3">
        <v>30.860311508178711</v>
      </c>
      <c r="W29" s="3">
        <v>29.95374870300293</v>
      </c>
      <c r="X29" s="3">
        <v>32.064182281494141</v>
      </c>
      <c r="Y29" s="3">
        <v>31.595121383666992</v>
      </c>
      <c r="Z29" s="3">
        <v>30.44111442565918</v>
      </c>
      <c r="AA29" s="3">
        <v>30.547763824462891</v>
      </c>
      <c r="AB29" s="3">
        <v>31.237112045288086</v>
      </c>
      <c r="AC29" s="3">
        <v>30.824977874755859</v>
      </c>
      <c r="AD29" s="3">
        <v>27.913642883300781</v>
      </c>
      <c r="AE29" s="3">
        <v>24.5859375</v>
      </c>
      <c r="AF29" s="3">
        <v>25.2701416015625</v>
      </c>
      <c r="AG29" s="3">
        <v>27.17308235168457</v>
      </c>
      <c r="AH29" s="406">
        <v>27.665283203125</v>
      </c>
    </row>
    <row r="30" spans="1:35" ht="30" customHeight="1" x14ac:dyDescent="0.2">
      <c r="A30" s="497"/>
      <c r="B30" s="2" t="s">
        <v>62</v>
      </c>
      <c r="C30" s="36" t="s">
        <v>44</v>
      </c>
      <c r="D30" s="3">
        <v>0</v>
      </c>
      <c r="E30" s="3">
        <v>0</v>
      </c>
      <c r="F30" s="3">
        <v>26.912303924560547</v>
      </c>
      <c r="G30" s="3">
        <v>27.24188232421875</v>
      </c>
      <c r="H30" s="3">
        <v>27.500303268432617</v>
      </c>
      <c r="I30" s="3">
        <v>27.183893203735352</v>
      </c>
      <c r="J30" s="3">
        <v>26.921075820922852</v>
      </c>
      <c r="K30" s="3">
        <v>21.305446624755859</v>
      </c>
      <c r="L30" s="3">
        <v>20.121589660644531</v>
      </c>
      <c r="M30" s="3">
        <v>21.568292617797852</v>
      </c>
      <c r="N30" s="3">
        <v>24.216451644897461</v>
      </c>
      <c r="O30" s="3">
        <v>25.278354644775391</v>
      </c>
      <c r="P30" s="3">
        <v>26.047046661376953</v>
      </c>
      <c r="Q30" s="3">
        <v>27.354024887084961</v>
      </c>
      <c r="R30" s="3">
        <v>27.550300598144531</v>
      </c>
      <c r="S30" s="3">
        <v>27.792186737060547</v>
      </c>
      <c r="T30" s="3">
        <v>26.842342376708984</v>
      </c>
      <c r="U30" s="3">
        <v>28.15715217590332</v>
      </c>
      <c r="V30" s="3">
        <v>27.735040664672852</v>
      </c>
      <c r="W30" s="3">
        <v>26.860574722290039</v>
      </c>
      <c r="X30" s="3">
        <v>27.79237174987793</v>
      </c>
      <c r="Y30" s="3">
        <v>28.247018814086914</v>
      </c>
      <c r="Z30" s="3">
        <v>27.632989883422852</v>
      </c>
      <c r="AA30" s="3">
        <v>27.493810653686523</v>
      </c>
      <c r="AB30" s="3">
        <v>0</v>
      </c>
      <c r="AC30" s="3">
        <v>26.357522964477539</v>
      </c>
      <c r="AD30" s="3">
        <v>22.370590209960938</v>
      </c>
      <c r="AE30" s="3">
        <v>22.770505905151367</v>
      </c>
      <c r="AF30" s="3">
        <v>22.971511840820313</v>
      </c>
      <c r="AG30" s="3">
        <v>21.702522277832031</v>
      </c>
      <c r="AH30" s="406">
        <v>24.635391235351563</v>
      </c>
    </row>
    <row r="31" spans="1:35" s="409" customFormat="1" ht="30" customHeight="1" x14ac:dyDescent="0.2">
      <c r="A31" s="497" t="s">
        <v>175</v>
      </c>
      <c r="B31" s="4" t="s">
        <v>165</v>
      </c>
      <c r="C31" s="36" t="s">
        <v>44</v>
      </c>
      <c r="D31" s="3">
        <f>Totalizer!D15-Totalizer!C15</f>
        <v>542</v>
      </c>
      <c r="E31" s="3">
        <f>Totalizer!E15-Totalizer!D15</f>
        <v>632</v>
      </c>
      <c r="F31" s="3">
        <f>Totalizer!F15-Totalizer!E15</f>
        <v>684</v>
      </c>
      <c r="G31" s="3">
        <f>Totalizer!G15-Totalizer!F15</f>
        <v>702</v>
      </c>
      <c r="H31" s="3">
        <f>Totalizer!H15-Totalizer!G15</f>
        <v>698</v>
      </c>
      <c r="I31" s="3">
        <f>Totalizer!I15-Totalizer!H15</f>
        <v>704</v>
      </c>
      <c r="J31" s="3">
        <f>Totalizer!J15-Totalizer!I15</f>
        <v>711</v>
      </c>
      <c r="K31" s="3">
        <f>Totalizer!K15-Totalizer!J15</f>
        <v>585</v>
      </c>
      <c r="L31" s="3">
        <f>Totalizer!L15-Totalizer!K15</f>
        <v>589</v>
      </c>
      <c r="M31" s="3">
        <f>Totalizer!M15-Totalizer!L15</f>
        <v>603</v>
      </c>
      <c r="N31" s="3">
        <f>Totalizer!N15-Totalizer!M15</f>
        <v>653</v>
      </c>
      <c r="O31" s="3">
        <f>Totalizer!O15-Totalizer!N15</f>
        <v>665</v>
      </c>
      <c r="P31" s="3">
        <f>Totalizer!P15-Totalizer!O15</f>
        <v>699</v>
      </c>
      <c r="Q31" s="3">
        <f>Totalizer!Q15-Totalizer!P15</f>
        <v>716</v>
      </c>
      <c r="R31" s="3">
        <f>Totalizer!R15-Totalizer!Q15</f>
        <v>722</v>
      </c>
      <c r="S31" s="3">
        <f>Totalizer!S15-Totalizer!R15</f>
        <v>723</v>
      </c>
      <c r="T31" s="3">
        <f>Totalizer!T15-Totalizer!S15</f>
        <v>726</v>
      </c>
      <c r="U31" s="3">
        <f>Totalizer!U15-Totalizer!T15</f>
        <v>710</v>
      </c>
      <c r="V31" s="3">
        <f>Totalizer!V15-Totalizer!U15</f>
        <v>724</v>
      </c>
      <c r="W31" s="3">
        <f>Totalizer!W15-Totalizer!V15</f>
        <v>713</v>
      </c>
      <c r="X31" s="3">
        <f>Totalizer!X15-Totalizer!W15</f>
        <v>742</v>
      </c>
      <c r="Y31" s="3">
        <f>Totalizer!Y15-Totalizer!X15</f>
        <v>748</v>
      </c>
      <c r="Z31" s="3">
        <f>Totalizer!Z15-Totalizer!Y15</f>
        <v>705</v>
      </c>
      <c r="AA31" s="3">
        <f>Totalizer!AA15-Totalizer!Z15</f>
        <v>714</v>
      </c>
      <c r="AB31" s="3">
        <f>Totalizer!AB15-Totalizer!AA15</f>
        <v>717</v>
      </c>
      <c r="AC31" s="3">
        <f>Totalizer!AC15-Totalizer!AB15</f>
        <v>692</v>
      </c>
      <c r="AD31" s="3">
        <f>Totalizer!AD15-Totalizer!AC15</f>
        <v>612</v>
      </c>
      <c r="AE31" s="3">
        <f>Totalizer!AE15-Totalizer!AD15</f>
        <v>574</v>
      </c>
      <c r="AF31" s="3">
        <f>Totalizer!AF15-Totalizer!AE15</f>
        <v>604</v>
      </c>
      <c r="AG31" s="3">
        <f>Totalizer!AG15-Totalizer!AF15</f>
        <v>638</v>
      </c>
      <c r="AH31" s="3">
        <f>Totalizer!AH15-Totalizer!AG15</f>
        <v>647</v>
      </c>
    </row>
    <row r="32" spans="1:35" ht="30" customHeight="1" x14ac:dyDescent="0.2">
      <c r="A32" s="497"/>
      <c r="B32" s="2" t="s">
        <v>61</v>
      </c>
      <c r="C32" s="36" t="s">
        <v>44</v>
      </c>
      <c r="D32" s="3">
        <v>31.592573165893555</v>
      </c>
      <c r="E32" s="3">
        <v>30.400257110595703</v>
      </c>
      <c r="F32" s="3">
        <v>30.43052864074707</v>
      </c>
      <c r="G32" s="3">
        <v>30.775619506835938</v>
      </c>
      <c r="H32" s="3">
        <v>30.281343460083008</v>
      </c>
      <c r="I32" s="3">
        <v>30.870746612548828</v>
      </c>
      <c r="J32" s="3">
        <v>31.366689682006836</v>
      </c>
      <c r="K32" s="3">
        <v>29.836297988891602</v>
      </c>
      <c r="L32" s="3">
        <v>26.82438850402832</v>
      </c>
      <c r="M32" s="3">
        <v>27.529390335083008</v>
      </c>
      <c r="N32" s="3">
        <v>30.842472076416016</v>
      </c>
      <c r="O32" s="3">
        <v>29.445833206176758</v>
      </c>
      <c r="P32" s="3">
        <v>31.10809326171875</v>
      </c>
      <c r="Q32" s="3">
        <v>33.194721221923828</v>
      </c>
      <c r="R32" s="3">
        <v>32.529640197753906</v>
      </c>
      <c r="S32" s="3">
        <v>31.819280624389648</v>
      </c>
      <c r="T32" s="3">
        <v>31.771463394165039</v>
      </c>
      <c r="U32" s="3">
        <v>32.262886047363281</v>
      </c>
      <c r="V32" s="3">
        <v>31.620223999023438</v>
      </c>
      <c r="W32" s="3">
        <v>31.48097038269043</v>
      </c>
      <c r="X32" s="3">
        <v>32.748687744140625</v>
      </c>
      <c r="Y32" s="3">
        <v>32.738811492919922</v>
      </c>
      <c r="Z32" s="3">
        <v>31.01573371887207</v>
      </c>
      <c r="AA32" s="3">
        <v>31.136260986328125</v>
      </c>
      <c r="AB32" s="3">
        <v>31.858907699584961</v>
      </c>
      <c r="AC32" s="3">
        <v>31.713798522949219</v>
      </c>
      <c r="AD32" s="3">
        <v>29.83241081237793</v>
      </c>
      <c r="AE32" s="3">
        <v>24.999139785766602</v>
      </c>
      <c r="AF32" s="3">
        <v>26.64387321472168</v>
      </c>
      <c r="AG32" s="3">
        <v>28.192129135131836</v>
      </c>
      <c r="AH32" s="406">
        <v>28.582849502563477</v>
      </c>
    </row>
    <row r="33" spans="1:34" ht="30" customHeight="1" x14ac:dyDescent="0.2">
      <c r="A33" s="497"/>
      <c r="B33" s="2" t="s">
        <v>62</v>
      </c>
      <c r="C33" s="36" t="s">
        <v>44</v>
      </c>
      <c r="D33" s="3">
        <v>0</v>
      </c>
      <c r="E33" s="3">
        <v>0</v>
      </c>
      <c r="F33" s="3">
        <v>27.096834182739258</v>
      </c>
      <c r="G33" s="3">
        <v>27.478315353393555</v>
      </c>
      <c r="H33" s="3">
        <v>27.274433135986328</v>
      </c>
      <c r="I33" s="3">
        <v>28.247201919555664</v>
      </c>
      <c r="J33" s="3">
        <v>28.528888702392578</v>
      </c>
      <c r="K33" s="3">
        <v>21.110937118530273</v>
      </c>
      <c r="L33" s="3">
        <v>22.911563873291016</v>
      </c>
      <c r="M33" s="3">
        <v>23.002540588378906</v>
      </c>
      <c r="N33" s="3">
        <v>25.672649383544922</v>
      </c>
      <c r="O33" s="3">
        <v>25.966508865356445</v>
      </c>
      <c r="P33" s="3">
        <v>27.310585021972656</v>
      </c>
      <c r="Q33" s="3">
        <v>27.776340484619141</v>
      </c>
      <c r="R33" s="3">
        <v>28.903129577636719</v>
      </c>
      <c r="S33" s="3">
        <v>28.280191421508789</v>
      </c>
      <c r="T33" s="3">
        <v>27.93830680847168</v>
      </c>
      <c r="U33" s="3">
        <v>27.345144271850586</v>
      </c>
      <c r="V33" s="3">
        <v>28.307777404785156</v>
      </c>
      <c r="W33" s="3">
        <v>27.679286956787109</v>
      </c>
      <c r="X33" s="3">
        <v>28.375875473022461</v>
      </c>
      <c r="Y33" s="3">
        <v>29.569728851318359</v>
      </c>
      <c r="Z33" s="3">
        <v>28.135440826416016</v>
      </c>
      <c r="AA33" s="3">
        <v>28.540605545043945</v>
      </c>
      <c r="AB33" s="3">
        <v>27.651897430419922</v>
      </c>
      <c r="AC33" s="3">
        <v>26.953464508056641</v>
      </c>
      <c r="AD33" s="3">
        <v>23.365549087524414</v>
      </c>
      <c r="AE33" s="3">
        <v>22.702339172363281</v>
      </c>
      <c r="AF33" s="3">
        <v>23.307611465454102</v>
      </c>
      <c r="AG33" s="3">
        <v>24.864295959472656</v>
      </c>
      <c r="AH33" s="406">
        <v>25.293207168579102</v>
      </c>
    </row>
    <row r="34" spans="1:34" ht="30" customHeight="1" x14ac:dyDescent="0.2">
      <c r="A34" s="497" t="s">
        <v>176</v>
      </c>
      <c r="B34" s="4" t="s">
        <v>165</v>
      </c>
      <c r="C34" s="36" t="s">
        <v>44</v>
      </c>
      <c r="D34" s="3">
        <f>Totalizer!D16-Totalizer!C16</f>
        <v>617</v>
      </c>
      <c r="E34" s="3">
        <f>Totalizer!E16-Totalizer!D16</f>
        <v>633</v>
      </c>
      <c r="F34" s="3">
        <f>Totalizer!F16-Totalizer!E16</f>
        <v>717</v>
      </c>
      <c r="G34" s="3">
        <f>Totalizer!G16-Totalizer!F16</f>
        <v>714</v>
      </c>
      <c r="H34" s="3">
        <f>Totalizer!H16-Totalizer!G16</f>
        <v>733</v>
      </c>
      <c r="I34" s="3">
        <f>Totalizer!I16-Totalizer!H16</f>
        <v>712</v>
      </c>
      <c r="J34" s="3">
        <f>Totalizer!J16-Totalizer!I16</f>
        <v>719</v>
      </c>
      <c r="K34" s="3">
        <f>Totalizer!K16-Totalizer!J16</f>
        <v>738</v>
      </c>
      <c r="L34" s="3">
        <f>Totalizer!L16-Totalizer!K16</f>
        <v>731</v>
      </c>
      <c r="M34" s="3">
        <f>Totalizer!M16-Totalizer!L16</f>
        <v>755</v>
      </c>
      <c r="N34" s="3">
        <f>Totalizer!N16-Totalizer!M16</f>
        <v>750</v>
      </c>
      <c r="O34" s="3">
        <f>Totalizer!O16-Totalizer!N16</f>
        <v>745</v>
      </c>
      <c r="P34" s="3">
        <f>Totalizer!P16-Totalizer!O16</f>
        <v>760</v>
      </c>
      <c r="Q34" s="3">
        <f>Totalizer!Q16-Totalizer!P16</f>
        <v>745</v>
      </c>
      <c r="R34" s="3">
        <f>Totalizer!R16-Totalizer!Q16</f>
        <v>760</v>
      </c>
      <c r="S34" s="3">
        <f>Totalizer!S16-Totalizer!R16</f>
        <v>735</v>
      </c>
      <c r="T34" s="3">
        <f>Totalizer!T16-Totalizer!S16</f>
        <v>743</v>
      </c>
      <c r="U34" s="3">
        <f>Totalizer!U16-Totalizer!T16</f>
        <v>744</v>
      </c>
      <c r="V34" s="3">
        <f>Totalizer!V16-Totalizer!U16</f>
        <v>734</v>
      </c>
      <c r="W34" s="3">
        <f>Totalizer!W16-Totalizer!V16</f>
        <v>753</v>
      </c>
      <c r="X34" s="3">
        <f>Totalizer!X16-Totalizer!W16</f>
        <v>760</v>
      </c>
      <c r="Y34" s="3">
        <f>Totalizer!Y16-Totalizer!X16</f>
        <v>752</v>
      </c>
      <c r="Z34" s="3">
        <f>Totalizer!Z16-Totalizer!Y16</f>
        <v>736</v>
      </c>
      <c r="AA34" s="3">
        <f>Totalizer!AA16-Totalizer!Z16</f>
        <v>742</v>
      </c>
      <c r="AB34" s="3">
        <f>Totalizer!AB16-Totalizer!AA16</f>
        <v>679</v>
      </c>
      <c r="AC34" s="3">
        <f>Totalizer!AC16-Totalizer!AB16</f>
        <v>799</v>
      </c>
      <c r="AD34" s="3">
        <f>Totalizer!AD16-Totalizer!AC16</f>
        <v>620</v>
      </c>
      <c r="AE34" s="3">
        <f>Totalizer!AE16-Totalizer!AD16</f>
        <v>635</v>
      </c>
      <c r="AF34" s="3">
        <f>Totalizer!AF16-Totalizer!AE16</f>
        <v>653</v>
      </c>
      <c r="AG34" s="3">
        <f>Totalizer!AG16-Totalizer!AF16</f>
        <v>678</v>
      </c>
      <c r="AH34" s="3">
        <f>Totalizer!AH16-Totalizer!AG16</f>
        <v>711</v>
      </c>
    </row>
    <row r="35" spans="1:34" ht="30" customHeight="1" x14ac:dyDescent="0.2">
      <c r="A35" s="497"/>
      <c r="B35" s="2" t="s">
        <v>61</v>
      </c>
      <c r="C35" s="36" t="s">
        <v>44</v>
      </c>
      <c r="D35" s="3">
        <v>32.438140869140625</v>
      </c>
      <c r="E35" s="3">
        <v>32.005176544189453</v>
      </c>
      <c r="F35" s="3">
        <v>30.753717422485352</v>
      </c>
      <c r="G35" s="3">
        <v>31.189691543579102</v>
      </c>
      <c r="H35" s="3">
        <v>31.903800964355469</v>
      </c>
      <c r="I35" s="3">
        <v>30.923908233642578</v>
      </c>
      <c r="J35" s="3">
        <v>31.444484710693359</v>
      </c>
      <c r="K35" s="3">
        <v>31.757997512817383</v>
      </c>
      <c r="L35" s="3">
        <v>31.136236190795898</v>
      </c>
      <c r="M35" s="3">
        <v>33.667110443115234</v>
      </c>
      <c r="N35" s="3">
        <v>32.336933135986328</v>
      </c>
      <c r="O35" s="3">
        <v>32.559539794921875</v>
      </c>
      <c r="P35" s="3">
        <v>33.226970672607422</v>
      </c>
      <c r="Q35" s="3">
        <v>31.799530029296875</v>
      </c>
      <c r="R35" s="3">
        <v>33.315330505371094</v>
      </c>
      <c r="S35" s="3">
        <v>32.002456665039063</v>
      </c>
      <c r="T35" s="3">
        <v>32.328334808349609</v>
      </c>
      <c r="U35" s="3">
        <v>32.445934295654297</v>
      </c>
      <c r="V35" s="3">
        <v>32.603248596191406</v>
      </c>
      <c r="W35" s="3">
        <v>32.453289031982422</v>
      </c>
      <c r="X35" s="3">
        <v>34.425575256347656</v>
      </c>
      <c r="Y35" s="3">
        <v>33.257114410400391</v>
      </c>
      <c r="Z35" s="3">
        <v>31.930595397949219</v>
      </c>
      <c r="AA35" s="3">
        <v>31.622978210449219</v>
      </c>
      <c r="AB35" s="3">
        <v>32.295307159423828</v>
      </c>
      <c r="AC35" s="3">
        <v>32.5543212890625</v>
      </c>
      <c r="AD35" s="3">
        <v>30.853103637695313</v>
      </c>
      <c r="AE35" s="3">
        <v>27.565385818481445</v>
      </c>
      <c r="AF35" s="3">
        <v>28.176097869873047</v>
      </c>
      <c r="AG35" s="3">
        <v>29.264999389648438</v>
      </c>
      <c r="AH35" s="406">
        <v>30.717658996582031</v>
      </c>
    </row>
    <row r="36" spans="1:34" ht="30" customHeight="1" x14ac:dyDescent="0.2">
      <c r="A36" s="497"/>
      <c r="B36" s="2" t="s">
        <v>62</v>
      </c>
      <c r="C36" s="36" t="s">
        <v>44</v>
      </c>
      <c r="D36" s="3">
        <v>0</v>
      </c>
      <c r="E36" s="3">
        <v>0</v>
      </c>
      <c r="F36" s="3">
        <v>28.830259323120117</v>
      </c>
      <c r="G36" s="3">
        <v>28.447826385498047</v>
      </c>
      <c r="H36" s="3">
        <v>29.378147125244141</v>
      </c>
      <c r="I36" s="3">
        <v>28.152088165283203</v>
      </c>
      <c r="J36" s="3">
        <v>28.496015548706055</v>
      </c>
      <c r="K36" s="3">
        <v>29.674839019775391</v>
      </c>
      <c r="L36" s="3">
        <v>29.439275741577148</v>
      </c>
      <c r="M36" s="3">
        <v>29.404413223266602</v>
      </c>
      <c r="N36" s="3">
        <v>30.206422805786133</v>
      </c>
      <c r="O36" s="3">
        <v>29.750125885009766</v>
      </c>
      <c r="P36" s="3">
        <v>30.335273742675781</v>
      </c>
      <c r="Q36" s="3">
        <v>29.893856048583984</v>
      </c>
      <c r="R36" s="3">
        <v>30.795358657836914</v>
      </c>
      <c r="S36" s="3">
        <v>14.420809745788574</v>
      </c>
      <c r="T36" s="3">
        <v>30.310722351074219</v>
      </c>
      <c r="U36" s="3">
        <v>29.063386917114258</v>
      </c>
      <c r="V36" s="3">
        <v>29.856777191162109</v>
      </c>
      <c r="W36" s="3">
        <v>29.7705078125</v>
      </c>
      <c r="X36" s="3">
        <v>29.95806884765625</v>
      </c>
      <c r="Y36" s="3">
        <v>30.228023529052734</v>
      </c>
      <c r="Z36" s="3">
        <v>29.3526611328125</v>
      </c>
      <c r="AA36" s="3">
        <v>30.124259948730469</v>
      </c>
      <c r="AB36" s="3">
        <v>16.053766250610352</v>
      </c>
      <c r="AC36" s="3">
        <v>29.540327072143555</v>
      </c>
      <c r="AD36" s="3">
        <v>26.464191436767578</v>
      </c>
      <c r="AE36" s="3">
        <v>25.850088119506836</v>
      </c>
      <c r="AF36" s="3">
        <v>26.604486465454102</v>
      </c>
      <c r="AG36" s="3">
        <v>26.991950988769531</v>
      </c>
      <c r="AH36" s="406">
        <v>28.318264007568359</v>
      </c>
    </row>
    <row r="37" spans="1:34" ht="30" customHeight="1" x14ac:dyDescent="0.2">
      <c r="A37" s="497" t="s">
        <v>177</v>
      </c>
      <c r="B37" s="4" t="s">
        <v>165</v>
      </c>
      <c r="C37" s="36" t="s">
        <v>44</v>
      </c>
      <c r="D37" s="3">
        <f>Totalizer!D17-Totalizer!C17</f>
        <v>689</v>
      </c>
      <c r="E37" s="3">
        <f>Totalizer!E17-Totalizer!D17</f>
        <v>492</v>
      </c>
      <c r="F37" s="3">
        <f>Totalizer!F17-Totalizer!E17</f>
        <v>707</v>
      </c>
      <c r="G37" s="3">
        <f>Totalizer!G17-Totalizer!F17</f>
        <v>704</v>
      </c>
      <c r="H37" s="3">
        <f>Totalizer!H17-Totalizer!G17</f>
        <v>686</v>
      </c>
      <c r="I37" s="3">
        <f>Totalizer!I17-Totalizer!H17</f>
        <v>703</v>
      </c>
      <c r="J37" s="3">
        <f>Totalizer!J17-Totalizer!I17</f>
        <v>670</v>
      </c>
      <c r="K37" s="3">
        <f>Totalizer!K17-Totalizer!J17</f>
        <v>702</v>
      </c>
      <c r="L37" s="3">
        <f>Totalizer!L17-Totalizer!K17</f>
        <v>703</v>
      </c>
      <c r="M37" s="3">
        <f>Totalizer!M17-Totalizer!L17</f>
        <v>702</v>
      </c>
      <c r="N37" s="3">
        <f>Totalizer!N17-Totalizer!M17</f>
        <v>732</v>
      </c>
      <c r="O37" s="3">
        <f>Totalizer!O17-Totalizer!N17</f>
        <v>710</v>
      </c>
      <c r="P37" s="3">
        <f>Totalizer!P17-Totalizer!O17</f>
        <v>720</v>
      </c>
      <c r="Q37" s="3">
        <f>Totalizer!Q17-Totalizer!P17</f>
        <v>745</v>
      </c>
      <c r="R37" s="3">
        <f>Totalizer!R17-Totalizer!Q17</f>
        <v>707</v>
      </c>
      <c r="S37" s="3">
        <f>Totalizer!S17-Totalizer!R17</f>
        <v>729</v>
      </c>
      <c r="T37" s="3">
        <f>Totalizer!T17-Totalizer!S17</f>
        <v>735</v>
      </c>
      <c r="U37" s="3">
        <f>Totalizer!U17-Totalizer!T17</f>
        <v>700</v>
      </c>
      <c r="V37" s="3">
        <f>Totalizer!V17-Totalizer!U17</f>
        <v>711</v>
      </c>
      <c r="W37" s="3">
        <f>Totalizer!W17-Totalizer!V17</f>
        <v>700</v>
      </c>
      <c r="X37" s="3">
        <f>Totalizer!X17-Totalizer!W17</f>
        <v>722</v>
      </c>
      <c r="Y37" s="3">
        <f>Totalizer!Y17-Totalizer!X17</f>
        <v>724</v>
      </c>
      <c r="Z37" s="3">
        <f>Totalizer!Z17-Totalizer!Y17</f>
        <v>715</v>
      </c>
      <c r="AA37" s="3">
        <f>Totalizer!AA17-Totalizer!Z17</f>
        <v>691</v>
      </c>
      <c r="AB37" s="3">
        <f>Totalizer!AB17-Totalizer!AA17</f>
        <v>522</v>
      </c>
      <c r="AC37" s="3">
        <f>Totalizer!AC17-Totalizer!AB17</f>
        <v>321</v>
      </c>
      <c r="AD37" s="3">
        <f>Totalizer!AD17-Totalizer!AC17</f>
        <v>662</v>
      </c>
      <c r="AE37" s="3">
        <f>Totalizer!AE17-Totalizer!AD17</f>
        <v>586</v>
      </c>
      <c r="AF37" s="3">
        <f>Totalizer!AF17-Totalizer!AE17</f>
        <v>574</v>
      </c>
      <c r="AG37" s="3">
        <f>Totalizer!AG17-Totalizer!AF17</f>
        <v>601</v>
      </c>
      <c r="AH37" s="3">
        <f>Totalizer!AH17-Totalizer!AG17</f>
        <v>644</v>
      </c>
    </row>
    <row r="38" spans="1:34" ht="30" customHeight="1" x14ac:dyDescent="0.2">
      <c r="A38" s="497"/>
      <c r="B38" s="2" t="s">
        <v>61</v>
      </c>
      <c r="C38" s="36" t="s">
        <v>44</v>
      </c>
      <c r="D38" s="3">
        <v>31.765073776245117</v>
      </c>
      <c r="E38" s="3">
        <v>30.485666275024414</v>
      </c>
      <c r="F38" s="3">
        <v>31.150171279907227</v>
      </c>
      <c r="G38" s="3">
        <v>30.49268913269043</v>
      </c>
      <c r="H38" s="3">
        <v>31.03032112121582</v>
      </c>
      <c r="I38" s="3">
        <v>31.188968658447266</v>
      </c>
      <c r="J38" s="3">
        <v>29.975547790527344</v>
      </c>
      <c r="K38" s="3">
        <v>31.368289947509766</v>
      </c>
      <c r="L38" s="3">
        <v>30.685039520263672</v>
      </c>
      <c r="M38" s="3">
        <v>30.918685913085938</v>
      </c>
      <c r="N38" s="3">
        <v>32.294620513916016</v>
      </c>
      <c r="O38" s="3">
        <v>30.869895935058594</v>
      </c>
      <c r="P38" s="3">
        <v>32.762081146240234</v>
      </c>
      <c r="Q38" s="3">
        <v>32.459693908691406</v>
      </c>
      <c r="R38" s="3">
        <v>31.766750335693359</v>
      </c>
      <c r="S38" s="3">
        <v>34.298328399658203</v>
      </c>
      <c r="T38" s="3">
        <v>32.100101470947266</v>
      </c>
      <c r="U38" s="3">
        <v>31.289216995239258</v>
      </c>
      <c r="V38" s="3">
        <v>31.282052993774414</v>
      </c>
      <c r="W38" s="3">
        <v>30.962444305419922</v>
      </c>
      <c r="X38" s="3">
        <v>31.789154052734375</v>
      </c>
      <c r="Y38" s="3">
        <v>31.34320068359375</v>
      </c>
      <c r="Z38" s="3">
        <v>30.957693099975586</v>
      </c>
      <c r="AA38" s="3">
        <v>32.254852294921875</v>
      </c>
      <c r="AB38" s="3">
        <v>30.799325942993164</v>
      </c>
      <c r="AC38" s="3">
        <v>31.526521682739258</v>
      </c>
      <c r="AD38" s="3">
        <v>29.12342643737793</v>
      </c>
      <c r="AE38" s="3">
        <v>25.049715042114258</v>
      </c>
      <c r="AF38" s="3">
        <v>25.666019439697266</v>
      </c>
      <c r="AG38" s="3">
        <v>27.983573913574219</v>
      </c>
      <c r="AH38" s="406">
        <v>29.026729583740234</v>
      </c>
    </row>
    <row r="39" spans="1:34" ht="30" customHeight="1" x14ac:dyDescent="0.2">
      <c r="A39" s="497"/>
      <c r="B39" s="2" t="s">
        <v>62</v>
      </c>
      <c r="C39" s="36" t="s">
        <v>44</v>
      </c>
      <c r="D39" s="3">
        <v>0</v>
      </c>
      <c r="E39" s="3">
        <v>0</v>
      </c>
      <c r="F39" s="3">
        <v>28.235664367675781</v>
      </c>
      <c r="G39" s="3">
        <v>18.098245620727539</v>
      </c>
      <c r="H39" s="3">
        <v>27.090944290161133</v>
      </c>
      <c r="I39" s="3">
        <v>26.245141983032227</v>
      </c>
      <c r="J39" s="3">
        <v>27.532623291015625</v>
      </c>
      <c r="K39" s="3">
        <v>27.646646499633789</v>
      </c>
      <c r="L39" s="3">
        <v>27.542011260986328</v>
      </c>
      <c r="M39" s="3">
        <v>27.649932861328125</v>
      </c>
      <c r="N39" s="3">
        <v>29.078824996948242</v>
      </c>
      <c r="O39" s="3">
        <v>28.081850051879883</v>
      </c>
      <c r="P39" s="3">
        <v>28.646999359130859</v>
      </c>
      <c r="Q39" s="3">
        <v>28.380992889404297</v>
      </c>
      <c r="R39" s="3">
        <v>28.095298767089844</v>
      </c>
      <c r="S39" s="3">
        <v>27.635387420654297</v>
      </c>
      <c r="T39" s="3">
        <v>28.284019470214844</v>
      </c>
      <c r="U39" s="3">
        <v>26.489517211914063</v>
      </c>
      <c r="V39" s="3">
        <v>28.052755355834961</v>
      </c>
      <c r="W39" s="3">
        <v>28.101537704467773</v>
      </c>
      <c r="X39" s="3">
        <v>25.093215942382813</v>
      </c>
      <c r="Y39" s="3">
        <v>28.7755126953125</v>
      </c>
      <c r="Z39" s="3">
        <v>27.891624450683594</v>
      </c>
      <c r="AA39" s="3">
        <v>27.220281600952148</v>
      </c>
      <c r="AB39" s="3">
        <v>0</v>
      </c>
      <c r="AC39" s="3">
        <v>7.5183839797973633</v>
      </c>
      <c r="AD39" s="3">
        <v>23.706863403320313</v>
      </c>
      <c r="AE39" s="3">
        <v>22.961324691772461</v>
      </c>
      <c r="AF39" s="3">
        <v>22.842626571655273</v>
      </c>
      <c r="AG39" s="3">
        <v>24.326408386230469</v>
      </c>
      <c r="AH39" s="406">
        <v>25.909770965576172</v>
      </c>
    </row>
    <row r="40" spans="1:34" ht="30" customHeight="1" x14ac:dyDescent="0.2">
      <c r="A40" s="498" t="s">
        <v>178</v>
      </c>
      <c r="B40" s="4" t="s">
        <v>165</v>
      </c>
      <c r="C40" s="36" t="s">
        <v>44</v>
      </c>
      <c r="D40" s="3">
        <f>Totalizer!D18-Totalizer!C18</f>
        <v>661</v>
      </c>
      <c r="E40" s="3">
        <f>Totalizer!E18-Totalizer!D18</f>
        <v>457</v>
      </c>
      <c r="F40" s="3">
        <f>Totalizer!F18-Totalizer!E18</f>
        <v>334</v>
      </c>
      <c r="G40" s="3">
        <f>Totalizer!G18-Totalizer!F18</f>
        <v>328</v>
      </c>
      <c r="H40" s="3">
        <f>Totalizer!H18-Totalizer!G18</f>
        <v>414</v>
      </c>
      <c r="I40" s="3">
        <f>Totalizer!I18-Totalizer!H18</f>
        <v>551</v>
      </c>
      <c r="J40" s="3">
        <f>Totalizer!J18-Totalizer!I18</f>
        <v>620</v>
      </c>
      <c r="K40" s="3">
        <f>Totalizer!K18-Totalizer!J18</f>
        <v>682</v>
      </c>
      <c r="L40" s="3">
        <f>Totalizer!L18-Totalizer!K18</f>
        <v>707</v>
      </c>
      <c r="M40" s="3">
        <f>Totalizer!M18-Totalizer!L18</f>
        <v>697</v>
      </c>
      <c r="N40" s="3">
        <f>Totalizer!N18-Totalizer!M18</f>
        <v>726</v>
      </c>
      <c r="O40" s="3">
        <f>Totalizer!O18-Totalizer!N18</f>
        <v>733</v>
      </c>
      <c r="P40" s="3">
        <f>Totalizer!P18-Totalizer!O18</f>
        <v>728</v>
      </c>
      <c r="Q40" s="3">
        <f>Totalizer!Q18-Totalizer!P18</f>
        <v>745</v>
      </c>
      <c r="R40" s="3">
        <f>Totalizer!R18-Totalizer!Q18</f>
        <v>772</v>
      </c>
      <c r="S40" s="3">
        <f>Totalizer!S18-Totalizer!R18</f>
        <v>702</v>
      </c>
      <c r="T40" s="3">
        <f>Totalizer!T18-Totalizer!S18</f>
        <v>718</v>
      </c>
      <c r="U40" s="3">
        <f>Totalizer!U18-Totalizer!T18</f>
        <v>728</v>
      </c>
      <c r="V40" s="3">
        <f>Totalizer!V18-Totalizer!U18</f>
        <v>723</v>
      </c>
      <c r="W40" s="3">
        <f>Totalizer!W18-Totalizer!V18</f>
        <v>748</v>
      </c>
      <c r="X40" s="3">
        <f>Totalizer!X18-Totalizer!W18</f>
        <v>731</v>
      </c>
      <c r="Y40" s="3">
        <f>Totalizer!Y18-Totalizer!X18</f>
        <v>740</v>
      </c>
      <c r="Z40" s="3">
        <f>Totalizer!Z18-Totalizer!Y18</f>
        <v>747</v>
      </c>
      <c r="AA40" s="3">
        <f>Totalizer!AA18-Totalizer!Z18</f>
        <v>740</v>
      </c>
      <c r="AB40" s="3">
        <f>Totalizer!AB18-Totalizer!AA18</f>
        <v>788</v>
      </c>
      <c r="AC40" s="3">
        <f>Totalizer!AC18-Totalizer!AB18</f>
        <v>662</v>
      </c>
      <c r="AD40" s="3">
        <f>Totalizer!AD18-Totalizer!AC18</f>
        <v>609</v>
      </c>
      <c r="AE40" s="3">
        <f>Totalizer!AE18-Totalizer!AD18</f>
        <v>581</v>
      </c>
      <c r="AF40" s="3">
        <f>Totalizer!AF18-Totalizer!AE18</f>
        <v>593</v>
      </c>
      <c r="AG40" s="3">
        <f>Totalizer!AG18-Totalizer!AF18</f>
        <v>617</v>
      </c>
      <c r="AH40" s="3">
        <f>Totalizer!AH18-Totalizer!AG18</f>
        <v>655</v>
      </c>
    </row>
    <row r="41" spans="1:34" ht="30" customHeight="1" x14ac:dyDescent="0.2">
      <c r="A41" s="498"/>
      <c r="B41" s="2" t="s">
        <v>61</v>
      </c>
      <c r="C41" s="36" t="s">
        <v>44</v>
      </c>
      <c r="D41" s="3">
        <v>31.255241394042969</v>
      </c>
      <c r="E41" s="3">
        <v>30.256309509277344</v>
      </c>
      <c r="F41" s="3">
        <v>18.243507385253906</v>
      </c>
      <c r="G41" s="3">
        <v>14.549275398254395</v>
      </c>
      <c r="H41" s="3">
        <v>19.185600280761719</v>
      </c>
      <c r="I41" s="3">
        <v>26.289974212646484</v>
      </c>
      <c r="J41" s="3">
        <v>27.395746231079102</v>
      </c>
      <c r="K41" s="3">
        <v>30.181659698486328</v>
      </c>
      <c r="L41" s="3">
        <v>30.991411209106445</v>
      </c>
      <c r="M41" s="3">
        <v>31.322128295898438</v>
      </c>
      <c r="N41" s="3">
        <v>32.026771545410156</v>
      </c>
      <c r="O41" s="3">
        <v>32.142292022705078</v>
      </c>
      <c r="P41" s="3">
        <v>32.762989044189453</v>
      </c>
      <c r="Q41" s="3">
        <v>33.820304870605469</v>
      </c>
      <c r="R41" s="3">
        <v>33.742332458496094</v>
      </c>
      <c r="S41" s="3">
        <v>31.965614318847656</v>
      </c>
      <c r="T41" s="3">
        <v>32.242191314697266</v>
      </c>
      <c r="U41" s="3">
        <v>32.275604248046875</v>
      </c>
      <c r="V41" s="3">
        <v>32.374576568603516</v>
      </c>
      <c r="W41" s="3">
        <v>32.348850250244141</v>
      </c>
      <c r="X41" s="3">
        <v>32.987407684326172</v>
      </c>
      <c r="Y41" s="3">
        <v>32.291618347167969</v>
      </c>
      <c r="Z41" s="3">
        <v>33.410770416259766</v>
      </c>
      <c r="AA41" s="3">
        <v>33.4227294921875</v>
      </c>
      <c r="AB41" s="3">
        <v>32.633739471435547</v>
      </c>
      <c r="AC41" s="100">
        <v>32.239646911621094</v>
      </c>
      <c r="AD41" s="100">
        <v>28.370473861694336</v>
      </c>
      <c r="AE41" s="3">
        <v>24.555084228515625</v>
      </c>
      <c r="AF41" s="3">
        <v>25.699682235717773</v>
      </c>
      <c r="AG41" s="3">
        <v>26.963981628417969</v>
      </c>
      <c r="AH41" s="406">
        <v>28.413171768188477</v>
      </c>
    </row>
    <row r="42" spans="1:34" ht="30" customHeight="1" x14ac:dyDescent="0.2">
      <c r="A42" s="498"/>
      <c r="B42" s="2" t="s">
        <v>62</v>
      </c>
      <c r="C42" s="36" t="s">
        <v>44</v>
      </c>
      <c r="D42" s="3">
        <v>0</v>
      </c>
      <c r="E42" s="3">
        <v>0</v>
      </c>
      <c r="F42" s="3">
        <v>12.22392463684082</v>
      </c>
      <c r="G42" s="3">
        <v>12.184327125549316</v>
      </c>
      <c r="H42" s="3">
        <v>13.784859657287598</v>
      </c>
      <c r="I42" s="3">
        <v>18.848325729370117</v>
      </c>
      <c r="J42" s="3">
        <v>24.561410903930664</v>
      </c>
      <c r="K42" s="3">
        <v>26.182136535644531</v>
      </c>
      <c r="L42" s="3">
        <v>27.315212249755859</v>
      </c>
      <c r="M42" s="3">
        <v>27.623941421508789</v>
      </c>
      <c r="N42" s="3">
        <v>28.137784957885742</v>
      </c>
      <c r="O42" s="3">
        <v>28.764379501342773</v>
      </c>
      <c r="P42" s="3">
        <v>28.425741195678711</v>
      </c>
      <c r="Q42" s="3">
        <v>29.142967224121094</v>
      </c>
      <c r="R42" s="3">
        <v>30.931619644165039</v>
      </c>
      <c r="S42" s="3">
        <v>27.781946182250977</v>
      </c>
      <c r="T42" s="3">
        <v>26.816585540771484</v>
      </c>
      <c r="U42" s="3">
        <v>28.246923446655273</v>
      </c>
      <c r="V42" s="3">
        <v>28.712501525878906</v>
      </c>
      <c r="W42" s="3">
        <v>29.288368225097656</v>
      </c>
      <c r="X42" s="3">
        <v>28.848112106323242</v>
      </c>
      <c r="Y42" s="3">
        <v>29.323516845703125</v>
      </c>
      <c r="Z42" s="3">
        <v>29.448089599609375</v>
      </c>
      <c r="AA42" s="3">
        <v>28.570638656616211</v>
      </c>
      <c r="AB42" s="3">
        <v>28.92169189453125</v>
      </c>
      <c r="AC42" s="100">
        <v>28.391269683837891</v>
      </c>
      <c r="AD42" s="100">
        <v>23.422109603881836</v>
      </c>
      <c r="AE42" s="3">
        <v>22.678333282470703</v>
      </c>
      <c r="AF42" s="3">
        <v>23.786928176879883</v>
      </c>
      <c r="AG42" s="3">
        <v>24.511434555053711</v>
      </c>
      <c r="AH42" s="406">
        <v>25.573429107666016</v>
      </c>
    </row>
    <row r="43" spans="1:34" ht="30" customHeight="1" x14ac:dyDescent="0.2">
      <c r="A43" s="498" t="s">
        <v>179</v>
      </c>
      <c r="B43" s="4" t="s">
        <v>165</v>
      </c>
      <c r="C43" s="36" t="s">
        <v>44</v>
      </c>
      <c r="D43" s="3">
        <f>Totalizer!D19-Totalizer!C19</f>
        <v>646</v>
      </c>
      <c r="E43" s="3">
        <f>Totalizer!E19-Totalizer!D19</f>
        <v>444</v>
      </c>
      <c r="F43" s="3">
        <f>Totalizer!F19-Totalizer!E19</f>
        <v>337</v>
      </c>
      <c r="G43" s="3">
        <f>Totalizer!G19-Totalizer!F19</f>
        <v>339</v>
      </c>
      <c r="H43" s="3">
        <f>Totalizer!H19-Totalizer!G19</f>
        <v>418</v>
      </c>
      <c r="I43" s="3">
        <f>Totalizer!I19-Totalizer!H19</f>
        <v>546</v>
      </c>
      <c r="J43" s="3">
        <f>Totalizer!J19-Totalizer!I19</f>
        <v>624</v>
      </c>
      <c r="K43" s="3">
        <f>Totalizer!K19-Totalizer!J19</f>
        <v>675</v>
      </c>
      <c r="L43" s="3">
        <f>Totalizer!L19-Totalizer!K19</f>
        <v>683</v>
      </c>
      <c r="M43" s="3">
        <f>Totalizer!M19-Totalizer!L19</f>
        <v>693</v>
      </c>
      <c r="N43" s="3">
        <f>Totalizer!N19-Totalizer!M19</f>
        <v>712</v>
      </c>
      <c r="O43" s="3">
        <f>Totalizer!O19-Totalizer!N19</f>
        <v>705</v>
      </c>
      <c r="P43" s="3">
        <f>Totalizer!P19-Totalizer!O19</f>
        <v>715</v>
      </c>
      <c r="Q43" s="3">
        <f>Totalizer!Q19-Totalizer!P19</f>
        <v>719</v>
      </c>
      <c r="R43" s="3">
        <f>Totalizer!R19-Totalizer!Q19</f>
        <v>747</v>
      </c>
      <c r="S43" s="3">
        <f>Totalizer!S19-Totalizer!R19</f>
        <v>714</v>
      </c>
      <c r="T43" s="3">
        <f>Totalizer!T19-Totalizer!S19</f>
        <v>711</v>
      </c>
      <c r="U43" s="3">
        <f>Totalizer!U19-Totalizer!T19</f>
        <v>733</v>
      </c>
      <c r="V43" s="3">
        <f>Totalizer!V19-Totalizer!U19</f>
        <v>705</v>
      </c>
      <c r="W43" s="3">
        <f>Totalizer!W19-Totalizer!V19</f>
        <v>723</v>
      </c>
      <c r="X43" s="3">
        <f>Totalizer!X19-Totalizer!W19</f>
        <v>733</v>
      </c>
      <c r="Y43" s="3">
        <f>Totalizer!Y19-Totalizer!X19</f>
        <v>722</v>
      </c>
      <c r="Z43" s="3">
        <f>Totalizer!Z19-Totalizer!Y19</f>
        <v>731</v>
      </c>
      <c r="AA43" s="3">
        <f>Totalizer!AA19-Totalizer!Z19</f>
        <v>718</v>
      </c>
      <c r="AB43" s="3">
        <f>Totalizer!AB19-Totalizer!AA19</f>
        <v>782</v>
      </c>
      <c r="AC43" s="3">
        <f>Totalizer!AC19-Totalizer!AB19</f>
        <v>650</v>
      </c>
      <c r="AD43" s="3">
        <f>Totalizer!AD19-Totalizer!AC19</f>
        <v>616</v>
      </c>
      <c r="AE43" s="3">
        <f>Totalizer!AE19-Totalizer!AD19</f>
        <v>568</v>
      </c>
      <c r="AF43" s="3">
        <f>Totalizer!AF19-Totalizer!AE19</f>
        <v>589</v>
      </c>
      <c r="AG43" s="3">
        <f>Totalizer!AG19-Totalizer!AF19</f>
        <v>624</v>
      </c>
      <c r="AH43" s="3">
        <f>Totalizer!AH19-Totalizer!AG19</f>
        <v>663</v>
      </c>
    </row>
    <row r="44" spans="1:34" ht="30" customHeight="1" x14ac:dyDescent="0.2">
      <c r="A44" s="498"/>
      <c r="B44" s="2" t="s">
        <v>61</v>
      </c>
      <c r="C44" s="36" t="s">
        <v>44</v>
      </c>
      <c r="D44" s="3">
        <v>31.025245666503906</v>
      </c>
      <c r="E44" s="3">
        <v>30.240413665771484</v>
      </c>
      <c r="F44" s="3">
        <v>18.565399169921875</v>
      </c>
      <c r="G44" s="3">
        <v>15.345970153808594</v>
      </c>
      <c r="H44" s="3">
        <v>19.34257698059082</v>
      </c>
      <c r="I44" s="3">
        <v>25.778633117675781</v>
      </c>
      <c r="J44" s="3">
        <v>27.85755729675293</v>
      </c>
      <c r="K44" s="3">
        <v>29.487140655517578</v>
      </c>
      <c r="L44" s="3">
        <v>29.335844039916992</v>
      </c>
      <c r="M44" s="3">
        <v>30.768566131591797</v>
      </c>
      <c r="N44" s="3">
        <v>30.89227294921875</v>
      </c>
      <c r="O44" s="3">
        <v>31.214105606079102</v>
      </c>
      <c r="P44" s="3">
        <v>31.836801528930664</v>
      </c>
      <c r="Q44" s="3">
        <v>32.458034515380859</v>
      </c>
      <c r="R44" s="3">
        <v>33.057662963867188</v>
      </c>
      <c r="S44" s="3">
        <v>32.31146240234375</v>
      </c>
      <c r="T44" s="3">
        <v>31.089468002319336</v>
      </c>
      <c r="U44" s="3">
        <v>31.535467147827148</v>
      </c>
      <c r="V44" s="3">
        <v>31.381320953369141</v>
      </c>
      <c r="W44" s="3">
        <v>32.030361175537109</v>
      </c>
      <c r="X44" s="3">
        <v>32.229412078857422</v>
      </c>
      <c r="Y44" s="3">
        <v>31.897594451904297</v>
      </c>
      <c r="Z44" s="3">
        <v>32.325023651123047</v>
      </c>
      <c r="AA44" s="3">
        <v>31.817352294921875</v>
      </c>
      <c r="AB44" s="3">
        <v>32.469913482666016</v>
      </c>
      <c r="AC44" s="100">
        <v>31.083520889282227</v>
      </c>
      <c r="AD44" s="100">
        <v>28.370473861694336</v>
      </c>
      <c r="AE44" s="3">
        <v>24.555084228515625</v>
      </c>
      <c r="AF44" s="3">
        <v>25.831928253173828</v>
      </c>
      <c r="AG44" s="3">
        <v>27.780755996704102</v>
      </c>
      <c r="AH44" s="406">
        <v>29.045324325561523</v>
      </c>
    </row>
    <row r="45" spans="1:34" ht="30" customHeight="1" x14ac:dyDescent="0.2">
      <c r="A45" s="498"/>
      <c r="B45" s="2" t="s">
        <v>62</v>
      </c>
      <c r="C45" s="36" t="s">
        <v>44</v>
      </c>
      <c r="D45" s="3">
        <v>0</v>
      </c>
      <c r="E45" s="3">
        <v>0</v>
      </c>
      <c r="F45" s="3">
        <v>11.451084136962891</v>
      </c>
      <c r="G45" s="3">
        <v>12.712366104125977</v>
      </c>
      <c r="H45" s="3">
        <v>14.166186332702637</v>
      </c>
      <c r="I45" s="3">
        <v>20.082540512084961</v>
      </c>
      <c r="J45" s="3">
        <v>24.696573257446289</v>
      </c>
      <c r="K45" s="3">
        <v>26.25837516784668</v>
      </c>
      <c r="L45" s="3">
        <v>26.772306442260742</v>
      </c>
      <c r="M45" s="3">
        <v>26.894929885864258</v>
      </c>
      <c r="N45" s="3">
        <v>28.169784545898438</v>
      </c>
      <c r="O45" s="3">
        <v>28.277439117431641</v>
      </c>
      <c r="P45" s="3">
        <v>27.983667373657227</v>
      </c>
      <c r="Q45" s="3">
        <v>27.493961334228516</v>
      </c>
      <c r="R45" s="3">
        <v>29.066085815429688</v>
      </c>
      <c r="S45" s="3">
        <v>27.635480880737305</v>
      </c>
      <c r="T45" s="3">
        <v>27.755722045898438</v>
      </c>
      <c r="U45" s="3">
        <v>28.168167114257813</v>
      </c>
      <c r="V45" s="3">
        <v>28.371671676635742</v>
      </c>
      <c r="W45" s="3">
        <v>28.615507125854492</v>
      </c>
      <c r="X45" s="3">
        <v>29.227371215820313</v>
      </c>
      <c r="Y45" s="3">
        <v>28.27320671081543</v>
      </c>
      <c r="Z45" s="3">
        <v>28.824838638305664</v>
      </c>
      <c r="AA45" s="3">
        <v>28.654367446899414</v>
      </c>
      <c r="AB45" s="3">
        <v>28.357364654541016</v>
      </c>
      <c r="AC45" s="100">
        <v>28.023502349853516</v>
      </c>
      <c r="AD45" s="100">
        <v>23.422109603881836</v>
      </c>
      <c r="AE45" s="3">
        <v>22.678333282470703</v>
      </c>
      <c r="AF45" s="3">
        <v>23.383760452270508</v>
      </c>
      <c r="AG45" s="3">
        <v>24.375495910644531</v>
      </c>
      <c r="AH45" s="406">
        <v>26.178554534912109</v>
      </c>
    </row>
    <row r="46" spans="1:34" ht="30" customHeight="1" x14ac:dyDescent="0.2">
      <c r="A46" s="498" t="s">
        <v>180</v>
      </c>
      <c r="B46" s="4" t="s">
        <v>165</v>
      </c>
      <c r="C46" s="36" t="s">
        <v>44</v>
      </c>
      <c r="D46" s="3">
        <f>Totalizer!D20-Totalizer!C20</f>
        <v>604</v>
      </c>
      <c r="E46" s="3">
        <f>Totalizer!E20-Totalizer!D20</f>
        <v>434</v>
      </c>
      <c r="F46" s="3">
        <f>Totalizer!F20-Totalizer!E20</f>
        <v>309</v>
      </c>
      <c r="G46" s="3">
        <f>Totalizer!G20-Totalizer!F20</f>
        <v>300</v>
      </c>
      <c r="H46" s="3">
        <f>Totalizer!H20-Totalizer!G20</f>
        <v>362</v>
      </c>
      <c r="I46" s="3">
        <f>Totalizer!I20-Totalizer!H20</f>
        <v>500</v>
      </c>
      <c r="J46" s="3">
        <f>Totalizer!J20-Totalizer!I20</f>
        <v>603</v>
      </c>
      <c r="K46" s="3">
        <f>Totalizer!K20-Totalizer!J20</f>
        <v>659</v>
      </c>
      <c r="L46" s="3">
        <f>Totalizer!L20-Totalizer!K20</f>
        <v>649</v>
      </c>
      <c r="M46" s="3">
        <f>Totalizer!M20-Totalizer!L20</f>
        <v>664</v>
      </c>
      <c r="N46" s="3">
        <f>Totalizer!N20-Totalizer!M20</f>
        <v>675</v>
      </c>
      <c r="O46" s="3">
        <f>Totalizer!O20-Totalizer!N20</f>
        <v>674</v>
      </c>
      <c r="P46" s="3">
        <f>Totalizer!P20-Totalizer!O20</f>
        <v>691</v>
      </c>
      <c r="Q46" s="3">
        <f>Totalizer!Q20-Totalizer!P20</f>
        <v>690</v>
      </c>
      <c r="R46" s="3">
        <f>Totalizer!R20-Totalizer!Q20</f>
        <v>729</v>
      </c>
      <c r="S46" s="3">
        <f>Totalizer!S20-Totalizer!R20</f>
        <v>701</v>
      </c>
      <c r="T46" s="3">
        <f>Totalizer!T20-Totalizer!S20</f>
        <v>693</v>
      </c>
      <c r="U46" s="3">
        <f>Totalizer!U20-Totalizer!T20</f>
        <v>725</v>
      </c>
      <c r="V46" s="3">
        <f>Totalizer!V20-Totalizer!U20</f>
        <v>694</v>
      </c>
      <c r="W46" s="3">
        <f>Totalizer!W20-Totalizer!V20</f>
        <v>712</v>
      </c>
      <c r="X46" s="3">
        <f>Totalizer!X20-Totalizer!W20</f>
        <v>718</v>
      </c>
      <c r="Y46" s="3">
        <f>Totalizer!Y20-Totalizer!X20</f>
        <v>707</v>
      </c>
      <c r="Z46" s="3">
        <f>Totalizer!Z20-Totalizer!Y20</f>
        <v>713</v>
      </c>
      <c r="AA46" s="3">
        <f>Totalizer!AA20-Totalizer!Z20</f>
        <v>711</v>
      </c>
      <c r="AB46" s="3">
        <f>Totalizer!AB20-Totalizer!AA20</f>
        <v>618</v>
      </c>
      <c r="AC46" s="3">
        <f>Totalizer!AC20-Totalizer!AB20</f>
        <v>636</v>
      </c>
      <c r="AD46" s="3">
        <f>Totalizer!AD20-Totalizer!AC20</f>
        <v>581</v>
      </c>
      <c r="AE46" s="3">
        <f>Totalizer!AE20-Totalizer!AD20</f>
        <v>565</v>
      </c>
      <c r="AF46" s="3">
        <f>Totalizer!AF20-Totalizer!AE20</f>
        <v>600</v>
      </c>
      <c r="AG46" s="3">
        <f>Totalizer!AG20-Totalizer!AF20</f>
        <v>598</v>
      </c>
      <c r="AH46" s="3">
        <f>Totalizer!AH20-Totalizer!AG20</f>
        <v>637</v>
      </c>
    </row>
    <row r="47" spans="1:34" ht="30" customHeight="1" x14ac:dyDescent="0.2">
      <c r="A47" s="498"/>
      <c r="B47" s="2" t="s">
        <v>61</v>
      </c>
      <c r="C47" s="36" t="s">
        <v>44</v>
      </c>
      <c r="D47" s="3">
        <v>30.552453994750977</v>
      </c>
      <c r="E47" s="3">
        <v>30.287038803100586</v>
      </c>
      <c r="F47" s="3">
        <v>16.929410934448242</v>
      </c>
      <c r="G47" s="3">
        <v>13.881756782531738</v>
      </c>
      <c r="H47" s="3">
        <v>16.750156402587891</v>
      </c>
      <c r="I47" s="3">
        <v>23.922554016113281</v>
      </c>
      <c r="J47" s="3">
        <v>28.201593399047852</v>
      </c>
      <c r="K47" s="3">
        <v>29.088691711425781</v>
      </c>
      <c r="L47" s="3">
        <v>28.729471206665039</v>
      </c>
      <c r="M47" s="3">
        <v>29.554609298706055</v>
      </c>
      <c r="N47" s="3">
        <v>30.313095092773438</v>
      </c>
      <c r="O47" s="3">
        <v>29.987520217895508</v>
      </c>
      <c r="P47" s="3">
        <v>30.110700607299805</v>
      </c>
      <c r="Q47" s="3">
        <v>29.906068801879883</v>
      </c>
      <c r="R47" s="3">
        <v>32.001811981201172</v>
      </c>
      <c r="S47" s="3">
        <v>32.448642730712891</v>
      </c>
      <c r="T47" s="3">
        <v>30.339807510375977</v>
      </c>
      <c r="U47" s="3">
        <v>31.551237106323242</v>
      </c>
      <c r="V47" s="3">
        <v>31.251205444335938</v>
      </c>
      <c r="W47" s="3">
        <v>31.082170486450195</v>
      </c>
      <c r="X47" s="3">
        <v>31.726730346679688</v>
      </c>
      <c r="Y47" s="3">
        <v>31.175050735473633</v>
      </c>
      <c r="Z47" s="3">
        <v>31.147609710693359</v>
      </c>
      <c r="AA47" s="3">
        <v>31.637834548950195</v>
      </c>
      <c r="AB47" s="3">
        <v>30.425897598266602</v>
      </c>
      <c r="AC47" s="100">
        <v>30.944093704223633</v>
      </c>
      <c r="AD47" s="100">
        <v>28.524984359741211</v>
      </c>
      <c r="AE47" s="3">
        <v>24.419090270996094</v>
      </c>
      <c r="AF47" s="3">
        <v>26.579750061035156</v>
      </c>
      <c r="AG47" s="3">
        <v>26.071247100830078</v>
      </c>
      <c r="AH47" s="406">
        <v>28.443767547607422</v>
      </c>
    </row>
    <row r="48" spans="1:34" ht="30" customHeight="1" x14ac:dyDescent="0.2">
      <c r="A48" s="498"/>
      <c r="B48" s="2" t="s">
        <v>62</v>
      </c>
      <c r="C48" s="36" t="s">
        <v>44</v>
      </c>
      <c r="D48" s="3">
        <v>0</v>
      </c>
      <c r="E48" s="3">
        <v>0</v>
      </c>
      <c r="F48" s="3">
        <v>10.66932201385498</v>
      </c>
      <c r="G48" s="3">
        <v>10.728147506713867</v>
      </c>
      <c r="H48" s="3">
        <v>12.665176391601563</v>
      </c>
      <c r="I48" s="3">
        <v>16.856023788452148</v>
      </c>
      <c r="J48" s="3">
        <v>23.573257446289063</v>
      </c>
      <c r="K48" s="3">
        <v>26.020784378051758</v>
      </c>
      <c r="L48" s="3">
        <v>25.75684928894043</v>
      </c>
      <c r="M48" s="3">
        <v>26.006294250488281</v>
      </c>
      <c r="N48" s="3">
        <v>26.305126190185547</v>
      </c>
      <c r="O48" s="3">
        <v>26.977802276611328</v>
      </c>
      <c r="P48" s="3">
        <v>27.098995208740234</v>
      </c>
      <c r="Q48" s="3">
        <v>27.034669876098633</v>
      </c>
      <c r="R48" s="3">
        <v>28.738370895385742</v>
      </c>
      <c r="S48" s="3">
        <v>27.197380065917969</v>
      </c>
      <c r="T48" s="3">
        <v>26.891769409179688</v>
      </c>
      <c r="U48" s="3">
        <v>27.482515335083008</v>
      </c>
      <c r="V48" s="3">
        <v>27.591751098632813</v>
      </c>
      <c r="W48" s="3">
        <v>27.499675750732422</v>
      </c>
      <c r="X48" s="3">
        <v>28.611955642700195</v>
      </c>
      <c r="Y48" s="3">
        <v>27.082508087158203</v>
      </c>
      <c r="Z48" s="3">
        <v>27.594449996948242</v>
      </c>
      <c r="AA48" s="3">
        <v>28.791444778442383</v>
      </c>
      <c r="AB48" s="3">
        <v>9.5969533920288086</v>
      </c>
      <c r="AC48" s="100">
        <v>27.183187484741211</v>
      </c>
      <c r="AD48" s="100">
        <v>22.389745712280273</v>
      </c>
      <c r="AE48" s="3">
        <v>22.902816772460938</v>
      </c>
      <c r="AF48" s="3">
        <v>23.559320449829102</v>
      </c>
      <c r="AG48" s="3">
        <v>23.460357666015625</v>
      </c>
      <c r="AH48" s="406">
        <v>24.427736282348633</v>
      </c>
    </row>
    <row r="49" spans="1:38" ht="30" customHeight="1" x14ac:dyDescent="0.2">
      <c r="A49" s="498" t="s">
        <v>181</v>
      </c>
      <c r="B49" s="4" t="s">
        <v>165</v>
      </c>
      <c r="C49" s="36" t="s">
        <v>44</v>
      </c>
      <c r="D49" s="3">
        <f>Totalizer!D21-Totalizer!C21</f>
        <v>611</v>
      </c>
      <c r="E49" s="3">
        <f>Totalizer!E21-Totalizer!D21</f>
        <v>468</v>
      </c>
      <c r="F49" s="3">
        <f>Totalizer!F21-Totalizer!E21</f>
        <v>344</v>
      </c>
      <c r="G49" s="3">
        <f>Totalizer!G21-Totalizer!F21</f>
        <v>315</v>
      </c>
      <c r="H49" s="3">
        <f>Totalizer!H21-Totalizer!G21</f>
        <v>403</v>
      </c>
      <c r="I49" s="3">
        <f>Totalizer!I21-Totalizer!H21</f>
        <v>522</v>
      </c>
      <c r="J49" s="3">
        <f>Totalizer!J21-Totalizer!I21</f>
        <v>616</v>
      </c>
      <c r="K49" s="3">
        <f>Totalizer!K21-Totalizer!J21</f>
        <v>658</v>
      </c>
      <c r="L49" s="3">
        <f>Totalizer!L21-Totalizer!K21</f>
        <v>677</v>
      </c>
      <c r="M49" s="3">
        <f>Totalizer!M21-Totalizer!L21</f>
        <v>694</v>
      </c>
      <c r="N49" s="3">
        <f>Totalizer!N21-Totalizer!M21</f>
        <v>681</v>
      </c>
      <c r="O49" s="3">
        <f>Totalizer!O21-Totalizer!N21</f>
        <v>707</v>
      </c>
      <c r="P49" s="3">
        <f>Totalizer!P21-Totalizer!O21</f>
        <v>703</v>
      </c>
      <c r="Q49" s="3">
        <f>Totalizer!Q21-Totalizer!P21</f>
        <v>714</v>
      </c>
      <c r="R49" s="3">
        <f>Totalizer!R21-Totalizer!Q21</f>
        <v>696</v>
      </c>
      <c r="S49" s="3">
        <f>Totalizer!S21-Totalizer!R21</f>
        <v>656</v>
      </c>
      <c r="T49" s="3">
        <f>Totalizer!T21-Totalizer!S21</f>
        <v>676</v>
      </c>
      <c r="U49" s="3">
        <f>Totalizer!U21-Totalizer!T21</f>
        <v>710</v>
      </c>
      <c r="V49" s="3">
        <f>Totalizer!V21-Totalizer!U21</f>
        <v>674</v>
      </c>
      <c r="W49" s="3">
        <f>Totalizer!W21-Totalizer!V21</f>
        <v>697</v>
      </c>
      <c r="X49" s="3">
        <f>Totalizer!X21-Totalizer!W21</f>
        <v>686</v>
      </c>
      <c r="Y49" s="3">
        <f>Totalizer!Y21-Totalizer!X21</f>
        <v>692</v>
      </c>
      <c r="Z49" s="3">
        <f>Totalizer!Z21-Totalizer!Y21</f>
        <v>697</v>
      </c>
      <c r="AA49" s="3">
        <f>Totalizer!AA21-Totalizer!Z21</f>
        <v>705</v>
      </c>
      <c r="AB49" s="3">
        <f>Totalizer!AB21-Totalizer!AA21</f>
        <v>729</v>
      </c>
      <c r="AC49" s="3">
        <f>Totalizer!AC21-Totalizer!AB21</f>
        <v>623</v>
      </c>
      <c r="AD49" s="3">
        <f>Totalizer!AD21-Totalizer!AC21</f>
        <v>584</v>
      </c>
      <c r="AE49" s="3">
        <f>Totalizer!AE21-Totalizer!AD21</f>
        <v>584</v>
      </c>
      <c r="AF49" s="3">
        <f>Totalizer!AF21-Totalizer!AE21</f>
        <v>591</v>
      </c>
      <c r="AG49" s="3">
        <f>Totalizer!AG21-Totalizer!AF21</f>
        <v>616</v>
      </c>
      <c r="AH49" s="3">
        <f>Totalizer!AH21-Totalizer!AG21</f>
        <v>654</v>
      </c>
    </row>
    <row r="50" spans="1:38" ht="30" customHeight="1" x14ac:dyDescent="0.2">
      <c r="A50" s="498"/>
      <c r="B50" s="2" t="s">
        <v>61</v>
      </c>
      <c r="C50" s="36" t="s">
        <v>44</v>
      </c>
      <c r="D50" s="3">
        <v>31.543075561523438</v>
      </c>
      <c r="E50" s="3">
        <v>30.477245330810547</v>
      </c>
      <c r="F50" s="3">
        <v>18.950342178344727</v>
      </c>
      <c r="G50" s="3">
        <v>14.181143760681152</v>
      </c>
      <c r="H50" s="3">
        <v>19.122732162475586</v>
      </c>
      <c r="I50" s="3">
        <v>25.750154495239258</v>
      </c>
      <c r="J50" s="3">
        <v>27.935426712036133</v>
      </c>
      <c r="K50" s="3">
        <v>29.094491958618164</v>
      </c>
      <c r="L50" s="3">
        <v>29.566398620605469</v>
      </c>
      <c r="M50" s="3">
        <v>30.249940872192383</v>
      </c>
      <c r="N50" s="3">
        <v>29.943880081176758</v>
      </c>
      <c r="O50" s="3">
        <v>31.260377883911133</v>
      </c>
      <c r="P50" s="3">
        <v>30.809749603271484</v>
      </c>
      <c r="Q50" s="3">
        <v>31.749641418457031</v>
      </c>
      <c r="R50" s="3">
        <v>31.002155303955078</v>
      </c>
      <c r="S50" s="3">
        <v>31.750297546386719</v>
      </c>
      <c r="T50" s="3">
        <v>29.643411636352539</v>
      </c>
      <c r="U50" s="3">
        <v>31.048788070678711</v>
      </c>
      <c r="V50" s="3">
        <v>30.485004425048828</v>
      </c>
      <c r="W50" s="3">
        <v>30.783847808837891</v>
      </c>
      <c r="X50" s="3">
        <v>30.437917709350586</v>
      </c>
      <c r="Y50" s="3">
        <v>30.197986602783203</v>
      </c>
      <c r="Z50" s="3">
        <v>29.823240280151367</v>
      </c>
      <c r="AA50" s="3">
        <v>31.184305191040039</v>
      </c>
      <c r="AB50" s="3">
        <v>30.474807739257813</v>
      </c>
      <c r="AC50" s="3">
        <v>29.500362396240234</v>
      </c>
      <c r="AD50" s="3">
        <v>27.345470428466797</v>
      </c>
      <c r="AE50" s="3">
        <v>26.059698104858398</v>
      </c>
      <c r="AF50" s="3">
        <v>25.446067810058594</v>
      </c>
      <c r="AG50" s="3">
        <v>26.680721282958984</v>
      </c>
      <c r="AH50" s="406">
        <v>28.554584503173828</v>
      </c>
    </row>
    <row r="51" spans="1:38" ht="30" customHeight="1" x14ac:dyDescent="0.2">
      <c r="A51" s="498"/>
      <c r="B51" s="2" t="s">
        <v>62</v>
      </c>
      <c r="C51" s="36" t="s">
        <v>44</v>
      </c>
      <c r="D51" s="3">
        <v>0</v>
      </c>
      <c r="E51" s="3">
        <v>0</v>
      </c>
      <c r="F51" s="3">
        <v>11.813135147094727</v>
      </c>
      <c r="G51" s="3">
        <v>11.097864151000977</v>
      </c>
      <c r="H51" s="3">
        <v>14.438098907470703</v>
      </c>
      <c r="I51" s="3">
        <v>19.06294059753418</v>
      </c>
      <c r="J51" s="3">
        <v>23.081676483154297</v>
      </c>
      <c r="K51" s="3">
        <v>26.209545135498047</v>
      </c>
      <c r="L51" s="248">
        <v>26.391494750976563</v>
      </c>
      <c r="M51" s="3">
        <v>27.026805877685547</v>
      </c>
      <c r="N51" s="3">
        <v>27.039012908935547</v>
      </c>
      <c r="O51" s="3">
        <v>28.294975280761719</v>
      </c>
      <c r="P51" s="3">
        <v>27.702146530151367</v>
      </c>
      <c r="Q51" s="3">
        <v>28.270235061645508</v>
      </c>
      <c r="R51" s="3">
        <v>26.584083557128906</v>
      </c>
      <c r="S51" s="3">
        <v>25.435529708862305</v>
      </c>
      <c r="T51" s="3">
        <v>26.498241424560547</v>
      </c>
      <c r="U51" s="3">
        <v>28.245882034301758</v>
      </c>
      <c r="V51" s="3">
        <v>26.930774688720703</v>
      </c>
      <c r="W51" s="3">
        <v>25.741044998168945</v>
      </c>
      <c r="X51" s="3">
        <v>26.27558708190918</v>
      </c>
      <c r="Y51" s="3">
        <v>27.482126235961914</v>
      </c>
      <c r="Z51" s="3">
        <v>27.749910354614258</v>
      </c>
      <c r="AA51" s="3">
        <v>27.564584732055664</v>
      </c>
      <c r="AB51" s="3">
        <v>26.885379791259766</v>
      </c>
      <c r="AC51" s="3">
        <v>26.305461883544922</v>
      </c>
      <c r="AD51" s="3">
        <v>22.343002319335938</v>
      </c>
      <c r="AE51" s="3">
        <v>23.02912712097168</v>
      </c>
      <c r="AF51" s="3">
        <v>23.315412521362305</v>
      </c>
      <c r="AG51" s="3">
        <v>23.608867645263672</v>
      </c>
      <c r="AH51" s="406">
        <v>25.736259460449219</v>
      </c>
    </row>
    <row r="52" spans="1:38" ht="9.75" customHeight="1" x14ac:dyDescent="0.2">
      <c r="A52" s="56"/>
      <c r="B52" s="56"/>
      <c r="C52" s="56"/>
      <c r="D52" s="56"/>
      <c r="E52" s="56"/>
      <c r="F52" s="56"/>
      <c r="G52" s="56"/>
      <c r="H52" s="56"/>
      <c r="I52" s="57"/>
      <c r="J52" s="56"/>
      <c r="K52" s="56"/>
      <c r="L52" s="56"/>
      <c r="M52" s="56"/>
      <c r="N52" s="56"/>
      <c r="O52" s="56"/>
      <c r="P52" s="56"/>
      <c r="Q52" s="56"/>
      <c r="R52" s="56"/>
      <c r="S52" s="56"/>
      <c r="T52" s="56"/>
      <c r="U52" s="56"/>
      <c r="V52" s="56"/>
      <c r="W52" s="56"/>
      <c r="X52" s="57"/>
      <c r="Y52" s="56"/>
      <c r="Z52" s="56"/>
      <c r="AA52" s="56"/>
      <c r="AB52" s="56"/>
      <c r="AC52" s="102"/>
      <c r="AD52" s="56"/>
      <c r="AE52" s="56"/>
      <c r="AF52" s="56"/>
      <c r="AG52" s="101"/>
      <c r="AH52" s="410"/>
    </row>
    <row r="53" spans="1:38" ht="27" customHeight="1" x14ac:dyDescent="0.2">
      <c r="A53" s="499" t="s">
        <v>499</v>
      </c>
      <c r="B53" s="2" t="s">
        <v>494</v>
      </c>
      <c r="C53" s="27" t="s">
        <v>182</v>
      </c>
      <c r="D53" s="28">
        <v>0</v>
      </c>
      <c r="E53" s="28">
        <v>0</v>
      </c>
      <c r="F53" s="28">
        <v>6</v>
      </c>
      <c r="G53" s="28">
        <v>6</v>
      </c>
      <c r="H53" s="28">
        <v>6</v>
      </c>
      <c r="I53" s="28">
        <v>6</v>
      </c>
      <c r="J53" s="28">
        <v>6</v>
      </c>
      <c r="K53" s="28">
        <v>6</v>
      </c>
      <c r="L53" s="28">
        <v>6</v>
      </c>
      <c r="M53" s="28">
        <v>6</v>
      </c>
      <c r="N53" s="28">
        <v>6</v>
      </c>
      <c r="O53" s="28">
        <v>6</v>
      </c>
      <c r="P53" s="28">
        <v>6</v>
      </c>
      <c r="Q53" s="28">
        <v>6</v>
      </c>
      <c r="R53" s="28">
        <v>6</v>
      </c>
      <c r="S53" s="28">
        <v>6</v>
      </c>
      <c r="T53" s="28">
        <v>6</v>
      </c>
      <c r="U53" s="28">
        <v>6</v>
      </c>
      <c r="V53" s="28">
        <v>6</v>
      </c>
      <c r="W53" s="28">
        <v>6</v>
      </c>
      <c r="X53" s="28">
        <v>6</v>
      </c>
      <c r="Y53" s="28">
        <v>6</v>
      </c>
      <c r="Z53" s="28">
        <v>6</v>
      </c>
      <c r="AA53" s="28">
        <v>6</v>
      </c>
      <c r="AB53" s="28">
        <v>6</v>
      </c>
      <c r="AC53" s="28">
        <v>6</v>
      </c>
      <c r="AD53" s="28">
        <v>6</v>
      </c>
      <c r="AE53" s="28">
        <v>6</v>
      </c>
      <c r="AF53" s="28">
        <v>6</v>
      </c>
      <c r="AG53" s="28">
        <v>6</v>
      </c>
      <c r="AH53" s="28">
        <v>6</v>
      </c>
    </row>
    <row r="54" spans="1:38" ht="29.25" customHeight="1" x14ac:dyDescent="0.2">
      <c r="A54" s="500"/>
      <c r="B54" s="2" t="s">
        <v>183</v>
      </c>
      <c r="C54" s="27" t="s">
        <v>182</v>
      </c>
      <c r="D54" s="28">
        <v>6</v>
      </c>
      <c r="E54" s="28">
        <v>6</v>
      </c>
      <c r="F54" s="28">
        <v>0</v>
      </c>
      <c r="G54" s="28">
        <v>0</v>
      </c>
      <c r="H54" s="28">
        <v>0</v>
      </c>
      <c r="I54" s="28">
        <v>0</v>
      </c>
      <c r="J54" s="28">
        <v>0</v>
      </c>
      <c r="K54" s="28">
        <v>0</v>
      </c>
      <c r="L54" s="28">
        <v>0</v>
      </c>
      <c r="M54" s="28">
        <v>0</v>
      </c>
      <c r="N54" s="28">
        <v>0</v>
      </c>
      <c r="O54" s="28">
        <v>0</v>
      </c>
      <c r="P54" s="28">
        <v>0</v>
      </c>
      <c r="Q54" s="28">
        <v>0</v>
      </c>
      <c r="R54" s="28">
        <v>0</v>
      </c>
      <c r="S54" s="28">
        <v>0</v>
      </c>
      <c r="T54" s="28">
        <v>0</v>
      </c>
      <c r="U54" s="28">
        <v>0</v>
      </c>
      <c r="V54" s="28">
        <v>0</v>
      </c>
      <c r="W54" s="28">
        <v>0</v>
      </c>
      <c r="X54" s="28">
        <v>0</v>
      </c>
      <c r="Y54" s="28">
        <v>0</v>
      </c>
      <c r="Z54" s="28">
        <v>0</v>
      </c>
      <c r="AA54" s="28">
        <v>0</v>
      </c>
      <c r="AB54" s="28">
        <v>0</v>
      </c>
      <c r="AC54" s="28">
        <v>0</v>
      </c>
      <c r="AD54" s="28">
        <v>0</v>
      </c>
      <c r="AE54" s="28">
        <v>0</v>
      </c>
      <c r="AF54" s="28">
        <v>0</v>
      </c>
      <c r="AG54" s="28">
        <v>0</v>
      </c>
      <c r="AH54" s="28">
        <v>0</v>
      </c>
    </row>
    <row r="55" spans="1:38" ht="39.75" customHeight="1" x14ac:dyDescent="0.2">
      <c r="A55" s="500"/>
      <c r="B55" s="41" t="s">
        <v>184</v>
      </c>
      <c r="C55" s="27" t="s">
        <v>52</v>
      </c>
      <c r="D55" s="50">
        <v>20.62</v>
      </c>
      <c r="E55" s="50">
        <v>22.541666666666668</v>
      </c>
      <c r="F55" s="50">
        <v>0</v>
      </c>
      <c r="G55" s="50">
        <v>0</v>
      </c>
      <c r="H55" s="50">
        <v>0</v>
      </c>
      <c r="I55" s="50">
        <v>0</v>
      </c>
      <c r="J55" s="50">
        <v>0</v>
      </c>
      <c r="K55" s="50">
        <v>0</v>
      </c>
      <c r="L55" s="50">
        <v>0</v>
      </c>
      <c r="M55" s="50">
        <v>0</v>
      </c>
      <c r="N55" s="50">
        <v>0</v>
      </c>
      <c r="O55" s="50">
        <v>0</v>
      </c>
      <c r="P55" s="50">
        <v>0</v>
      </c>
      <c r="Q55" s="50">
        <v>0</v>
      </c>
      <c r="R55" s="50">
        <v>0</v>
      </c>
      <c r="S55" s="50">
        <v>0</v>
      </c>
      <c r="T55" s="50">
        <v>0</v>
      </c>
      <c r="U55" s="50">
        <v>0</v>
      </c>
      <c r="V55" s="50">
        <v>0</v>
      </c>
      <c r="W55" s="50">
        <v>0</v>
      </c>
      <c r="X55" s="50">
        <v>0</v>
      </c>
      <c r="Y55" s="50">
        <v>0</v>
      </c>
      <c r="Z55" s="50">
        <v>0</v>
      </c>
      <c r="AA55" s="50">
        <v>0</v>
      </c>
      <c r="AB55" s="50">
        <v>0</v>
      </c>
      <c r="AC55" s="50">
        <v>0</v>
      </c>
      <c r="AD55" s="50">
        <v>0</v>
      </c>
      <c r="AE55" s="50">
        <v>0</v>
      </c>
      <c r="AF55" s="50">
        <v>0</v>
      </c>
      <c r="AG55" s="50">
        <v>0</v>
      </c>
      <c r="AH55" s="50">
        <v>0</v>
      </c>
    </row>
    <row r="56" spans="1:38" s="412" customFormat="1" ht="38.25" customHeight="1" x14ac:dyDescent="0.2">
      <c r="A56" s="500"/>
      <c r="B56" s="76" t="s">
        <v>185</v>
      </c>
      <c r="C56" s="77" t="s">
        <v>186</v>
      </c>
      <c r="D56" s="78">
        <f t="shared" ref="D56:T56" si="0">D53+(D54*D55)/24</f>
        <v>5.1550000000000002</v>
      </c>
      <c r="E56" s="78">
        <f t="shared" si="0"/>
        <v>5.635416666666667</v>
      </c>
      <c r="F56" s="78">
        <f t="shared" si="0"/>
        <v>6</v>
      </c>
      <c r="G56" s="78">
        <f t="shared" ref="G56:H56" si="1">G53+(G54*G55)/24</f>
        <v>6</v>
      </c>
      <c r="H56" s="78">
        <f t="shared" si="1"/>
        <v>6</v>
      </c>
      <c r="I56" s="78">
        <f t="shared" si="0"/>
        <v>6</v>
      </c>
      <c r="J56" s="78">
        <f t="shared" si="0"/>
        <v>6</v>
      </c>
      <c r="K56" s="78">
        <f t="shared" si="0"/>
        <v>6</v>
      </c>
      <c r="L56" s="78">
        <f t="shared" si="0"/>
        <v>6</v>
      </c>
      <c r="M56" s="78">
        <f t="shared" si="0"/>
        <v>6</v>
      </c>
      <c r="N56" s="78">
        <f t="shared" ref="N56:O56" si="2">N53+(N54*N55)/24</f>
        <v>6</v>
      </c>
      <c r="O56" s="78">
        <f t="shared" si="2"/>
        <v>6</v>
      </c>
      <c r="P56" s="78">
        <f t="shared" ref="P56:Q56" si="3">P53+(P54*P55)/24</f>
        <v>6</v>
      </c>
      <c r="Q56" s="78">
        <f t="shared" si="3"/>
        <v>6</v>
      </c>
      <c r="R56" s="78">
        <f t="shared" si="0"/>
        <v>6</v>
      </c>
      <c r="S56" s="78">
        <f t="shared" si="0"/>
        <v>6</v>
      </c>
      <c r="T56" s="78">
        <f t="shared" si="0"/>
        <v>6</v>
      </c>
      <c r="U56" s="78">
        <f t="shared" ref="U56:V56" si="4">U53+(U54*U55)/24</f>
        <v>6</v>
      </c>
      <c r="V56" s="78">
        <f t="shared" si="4"/>
        <v>6</v>
      </c>
      <c r="W56" s="78">
        <f t="shared" ref="W56:X56" si="5">W53+(W54*W55)/24</f>
        <v>6</v>
      </c>
      <c r="X56" s="78">
        <f t="shared" si="5"/>
        <v>6</v>
      </c>
      <c r="Y56" s="78">
        <f t="shared" ref="Y56:Z56" si="6">Y53+(Y54*Y55)/24</f>
        <v>6</v>
      </c>
      <c r="Z56" s="78">
        <f t="shared" si="6"/>
        <v>6</v>
      </c>
      <c r="AA56" s="78">
        <f t="shared" ref="AA56:AB56" si="7">AA53+(AA54*AA55)/24</f>
        <v>6</v>
      </c>
      <c r="AB56" s="78">
        <f t="shared" si="7"/>
        <v>6</v>
      </c>
      <c r="AC56" s="78">
        <f t="shared" ref="AC56" si="8">AC53+(AC54*AC55)/24</f>
        <v>6</v>
      </c>
      <c r="AD56" s="78">
        <f t="shared" ref="AD56" si="9">AD53+(AD54*AD55)/24</f>
        <v>6</v>
      </c>
      <c r="AE56" s="78">
        <f t="shared" ref="AE56:AF56" si="10">AE53+(AE54*AE55)/24</f>
        <v>6</v>
      </c>
      <c r="AF56" s="78">
        <f t="shared" si="10"/>
        <v>6</v>
      </c>
      <c r="AG56" s="78">
        <f t="shared" ref="AG56:AH56" si="11">AG53+(AG54*AG55)/24</f>
        <v>6</v>
      </c>
      <c r="AH56" s="78">
        <f t="shared" si="11"/>
        <v>6</v>
      </c>
      <c r="AI56" s="411"/>
      <c r="AJ56" s="411"/>
      <c r="AK56" s="411"/>
      <c r="AL56" s="411"/>
    </row>
    <row r="57" spans="1:38" x14ac:dyDescent="0.2">
      <c r="A57" s="56"/>
      <c r="B57" s="56"/>
      <c r="C57" s="56"/>
      <c r="D57" s="56"/>
      <c r="E57" s="56"/>
      <c r="F57" s="56"/>
      <c r="G57" s="56"/>
      <c r="H57" s="56"/>
      <c r="I57" s="56"/>
      <c r="J57" s="56"/>
      <c r="K57" s="56"/>
      <c r="L57" s="56"/>
      <c r="M57" s="56"/>
      <c r="N57" s="394"/>
      <c r="O57" s="56"/>
      <c r="P57" s="56"/>
      <c r="Q57" s="56">
        <v>0</v>
      </c>
      <c r="R57" s="56"/>
      <c r="S57" s="56"/>
      <c r="T57" s="56"/>
      <c r="U57" s="56"/>
      <c r="V57" s="56"/>
      <c r="W57" s="56"/>
      <c r="X57" s="56"/>
      <c r="Y57" s="56"/>
      <c r="Z57" s="56"/>
      <c r="AA57" s="56"/>
      <c r="AB57" s="56"/>
      <c r="AC57" s="56"/>
      <c r="AD57" s="56"/>
      <c r="AE57" s="56"/>
      <c r="AF57" s="56"/>
      <c r="AG57" s="101"/>
    </row>
    <row r="58" spans="1:38" ht="27" customHeight="1" x14ac:dyDescent="0.2">
      <c r="A58" s="501" t="s">
        <v>500</v>
      </c>
      <c r="B58" s="2" t="s">
        <v>495</v>
      </c>
      <c r="C58" s="27" t="s">
        <v>182</v>
      </c>
      <c r="D58" s="28">
        <v>0</v>
      </c>
      <c r="E58" s="28">
        <v>0</v>
      </c>
      <c r="F58" s="28">
        <v>6</v>
      </c>
      <c r="G58" s="28">
        <v>6</v>
      </c>
      <c r="H58" s="28">
        <v>6</v>
      </c>
      <c r="I58" s="28">
        <v>6</v>
      </c>
      <c r="J58" s="28">
        <v>6</v>
      </c>
      <c r="K58" s="28">
        <v>6</v>
      </c>
      <c r="L58" s="28">
        <v>6</v>
      </c>
      <c r="M58" s="28">
        <v>6</v>
      </c>
      <c r="N58" s="28">
        <v>6</v>
      </c>
      <c r="O58" s="28">
        <v>6</v>
      </c>
      <c r="P58" s="28">
        <v>6</v>
      </c>
      <c r="Q58" s="28">
        <v>6</v>
      </c>
      <c r="R58" s="28">
        <v>6</v>
      </c>
      <c r="S58" s="28">
        <v>6</v>
      </c>
      <c r="T58" s="28">
        <v>6</v>
      </c>
      <c r="U58" s="28">
        <v>6</v>
      </c>
      <c r="V58" s="28">
        <v>6</v>
      </c>
      <c r="W58" s="28">
        <v>6</v>
      </c>
      <c r="X58" s="28">
        <v>6</v>
      </c>
      <c r="Y58" s="28">
        <v>6</v>
      </c>
      <c r="Z58" s="28">
        <v>6</v>
      </c>
      <c r="AA58" s="28">
        <v>6</v>
      </c>
      <c r="AB58" s="28">
        <v>1</v>
      </c>
      <c r="AC58" s="28">
        <v>6</v>
      </c>
      <c r="AD58" s="28">
        <v>6</v>
      </c>
      <c r="AE58" s="28">
        <v>6</v>
      </c>
      <c r="AF58" s="28">
        <v>6</v>
      </c>
      <c r="AG58" s="28">
        <v>6</v>
      </c>
      <c r="AH58" s="28">
        <v>6</v>
      </c>
    </row>
    <row r="59" spans="1:38" ht="29.25" customHeight="1" x14ac:dyDescent="0.2">
      <c r="A59" s="502"/>
      <c r="B59" s="2" t="s">
        <v>183</v>
      </c>
      <c r="C59" s="27" t="s">
        <v>182</v>
      </c>
      <c r="D59" s="28">
        <v>6</v>
      </c>
      <c r="E59" s="28">
        <v>6</v>
      </c>
      <c r="F59" s="28">
        <v>0</v>
      </c>
      <c r="G59" s="28">
        <v>0</v>
      </c>
      <c r="H59" s="28">
        <v>0</v>
      </c>
      <c r="I59" s="28">
        <v>0</v>
      </c>
      <c r="J59" s="28">
        <v>0</v>
      </c>
      <c r="K59" s="28">
        <v>0</v>
      </c>
      <c r="L59" s="28">
        <v>0</v>
      </c>
      <c r="M59" s="28">
        <v>0</v>
      </c>
      <c r="N59" s="28">
        <v>0</v>
      </c>
      <c r="O59" s="28">
        <v>0</v>
      </c>
      <c r="P59" s="28">
        <v>0</v>
      </c>
      <c r="Q59" s="28">
        <v>0</v>
      </c>
      <c r="R59" s="28">
        <v>0</v>
      </c>
      <c r="S59" s="28">
        <v>0</v>
      </c>
      <c r="T59" s="28">
        <v>0</v>
      </c>
      <c r="U59" s="28">
        <v>0</v>
      </c>
      <c r="V59" s="28">
        <v>0</v>
      </c>
      <c r="W59" s="28">
        <v>0</v>
      </c>
      <c r="X59" s="28">
        <v>0</v>
      </c>
      <c r="Y59" s="28">
        <v>0</v>
      </c>
      <c r="Z59" s="28">
        <v>0</v>
      </c>
      <c r="AA59" s="28">
        <v>0</v>
      </c>
      <c r="AB59" s="28">
        <v>5</v>
      </c>
      <c r="AC59" s="28">
        <v>0</v>
      </c>
      <c r="AD59" s="28">
        <v>0</v>
      </c>
      <c r="AE59" s="28">
        <v>0</v>
      </c>
      <c r="AF59" s="28">
        <v>0</v>
      </c>
      <c r="AG59" s="28">
        <v>0</v>
      </c>
      <c r="AH59" s="28">
        <v>0</v>
      </c>
    </row>
    <row r="60" spans="1:38" ht="39.75" customHeight="1" x14ac:dyDescent="0.2">
      <c r="A60" s="502"/>
      <c r="B60" s="41" t="s">
        <v>184</v>
      </c>
      <c r="C60" s="27" t="s">
        <v>52</v>
      </c>
      <c r="D60" s="50">
        <v>20.62</v>
      </c>
      <c r="E60" s="50">
        <v>21.833333333333332</v>
      </c>
      <c r="F60" s="50">
        <v>0</v>
      </c>
      <c r="G60" s="50">
        <v>0</v>
      </c>
      <c r="H60" s="50">
        <v>0</v>
      </c>
      <c r="I60" s="50">
        <v>0</v>
      </c>
      <c r="J60" s="50">
        <v>0</v>
      </c>
      <c r="K60" s="50">
        <v>0</v>
      </c>
      <c r="L60" s="50">
        <v>0</v>
      </c>
      <c r="M60" s="50">
        <v>0</v>
      </c>
      <c r="N60" s="50">
        <v>0</v>
      </c>
      <c r="O60" s="50">
        <v>0</v>
      </c>
      <c r="P60" s="50">
        <v>0</v>
      </c>
      <c r="Q60" s="50">
        <v>0</v>
      </c>
      <c r="R60" s="50">
        <v>0</v>
      </c>
      <c r="S60" s="50">
        <v>0</v>
      </c>
      <c r="T60" s="50">
        <v>0</v>
      </c>
      <c r="U60" s="50">
        <v>0</v>
      </c>
      <c r="V60" s="50">
        <v>0</v>
      </c>
      <c r="W60" s="50">
        <v>0</v>
      </c>
      <c r="X60" s="50">
        <v>0</v>
      </c>
      <c r="Y60" s="50">
        <v>0</v>
      </c>
      <c r="Z60" s="50">
        <v>0</v>
      </c>
      <c r="AA60" s="50">
        <v>0</v>
      </c>
      <c r="AB60" s="50">
        <v>6.25</v>
      </c>
      <c r="AC60" s="50">
        <v>0</v>
      </c>
      <c r="AD60" s="50">
        <v>0</v>
      </c>
      <c r="AE60" s="50">
        <v>0</v>
      </c>
      <c r="AF60" s="50">
        <v>0</v>
      </c>
      <c r="AG60" s="50">
        <v>0</v>
      </c>
      <c r="AH60" s="50">
        <v>0</v>
      </c>
    </row>
    <row r="61" spans="1:38" s="412" customFormat="1" ht="38.25" customHeight="1" x14ac:dyDescent="0.2">
      <c r="A61" s="502"/>
      <c r="B61" s="76" t="s">
        <v>185</v>
      </c>
      <c r="C61" s="77" t="s">
        <v>186</v>
      </c>
      <c r="D61" s="78">
        <f t="shared" ref="D61:AA61" si="12">D58+(D59*D60)/24</f>
        <v>5.1550000000000002</v>
      </c>
      <c r="E61" s="78">
        <f t="shared" si="12"/>
        <v>5.458333333333333</v>
      </c>
      <c r="F61" s="78">
        <f>F58+(F59*F60)/24</f>
        <v>6</v>
      </c>
      <c r="G61" s="78">
        <f>G58+(G59*G60)/24</f>
        <v>6</v>
      </c>
      <c r="H61" s="78">
        <f>H58+(H59*H60)/24</f>
        <v>6</v>
      </c>
      <c r="I61" s="78">
        <f t="shared" si="12"/>
        <v>6</v>
      </c>
      <c r="J61" s="78">
        <f t="shared" si="12"/>
        <v>6</v>
      </c>
      <c r="K61" s="78">
        <f t="shared" si="12"/>
        <v>6</v>
      </c>
      <c r="L61" s="78">
        <f t="shared" si="12"/>
        <v>6</v>
      </c>
      <c r="M61" s="78">
        <f t="shared" si="12"/>
        <v>6</v>
      </c>
      <c r="N61" s="78">
        <f t="shared" ref="N61:O61" si="13">N58+(N59*N60)/24</f>
        <v>6</v>
      </c>
      <c r="O61" s="78">
        <f t="shared" si="13"/>
        <v>6</v>
      </c>
      <c r="P61" s="78">
        <f t="shared" ref="P61:Q61" si="14">P58+(P59*P60)/24</f>
        <v>6</v>
      </c>
      <c r="Q61" s="78">
        <f t="shared" si="14"/>
        <v>6</v>
      </c>
      <c r="R61" s="78">
        <f t="shared" si="12"/>
        <v>6</v>
      </c>
      <c r="S61" s="78">
        <f t="shared" si="12"/>
        <v>6</v>
      </c>
      <c r="T61" s="78">
        <f t="shared" si="12"/>
        <v>6</v>
      </c>
      <c r="U61" s="78">
        <f t="shared" ref="U61:V61" si="15">U58+(U59*U60)/24</f>
        <v>6</v>
      </c>
      <c r="V61" s="78">
        <f t="shared" si="15"/>
        <v>6</v>
      </c>
      <c r="W61" s="78">
        <f t="shared" ref="W61:X61" si="16">W58+(W59*W60)/24</f>
        <v>6</v>
      </c>
      <c r="X61" s="78">
        <f t="shared" si="16"/>
        <v>6</v>
      </c>
      <c r="Y61" s="78">
        <f t="shared" ref="Y61" si="17">Y58+(Y59*Y60)/24</f>
        <v>6</v>
      </c>
      <c r="Z61" s="78">
        <f t="shared" si="12"/>
        <v>6</v>
      </c>
      <c r="AA61" s="78">
        <f t="shared" si="12"/>
        <v>6</v>
      </c>
      <c r="AB61" s="78">
        <f t="shared" ref="AB61" si="18">AB58+(AB59*AB60)/24</f>
        <v>2.302083333333333</v>
      </c>
      <c r="AC61" s="78">
        <f t="shared" ref="AC61" si="19">AC58+(AC59*AC60)/24</f>
        <v>6</v>
      </c>
      <c r="AD61" s="78">
        <f t="shared" ref="AD61:AE61" si="20">AD58+(AD59*AD60)/24</f>
        <v>6</v>
      </c>
      <c r="AE61" s="78">
        <f t="shared" si="20"/>
        <v>6</v>
      </c>
      <c r="AF61" s="78">
        <f t="shared" ref="AF61:AG61" si="21">AF58+(AF59*AF60)/24</f>
        <v>6</v>
      </c>
      <c r="AG61" s="78">
        <f t="shared" si="21"/>
        <v>6</v>
      </c>
      <c r="AH61" s="78">
        <f t="shared" ref="AH61" si="22">AH58+(AH59*AH60)/24</f>
        <v>6</v>
      </c>
      <c r="AI61" s="411"/>
      <c r="AJ61" s="411"/>
      <c r="AK61" s="411"/>
      <c r="AL61" s="411"/>
    </row>
    <row r="62" spans="1:38" x14ac:dyDescent="0.2">
      <c r="A62" s="395"/>
      <c r="B62" s="396" t="s">
        <v>187</v>
      </c>
      <c r="C62" s="394">
        <f>$E4</f>
        <v>559</v>
      </c>
      <c r="D62" s="394">
        <f>$E7</f>
        <v>581</v>
      </c>
      <c r="E62" s="394">
        <f>$E10</f>
        <v>525</v>
      </c>
      <c r="F62" s="394">
        <f>$E13</f>
        <v>527</v>
      </c>
      <c r="G62" s="394">
        <f>$E34</f>
        <v>633</v>
      </c>
      <c r="H62" s="394">
        <f>$E37</f>
        <v>492</v>
      </c>
      <c r="I62" s="394">
        <f>$E16</f>
        <v>531</v>
      </c>
      <c r="J62" s="394">
        <v>26</v>
      </c>
      <c r="K62" s="394">
        <v>25</v>
      </c>
      <c r="L62" s="394">
        <f>$E25</f>
        <v>573</v>
      </c>
      <c r="M62" s="394">
        <f>$E28</f>
        <v>580</v>
      </c>
      <c r="N62" s="394">
        <f>$E31</f>
        <v>632</v>
      </c>
      <c r="O62" s="394">
        <v>30.400520324707031</v>
      </c>
      <c r="P62" s="394">
        <f>$E43</f>
        <v>444</v>
      </c>
      <c r="Q62" s="394">
        <v>26</v>
      </c>
      <c r="R62" s="394">
        <f>$E49</f>
        <v>468</v>
      </c>
      <c r="S62" s="56"/>
      <c r="T62" s="56"/>
      <c r="U62" s="397"/>
      <c r="V62" s="101"/>
      <c r="W62" s="56"/>
      <c r="X62" s="56"/>
      <c r="Y62" s="56"/>
      <c r="Z62" s="56"/>
      <c r="AA62" s="56"/>
      <c r="AB62" s="56">
        <f>24-AB61</f>
        <v>21.697916666666668</v>
      </c>
      <c r="AC62" s="56"/>
      <c r="AD62" s="56"/>
      <c r="AE62" s="56"/>
      <c r="AF62" s="56"/>
      <c r="AG62" s="101"/>
    </row>
    <row r="63" spans="1:38" ht="27" customHeight="1" x14ac:dyDescent="0.2">
      <c r="A63" s="490" t="s">
        <v>501</v>
      </c>
      <c r="B63" s="2" t="s">
        <v>496</v>
      </c>
      <c r="C63" s="27" t="s">
        <v>182</v>
      </c>
      <c r="D63" s="28">
        <v>0</v>
      </c>
      <c r="E63" s="28">
        <v>0</v>
      </c>
      <c r="F63" s="28">
        <v>4</v>
      </c>
      <c r="G63" s="28">
        <v>4</v>
      </c>
      <c r="H63" s="28">
        <v>4</v>
      </c>
      <c r="I63" s="28">
        <v>4</v>
      </c>
      <c r="J63" s="28">
        <v>4</v>
      </c>
      <c r="K63" s="28">
        <v>4</v>
      </c>
      <c r="L63" s="28">
        <v>4</v>
      </c>
      <c r="M63" s="28">
        <v>4</v>
      </c>
      <c r="N63" s="28">
        <v>4</v>
      </c>
      <c r="O63" s="28">
        <v>4</v>
      </c>
      <c r="P63" s="28">
        <v>4</v>
      </c>
      <c r="Q63" s="28">
        <v>4</v>
      </c>
      <c r="R63" s="28">
        <v>4</v>
      </c>
      <c r="S63" s="28">
        <v>4</v>
      </c>
      <c r="T63" s="28">
        <v>4</v>
      </c>
      <c r="U63" s="28">
        <v>4</v>
      </c>
      <c r="V63" s="28">
        <v>4</v>
      </c>
      <c r="W63" s="28">
        <v>4</v>
      </c>
      <c r="X63" s="28">
        <v>4</v>
      </c>
      <c r="Y63" s="28">
        <v>4</v>
      </c>
      <c r="Z63" s="28">
        <v>4</v>
      </c>
      <c r="AA63" s="28">
        <v>4</v>
      </c>
      <c r="AB63" s="28">
        <v>4</v>
      </c>
      <c r="AC63" s="28">
        <v>4</v>
      </c>
      <c r="AD63" s="28">
        <v>4</v>
      </c>
      <c r="AE63" s="28">
        <v>4</v>
      </c>
      <c r="AF63" s="28">
        <v>4</v>
      </c>
      <c r="AG63" s="28">
        <v>4</v>
      </c>
      <c r="AH63" s="28">
        <v>4</v>
      </c>
    </row>
    <row r="64" spans="1:38" ht="29.25" customHeight="1" x14ac:dyDescent="0.2">
      <c r="A64" s="491"/>
      <c r="B64" s="2" t="s">
        <v>183</v>
      </c>
      <c r="C64" s="27" t="s">
        <v>182</v>
      </c>
      <c r="D64" s="28">
        <v>4</v>
      </c>
      <c r="E64" s="28">
        <v>4</v>
      </c>
      <c r="F64" s="28">
        <v>0</v>
      </c>
      <c r="G64" s="28">
        <v>0</v>
      </c>
      <c r="H64" s="28">
        <v>0</v>
      </c>
      <c r="I64" s="28">
        <v>0</v>
      </c>
      <c r="J64" s="28">
        <v>0</v>
      </c>
      <c r="K64" s="28">
        <v>0</v>
      </c>
      <c r="L64" s="28">
        <v>0</v>
      </c>
      <c r="M64" s="28">
        <v>0</v>
      </c>
      <c r="N64" s="28">
        <v>0</v>
      </c>
      <c r="O64" s="28">
        <v>0</v>
      </c>
      <c r="P64" s="28">
        <v>0</v>
      </c>
      <c r="Q64" s="28">
        <v>0</v>
      </c>
      <c r="R64" s="28">
        <v>0</v>
      </c>
      <c r="S64" s="28">
        <v>0</v>
      </c>
      <c r="T64" s="28">
        <v>0</v>
      </c>
      <c r="U64" s="28">
        <v>0</v>
      </c>
      <c r="V64" s="28">
        <v>0</v>
      </c>
      <c r="W64" s="28">
        <v>0</v>
      </c>
      <c r="X64" s="28">
        <v>0</v>
      </c>
      <c r="Y64" s="28">
        <v>0</v>
      </c>
      <c r="Z64" s="28">
        <v>0</v>
      </c>
      <c r="AA64" s="28">
        <v>0</v>
      </c>
      <c r="AB64" s="28">
        <v>0</v>
      </c>
      <c r="AC64" s="28">
        <v>0</v>
      </c>
      <c r="AD64" s="28">
        <v>0</v>
      </c>
      <c r="AE64" s="28">
        <v>0</v>
      </c>
      <c r="AF64" s="28">
        <v>0</v>
      </c>
      <c r="AG64" s="28">
        <v>0</v>
      </c>
      <c r="AH64" s="28">
        <v>0</v>
      </c>
    </row>
    <row r="65" spans="1:38" ht="39.75" customHeight="1" x14ac:dyDescent="0.2">
      <c r="A65" s="491"/>
      <c r="B65" s="41" t="s">
        <v>184</v>
      </c>
      <c r="C65" s="27" t="s">
        <v>52</v>
      </c>
      <c r="D65" s="50">
        <v>20.62</v>
      </c>
      <c r="E65" s="50">
        <v>21.5</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v>0</v>
      </c>
    </row>
    <row r="66" spans="1:38" s="412" customFormat="1" ht="38.25" customHeight="1" x14ac:dyDescent="0.2">
      <c r="A66" s="491"/>
      <c r="B66" s="76" t="s">
        <v>185</v>
      </c>
      <c r="C66" s="77" t="s">
        <v>186</v>
      </c>
      <c r="D66" s="78">
        <f t="shared" ref="D66:T66" si="23">D63+(D64*D65)/24</f>
        <v>3.436666666666667</v>
      </c>
      <c r="E66" s="78">
        <f t="shared" si="23"/>
        <v>3.5833333333333335</v>
      </c>
      <c r="F66" s="78">
        <f t="shared" si="23"/>
        <v>4</v>
      </c>
      <c r="G66" s="78">
        <f t="shared" ref="G66:H66" si="24">G63+(G64*G65)/24</f>
        <v>4</v>
      </c>
      <c r="H66" s="78">
        <f t="shared" si="24"/>
        <v>4</v>
      </c>
      <c r="I66" s="78">
        <f t="shared" si="23"/>
        <v>4</v>
      </c>
      <c r="J66" s="78">
        <f t="shared" si="23"/>
        <v>4</v>
      </c>
      <c r="K66" s="78">
        <f t="shared" si="23"/>
        <v>4</v>
      </c>
      <c r="L66" s="78">
        <f t="shared" si="23"/>
        <v>4</v>
      </c>
      <c r="M66" s="78">
        <f t="shared" si="23"/>
        <v>4</v>
      </c>
      <c r="N66" s="78">
        <f t="shared" ref="N66:O66" si="25">N63+(N64*N65)/24</f>
        <v>4</v>
      </c>
      <c r="O66" s="78">
        <f t="shared" si="25"/>
        <v>4</v>
      </c>
      <c r="P66" s="78">
        <f t="shared" ref="P66:Q66" si="26">P63+(P64*P65)/24</f>
        <v>4</v>
      </c>
      <c r="Q66" s="78">
        <f t="shared" si="26"/>
        <v>4</v>
      </c>
      <c r="R66" s="78">
        <f t="shared" si="23"/>
        <v>4</v>
      </c>
      <c r="S66" s="78">
        <f t="shared" si="23"/>
        <v>4</v>
      </c>
      <c r="T66" s="78">
        <f t="shared" si="23"/>
        <v>4</v>
      </c>
      <c r="U66" s="78">
        <f t="shared" ref="U66:V66" si="27">U63+(U64*U65)/24</f>
        <v>4</v>
      </c>
      <c r="V66" s="78">
        <f t="shared" si="27"/>
        <v>4</v>
      </c>
      <c r="W66" s="78">
        <f t="shared" ref="W66:X66" si="28">W63+(W64*W65)/24</f>
        <v>4</v>
      </c>
      <c r="X66" s="78">
        <f t="shared" si="28"/>
        <v>4</v>
      </c>
      <c r="Y66" s="78">
        <f t="shared" ref="Y66:Z66" si="29">Y63+(Y64*Y65)/24</f>
        <v>4</v>
      </c>
      <c r="Z66" s="78">
        <f t="shared" si="29"/>
        <v>4</v>
      </c>
      <c r="AA66" s="78">
        <f t="shared" ref="AA66:AB66" si="30">AA63+(AA64*AA65)/24</f>
        <v>4</v>
      </c>
      <c r="AB66" s="78">
        <f t="shared" si="30"/>
        <v>4</v>
      </c>
      <c r="AC66" s="78">
        <f t="shared" ref="AC66" si="31">AC63+(AC64*AC65)/24</f>
        <v>4</v>
      </c>
      <c r="AD66" s="78">
        <f t="shared" ref="AD66" si="32">AD63+(AD64*AD65)/24</f>
        <v>4</v>
      </c>
      <c r="AE66" s="78">
        <f t="shared" ref="AE66:AF66" si="33">AE63+(AE64*AE65)/24</f>
        <v>4</v>
      </c>
      <c r="AF66" s="78">
        <f t="shared" si="33"/>
        <v>4</v>
      </c>
      <c r="AG66" s="78">
        <f t="shared" ref="AG66:AH66" si="34">AG63+(AG64*AG65)/24</f>
        <v>4</v>
      </c>
      <c r="AH66" s="78">
        <f t="shared" si="34"/>
        <v>4</v>
      </c>
      <c r="AI66" s="411"/>
      <c r="AJ66" s="411"/>
      <c r="AK66" s="411"/>
      <c r="AL66" s="411"/>
    </row>
    <row r="67" spans="1:38" x14ac:dyDescent="0.2">
      <c r="A67" s="395"/>
      <c r="B67" s="396" t="s">
        <v>188</v>
      </c>
      <c r="C67" s="394">
        <f>$J4</f>
        <v>705</v>
      </c>
      <c r="D67" s="394">
        <f>$J7</f>
        <v>711</v>
      </c>
      <c r="E67" s="394">
        <f>$J10</f>
        <v>698</v>
      </c>
      <c r="F67" s="394">
        <f>$J13</f>
        <v>674</v>
      </c>
      <c r="G67" s="394">
        <f>$J34</f>
        <v>719</v>
      </c>
      <c r="H67" s="394">
        <f>$J37</f>
        <v>670</v>
      </c>
      <c r="I67" s="394">
        <f>$J16</f>
        <v>691</v>
      </c>
      <c r="J67" s="394"/>
      <c r="K67" s="394"/>
      <c r="L67" s="394">
        <f>$J25</f>
        <v>748</v>
      </c>
      <c r="M67" s="394">
        <f>$J28</f>
        <v>693</v>
      </c>
      <c r="N67" s="394">
        <f>$J31</f>
        <v>711</v>
      </c>
      <c r="O67" s="394">
        <f>$J40</f>
        <v>620</v>
      </c>
      <c r="P67" s="394">
        <f>$J43</f>
        <v>624</v>
      </c>
      <c r="Q67" s="394"/>
      <c r="R67" s="394">
        <f>$J49</f>
        <v>616</v>
      </c>
      <c r="S67" s="56"/>
      <c r="T67" s="56"/>
      <c r="U67" s="397"/>
      <c r="V67" s="101"/>
      <c r="W67" s="56"/>
      <c r="X67" s="56"/>
      <c r="Y67" s="56"/>
      <c r="Z67" s="56"/>
      <c r="AA67" s="56"/>
      <c r="AB67" s="56"/>
      <c r="AC67" s="56"/>
      <c r="AD67" s="56"/>
      <c r="AE67" s="56"/>
      <c r="AF67" s="56"/>
      <c r="AG67" s="101"/>
    </row>
    <row r="68" spans="1:38" ht="27" customHeight="1" x14ac:dyDescent="0.2">
      <c r="A68" s="490" t="s">
        <v>504</v>
      </c>
      <c r="B68" s="2" t="s">
        <v>498</v>
      </c>
      <c r="C68" s="27" t="s">
        <v>182</v>
      </c>
      <c r="D68" s="28">
        <f>D53+D58+D63</f>
        <v>0</v>
      </c>
      <c r="E68" s="28">
        <f>E53+E58+E63</f>
        <v>0</v>
      </c>
      <c r="F68" s="28">
        <v>16</v>
      </c>
      <c r="G68" s="28">
        <v>16</v>
      </c>
      <c r="H68" s="28">
        <v>16</v>
      </c>
      <c r="I68" s="28">
        <v>16</v>
      </c>
      <c r="J68" s="28">
        <v>16</v>
      </c>
      <c r="K68" s="28">
        <v>16</v>
      </c>
      <c r="L68" s="28">
        <v>16</v>
      </c>
      <c r="M68" s="28">
        <v>16</v>
      </c>
      <c r="N68" s="28">
        <v>16</v>
      </c>
      <c r="O68" s="28">
        <v>16</v>
      </c>
      <c r="P68" s="28">
        <v>16</v>
      </c>
      <c r="Q68" s="28">
        <v>16</v>
      </c>
      <c r="R68" s="28">
        <v>16</v>
      </c>
      <c r="S68" s="28">
        <v>16</v>
      </c>
      <c r="T68" s="28">
        <v>16</v>
      </c>
      <c r="U68" s="28">
        <v>16</v>
      </c>
      <c r="V68" s="28">
        <v>16</v>
      </c>
      <c r="W68" s="28">
        <v>16</v>
      </c>
      <c r="X68" s="28">
        <v>16</v>
      </c>
      <c r="Y68" s="28">
        <v>16</v>
      </c>
      <c r="Z68" s="28">
        <v>16</v>
      </c>
      <c r="AA68" s="28">
        <v>16</v>
      </c>
      <c r="AB68" s="28">
        <v>11</v>
      </c>
      <c r="AC68" s="28">
        <v>16</v>
      </c>
      <c r="AD68" s="28">
        <v>16</v>
      </c>
      <c r="AE68" s="28">
        <v>16</v>
      </c>
      <c r="AF68" s="28">
        <v>16</v>
      </c>
      <c r="AG68" s="28">
        <v>16</v>
      </c>
      <c r="AH68" s="28">
        <v>16</v>
      </c>
    </row>
    <row r="69" spans="1:38" ht="29.25" customHeight="1" x14ac:dyDescent="0.2">
      <c r="A69" s="491"/>
      <c r="B69" s="2" t="s">
        <v>183</v>
      </c>
      <c r="C69" s="27" t="s">
        <v>182</v>
      </c>
      <c r="D69" s="28">
        <f>D54+D59+D64</f>
        <v>16</v>
      </c>
      <c r="E69" s="28">
        <v>16</v>
      </c>
      <c r="F69" s="28">
        <v>0</v>
      </c>
      <c r="G69" s="28">
        <v>0</v>
      </c>
      <c r="H69" s="28">
        <v>0</v>
      </c>
      <c r="I69" s="28">
        <v>0</v>
      </c>
      <c r="J69" s="28">
        <v>0</v>
      </c>
      <c r="K69" s="28">
        <v>0</v>
      </c>
      <c r="L69" s="28">
        <v>0</v>
      </c>
      <c r="M69" s="28">
        <v>0</v>
      </c>
      <c r="N69" s="28">
        <v>0</v>
      </c>
      <c r="O69" s="28">
        <v>0</v>
      </c>
      <c r="P69" s="28">
        <v>0</v>
      </c>
      <c r="Q69" s="28">
        <v>0</v>
      </c>
      <c r="R69" s="28">
        <v>0</v>
      </c>
      <c r="S69" s="28">
        <v>0</v>
      </c>
      <c r="T69" s="28">
        <v>0</v>
      </c>
      <c r="U69" s="28">
        <v>0</v>
      </c>
      <c r="V69" s="28">
        <v>0</v>
      </c>
      <c r="W69" s="28">
        <v>0</v>
      </c>
      <c r="X69" s="28">
        <v>0</v>
      </c>
      <c r="Y69" s="28">
        <v>0</v>
      </c>
      <c r="Z69" s="28">
        <v>0</v>
      </c>
      <c r="AA69" s="28">
        <v>0</v>
      </c>
      <c r="AB69" s="28">
        <v>5</v>
      </c>
      <c r="AC69" s="28">
        <v>0</v>
      </c>
      <c r="AD69" s="28">
        <v>0</v>
      </c>
      <c r="AE69" s="28">
        <v>0</v>
      </c>
      <c r="AF69" s="28">
        <v>0</v>
      </c>
      <c r="AG69" s="28">
        <v>0</v>
      </c>
      <c r="AH69" s="28">
        <v>0</v>
      </c>
    </row>
    <row r="70" spans="1:38" ht="39.75" customHeight="1" x14ac:dyDescent="0.2">
      <c r="A70" s="491"/>
      <c r="B70" s="41" t="s">
        <v>184</v>
      </c>
      <c r="C70" s="27" t="s">
        <v>52</v>
      </c>
      <c r="D70" s="50">
        <f>(D65+D60+D55)/3</f>
        <v>20.62</v>
      </c>
      <c r="E70" s="50">
        <f>(E65*4+E60*6+E55*6)/16</f>
        <v>22.015625</v>
      </c>
      <c r="F70" s="50">
        <v>0</v>
      </c>
      <c r="G70" s="50">
        <v>0</v>
      </c>
      <c r="H70" s="50">
        <v>0</v>
      </c>
      <c r="I70" s="50">
        <v>0</v>
      </c>
      <c r="J70" s="50">
        <v>0</v>
      </c>
      <c r="K70" s="50">
        <v>0</v>
      </c>
      <c r="L70" s="50">
        <v>0</v>
      </c>
      <c r="M70" s="50">
        <v>0</v>
      </c>
      <c r="N70" s="50">
        <v>0</v>
      </c>
      <c r="O70" s="50">
        <v>0</v>
      </c>
      <c r="P70" s="50">
        <v>0</v>
      </c>
      <c r="Q70" s="50">
        <v>0</v>
      </c>
      <c r="R70" s="50">
        <v>0</v>
      </c>
      <c r="S70" s="50">
        <v>0</v>
      </c>
      <c r="T70" s="50">
        <v>0</v>
      </c>
      <c r="U70" s="50">
        <v>0</v>
      </c>
      <c r="V70" s="50">
        <v>0</v>
      </c>
      <c r="W70" s="50">
        <v>0</v>
      </c>
      <c r="X70" s="50">
        <v>0</v>
      </c>
      <c r="Y70" s="50">
        <v>0</v>
      </c>
      <c r="Z70" s="50">
        <v>0</v>
      </c>
      <c r="AA70" s="50">
        <v>0</v>
      </c>
      <c r="AB70" s="50">
        <v>6.25</v>
      </c>
      <c r="AC70" s="50">
        <v>0</v>
      </c>
      <c r="AD70" s="50">
        <v>0</v>
      </c>
      <c r="AE70" s="50">
        <v>0</v>
      </c>
      <c r="AF70" s="50">
        <v>0</v>
      </c>
      <c r="AG70" s="50">
        <v>0</v>
      </c>
      <c r="AH70" s="50">
        <v>0</v>
      </c>
    </row>
    <row r="71" spans="1:38" s="412" customFormat="1" ht="38.25" customHeight="1" x14ac:dyDescent="0.2">
      <c r="A71" s="491"/>
      <c r="B71" s="76" t="s">
        <v>185</v>
      </c>
      <c r="C71" s="77" t="s">
        <v>186</v>
      </c>
      <c r="D71" s="78">
        <f t="shared" ref="D71:T71" si="35">D68+(D69*D70)/24</f>
        <v>13.746666666666668</v>
      </c>
      <c r="E71" s="78">
        <f>E68+(E69*E70)/24</f>
        <v>14.677083333333334</v>
      </c>
      <c r="F71" s="78">
        <f t="shared" si="35"/>
        <v>16</v>
      </c>
      <c r="G71" s="78">
        <f t="shared" ref="G71:H71" si="36">G68+(G69*G70)/24</f>
        <v>16</v>
      </c>
      <c r="H71" s="78">
        <f t="shared" si="36"/>
        <v>16</v>
      </c>
      <c r="I71" s="78">
        <f t="shared" si="35"/>
        <v>16</v>
      </c>
      <c r="J71" s="78">
        <f t="shared" si="35"/>
        <v>16</v>
      </c>
      <c r="K71" s="78">
        <f>K68+(K69*K70)/24</f>
        <v>16</v>
      </c>
      <c r="L71" s="78">
        <f t="shared" si="35"/>
        <v>16</v>
      </c>
      <c r="M71" s="78">
        <f t="shared" si="35"/>
        <v>16</v>
      </c>
      <c r="N71" s="78">
        <f t="shared" ref="N71:O71" si="37">N68+(N69*N70)/24</f>
        <v>16</v>
      </c>
      <c r="O71" s="78">
        <f t="shared" si="37"/>
        <v>16</v>
      </c>
      <c r="P71" s="78">
        <f t="shared" ref="P71:Q71" si="38">P68+(P69*P70)/24</f>
        <v>16</v>
      </c>
      <c r="Q71" s="78">
        <f t="shared" si="38"/>
        <v>16</v>
      </c>
      <c r="R71" s="78">
        <f t="shared" si="35"/>
        <v>16</v>
      </c>
      <c r="S71" s="78">
        <f t="shared" si="35"/>
        <v>16</v>
      </c>
      <c r="T71" s="78">
        <f t="shared" si="35"/>
        <v>16</v>
      </c>
      <c r="U71" s="78">
        <f t="shared" ref="U71:V71" si="39">U68+(U69*U70)/24</f>
        <v>16</v>
      </c>
      <c r="V71" s="78">
        <f t="shared" si="39"/>
        <v>16</v>
      </c>
      <c r="W71" s="78">
        <f t="shared" ref="W71:X71" si="40">W68+(W69*W70)/24</f>
        <v>16</v>
      </c>
      <c r="X71" s="78">
        <f t="shared" si="40"/>
        <v>16</v>
      </c>
      <c r="Y71" s="78">
        <f t="shared" ref="Y71:Z71" si="41">Y68+(Y69*Y70)/24</f>
        <v>16</v>
      </c>
      <c r="Z71" s="78">
        <f t="shared" si="41"/>
        <v>16</v>
      </c>
      <c r="AA71" s="78">
        <f t="shared" ref="AA71:AB71" si="42">AA68+(AA69*AA70)/24</f>
        <v>16</v>
      </c>
      <c r="AB71" s="78">
        <f t="shared" si="42"/>
        <v>12.302083333333334</v>
      </c>
      <c r="AC71" s="78">
        <f t="shared" ref="AC71:AD71" si="43">AC68+(AC69*AC70)/24</f>
        <v>16</v>
      </c>
      <c r="AD71" s="78">
        <f t="shared" si="43"/>
        <v>16</v>
      </c>
      <c r="AE71" s="78">
        <f t="shared" ref="AE71:AF71" si="44">AE68+(AE69*AE70)/24</f>
        <v>16</v>
      </c>
      <c r="AF71" s="78">
        <f t="shared" si="44"/>
        <v>16</v>
      </c>
      <c r="AG71" s="78">
        <f t="shared" ref="AG71:AH71" si="45">AG68+(AG69*AG70)/24</f>
        <v>16</v>
      </c>
      <c r="AH71" s="78">
        <f t="shared" si="45"/>
        <v>16</v>
      </c>
      <c r="AI71" s="411"/>
      <c r="AJ71" s="411"/>
      <c r="AK71" s="411"/>
      <c r="AL71" s="411"/>
    </row>
    <row r="72" spans="1:38" x14ac:dyDescent="0.2">
      <c r="A72" s="60"/>
      <c r="B72" s="104"/>
      <c r="C72" s="58"/>
      <c r="D72" s="58"/>
      <c r="E72" s="58"/>
      <c r="F72" s="58"/>
      <c r="G72" s="58"/>
      <c r="H72" s="58"/>
      <c r="I72" s="58"/>
      <c r="J72" s="58"/>
      <c r="K72" s="58"/>
      <c r="L72" s="58"/>
      <c r="M72" s="58"/>
      <c r="N72" s="58"/>
      <c r="O72" s="58"/>
      <c r="P72" s="58"/>
      <c r="Q72" s="58"/>
      <c r="R72" s="58"/>
    </row>
    <row r="73" spans="1:38" x14ac:dyDescent="0.2">
      <c r="A73" s="60"/>
      <c r="B73" s="104"/>
      <c r="C73" s="58"/>
      <c r="D73" s="58"/>
      <c r="E73" s="58"/>
      <c r="F73" s="58"/>
      <c r="G73" s="58"/>
      <c r="H73" s="58"/>
      <c r="I73" s="58"/>
      <c r="J73" s="58"/>
      <c r="K73" s="58"/>
      <c r="L73" s="58"/>
      <c r="M73" s="58"/>
      <c r="N73" s="58"/>
      <c r="O73" s="58"/>
      <c r="P73" s="58"/>
      <c r="Q73" s="58"/>
      <c r="R73" s="58"/>
    </row>
    <row r="74" spans="1:38" x14ac:dyDescent="0.2">
      <c r="A74" s="60"/>
      <c r="B74" s="104"/>
      <c r="C74" s="58"/>
      <c r="D74" s="58"/>
      <c r="E74" s="58"/>
      <c r="F74" s="58"/>
      <c r="G74" s="58"/>
      <c r="H74" s="58"/>
      <c r="I74" s="58"/>
      <c r="J74" s="58"/>
      <c r="K74" s="58"/>
      <c r="L74" s="58"/>
      <c r="M74" s="58"/>
      <c r="N74" s="58"/>
      <c r="O74" s="58"/>
      <c r="P74" s="58"/>
      <c r="Q74" s="58"/>
      <c r="R74" s="58"/>
    </row>
    <row r="75" spans="1:38" x14ac:dyDescent="0.2">
      <c r="A75" s="60"/>
      <c r="B75" s="104"/>
      <c r="C75" s="58"/>
      <c r="D75" s="58"/>
      <c r="E75" s="58"/>
      <c r="F75" s="58"/>
      <c r="G75" s="58"/>
      <c r="H75" s="58"/>
      <c r="I75" s="58"/>
      <c r="J75" s="58"/>
      <c r="K75" s="58"/>
      <c r="L75" s="58"/>
      <c r="M75" s="58"/>
      <c r="N75" s="58"/>
      <c r="O75" s="58"/>
      <c r="P75" s="58"/>
      <c r="Q75" s="58"/>
      <c r="R75" s="58"/>
    </row>
    <row r="76" spans="1:38" x14ac:dyDescent="0.2">
      <c r="A76" s="62"/>
      <c r="B76" s="104"/>
      <c r="C76" s="58"/>
      <c r="D76" s="58"/>
      <c r="E76" s="58"/>
      <c r="F76" s="58"/>
      <c r="G76" s="58"/>
      <c r="H76" s="58"/>
      <c r="I76" s="58"/>
      <c r="J76" s="58"/>
      <c r="K76" s="58"/>
      <c r="L76" s="58"/>
      <c r="M76" s="58"/>
      <c r="N76" s="58"/>
      <c r="O76" s="58"/>
      <c r="P76" s="58"/>
      <c r="Q76" s="58"/>
      <c r="R76" s="58"/>
    </row>
    <row r="77" spans="1:38" x14ac:dyDescent="0.2">
      <c r="B77" s="104"/>
      <c r="C77" s="58"/>
      <c r="D77" s="58"/>
      <c r="E77" s="58"/>
      <c r="F77" s="58"/>
      <c r="G77" s="58"/>
      <c r="H77" s="58"/>
      <c r="I77" s="58"/>
      <c r="J77" s="58"/>
      <c r="K77" s="58"/>
      <c r="L77" s="58"/>
      <c r="M77" s="58"/>
      <c r="N77" s="58"/>
      <c r="O77" s="58"/>
      <c r="P77" s="58"/>
      <c r="Q77" s="58"/>
      <c r="R77" s="58"/>
    </row>
    <row r="78" spans="1:38" x14ac:dyDescent="0.2">
      <c r="A78" s="60"/>
      <c r="B78" s="104"/>
      <c r="C78" s="58"/>
      <c r="D78" s="58"/>
      <c r="E78" s="58"/>
      <c r="F78" s="58"/>
      <c r="G78" s="58"/>
      <c r="H78" s="58"/>
      <c r="I78" s="58"/>
      <c r="J78" s="58"/>
      <c r="K78" s="58"/>
      <c r="L78" s="58"/>
      <c r="M78" s="58"/>
      <c r="N78" s="58"/>
      <c r="O78" s="58"/>
      <c r="P78" s="58"/>
      <c r="Q78" s="58"/>
      <c r="R78" s="58"/>
    </row>
    <row r="79" spans="1:38" x14ac:dyDescent="0.2">
      <c r="B79" s="104"/>
      <c r="C79" s="58"/>
      <c r="D79" s="58"/>
      <c r="E79" s="58"/>
      <c r="F79" s="58"/>
      <c r="G79" s="58"/>
      <c r="H79" s="58"/>
      <c r="I79" s="58"/>
      <c r="J79" s="58"/>
      <c r="K79" s="58"/>
      <c r="L79" s="58"/>
      <c r="M79" s="58"/>
      <c r="N79" s="58"/>
      <c r="O79" s="58"/>
      <c r="P79" s="58"/>
      <c r="Q79" s="58"/>
      <c r="R79" s="58"/>
    </row>
    <row r="80" spans="1:38" x14ac:dyDescent="0.2">
      <c r="B80" s="104"/>
      <c r="C80" s="58"/>
      <c r="D80" s="58"/>
      <c r="E80" s="58"/>
      <c r="F80" s="58"/>
      <c r="G80" s="58"/>
      <c r="H80" s="58"/>
      <c r="I80" s="58"/>
      <c r="J80" s="58"/>
      <c r="K80" s="58"/>
      <c r="L80" s="58"/>
      <c r="M80" s="58"/>
      <c r="N80" s="58"/>
      <c r="O80" s="58"/>
      <c r="P80" s="58"/>
      <c r="Q80" s="58"/>
      <c r="R80" s="58"/>
    </row>
    <row r="81" spans="2:18" x14ac:dyDescent="0.2">
      <c r="B81" s="104"/>
      <c r="C81" s="58"/>
      <c r="D81" s="58"/>
      <c r="E81" s="58"/>
      <c r="F81" s="58"/>
      <c r="G81" s="58"/>
      <c r="H81" s="58"/>
      <c r="I81" s="58"/>
      <c r="J81" s="58"/>
      <c r="K81" s="58"/>
      <c r="L81" s="58"/>
      <c r="M81" s="58"/>
      <c r="N81" s="58"/>
      <c r="O81" s="58"/>
      <c r="P81" s="58"/>
      <c r="Q81" s="58"/>
      <c r="R81" s="58"/>
    </row>
    <row r="82" spans="2:18" x14ac:dyDescent="0.2">
      <c r="B82" s="104"/>
      <c r="C82" s="58"/>
      <c r="D82" s="58"/>
      <c r="E82" s="58"/>
      <c r="F82" s="58"/>
      <c r="G82" s="58"/>
      <c r="H82" s="58"/>
      <c r="I82" s="58"/>
      <c r="J82" s="58"/>
      <c r="K82" s="58"/>
      <c r="L82" s="58"/>
      <c r="M82" s="58"/>
      <c r="N82" s="58"/>
      <c r="O82" s="58"/>
      <c r="P82" s="58"/>
      <c r="Q82" s="58"/>
      <c r="R82" s="58"/>
    </row>
    <row r="83" spans="2:18" x14ac:dyDescent="0.2">
      <c r="B83" s="104"/>
      <c r="C83" s="58"/>
      <c r="D83" s="58"/>
      <c r="E83" s="58"/>
      <c r="F83" s="58"/>
      <c r="G83" s="58"/>
      <c r="H83" s="58"/>
      <c r="I83" s="58"/>
      <c r="J83" s="58"/>
      <c r="K83" s="58"/>
      <c r="L83" s="58"/>
      <c r="M83" s="58"/>
      <c r="N83" s="58"/>
      <c r="O83" s="58"/>
      <c r="P83" s="58"/>
      <c r="Q83" s="58"/>
      <c r="R83" s="58"/>
    </row>
    <row r="84" spans="2:18" x14ac:dyDescent="0.2">
      <c r="B84" s="104"/>
      <c r="C84" s="58"/>
      <c r="D84" s="58"/>
      <c r="E84" s="58"/>
      <c r="F84" s="58"/>
      <c r="G84" s="58"/>
      <c r="H84" s="58"/>
      <c r="I84" s="58"/>
      <c r="J84" s="58"/>
      <c r="K84" s="58"/>
      <c r="L84" s="58"/>
      <c r="M84" s="58"/>
      <c r="N84" s="58"/>
      <c r="O84" s="58"/>
      <c r="P84" s="58"/>
      <c r="Q84" s="58"/>
      <c r="R84" s="58"/>
    </row>
    <row r="85" spans="2:18" x14ac:dyDescent="0.2">
      <c r="B85" s="104"/>
      <c r="C85" s="58"/>
      <c r="D85" s="58"/>
      <c r="E85" s="58"/>
      <c r="F85" s="58"/>
      <c r="G85" s="58"/>
      <c r="H85" s="58"/>
      <c r="I85" s="58"/>
      <c r="J85" s="58"/>
      <c r="K85" s="58"/>
      <c r="L85" s="58"/>
      <c r="M85" s="58"/>
      <c r="N85" s="58"/>
      <c r="O85" s="58"/>
      <c r="P85" s="58"/>
      <c r="Q85" s="58"/>
      <c r="R85" s="58"/>
    </row>
    <row r="86" spans="2:18" x14ac:dyDescent="0.2">
      <c r="B86" s="104"/>
      <c r="C86" s="58"/>
      <c r="D86" s="58"/>
      <c r="E86" s="58"/>
      <c r="F86" s="58"/>
      <c r="G86" s="58"/>
      <c r="H86" s="58"/>
      <c r="I86" s="58"/>
      <c r="J86" s="58"/>
      <c r="K86" s="58"/>
      <c r="L86" s="58"/>
      <c r="M86" s="58"/>
      <c r="N86" s="58"/>
      <c r="O86" s="58"/>
      <c r="P86" s="58"/>
      <c r="Q86" s="58"/>
      <c r="R86" s="58"/>
    </row>
    <row r="87" spans="2:18" x14ac:dyDescent="0.2">
      <c r="B87" s="104"/>
      <c r="C87" s="58"/>
      <c r="D87" s="58"/>
      <c r="E87" s="58"/>
      <c r="F87" s="58"/>
      <c r="G87" s="58"/>
      <c r="H87" s="58"/>
      <c r="I87" s="58"/>
      <c r="J87" s="58"/>
      <c r="K87" s="58"/>
      <c r="L87" s="58"/>
      <c r="M87" s="58"/>
      <c r="N87" s="58"/>
      <c r="O87" s="58"/>
      <c r="P87" s="58"/>
      <c r="Q87" s="58"/>
      <c r="R87" s="58"/>
    </row>
    <row r="88" spans="2:18" x14ac:dyDescent="0.2">
      <c r="B88" s="104"/>
      <c r="C88" s="58"/>
      <c r="D88" s="58"/>
      <c r="E88" s="58"/>
      <c r="F88" s="58"/>
      <c r="G88" s="58"/>
      <c r="H88" s="58"/>
      <c r="I88" s="58"/>
      <c r="J88" s="58"/>
      <c r="K88" s="58"/>
      <c r="L88" s="58"/>
      <c r="M88" s="58"/>
      <c r="N88" s="58"/>
      <c r="O88" s="58"/>
      <c r="P88" s="58"/>
      <c r="Q88" s="58"/>
      <c r="R88" s="58"/>
    </row>
    <row r="89" spans="2:18" x14ac:dyDescent="0.2">
      <c r="B89" s="104"/>
      <c r="C89" s="58"/>
      <c r="D89" s="58"/>
      <c r="E89" s="58"/>
      <c r="F89" s="58"/>
      <c r="G89" s="58"/>
      <c r="H89" s="58"/>
      <c r="I89" s="58"/>
      <c r="J89" s="58"/>
      <c r="K89" s="58"/>
      <c r="L89" s="58"/>
      <c r="M89" s="58"/>
      <c r="N89" s="58"/>
      <c r="O89" s="58"/>
      <c r="P89" s="58"/>
      <c r="Q89" s="58"/>
      <c r="R89" s="58"/>
    </row>
    <row r="90" spans="2:18" x14ac:dyDescent="0.2">
      <c r="B90" s="104"/>
      <c r="C90" s="58"/>
      <c r="D90" s="58"/>
      <c r="E90" s="58"/>
      <c r="F90" s="58"/>
      <c r="G90" s="58"/>
      <c r="H90" s="58"/>
      <c r="I90" s="58"/>
      <c r="J90" s="58"/>
      <c r="K90" s="58"/>
      <c r="L90" s="58"/>
      <c r="M90" s="58"/>
      <c r="N90" s="58"/>
      <c r="O90" s="58"/>
      <c r="P90" s="58"/>
      <c r="Q90" s="58"/>
      <c r="R90" s="58"/>
    </row>
    <row r="91" spans="2:18" x14ac:dyDescent="0.2">
      <c r="B91" s="104"/>
      <c r="C91" s="58"/>
      <c r="D91" s="58"/>
      <c r="E91" s="58"/>
      <c r="F91" s="58"/>
      <c r="G91" s="58"/>
      <c r="H91" s="58"/>
      <c r="I91" s="58"/>
      <c r="J91" s="58"/>
      <c r="K91" s="58"/>
      <c r="L91" s="58"/>
      <c r="M91" s="58"/>
      <c r="N91" s="58"/>
      <c r="O91" s="58"/>
      <c r="P91" s="58"/>
      <c r="Q91" s="58"/>
      <c r="R91" s="58"/>
    </row>
    <row r="95" spans="2:18" x14ac:dyDescent="0.2">
      <c r="L95" s="35">
        <v>27</v>
      </c>
    </row>
    <row r="96" spans="2:18" x14ac:dyDescent="0.2">
      <c r="L96" s="35">
        <v>22</v>
      </c>
    </row>
    <row r="108" spans="12:12" x14ac:dyDescent="0.2">
      <c r="L108" s="35">
        <v>27</v>
      </c>
    </row>
    <row r="109" spans="12:12" x14ac:dyDescent="0.2">
      <c r="L109" s="35">
        <v>23</v>
      </c>
    </row>
    <row r="121" spans="12:12" x14ac:dyDescent="0.2">
      <c r="L121" s="35">
        <v>27</v>
      </c>
    </row>
    <row r="122" spans="12:12" x14ac:dyDescent="0.2">
      <c r="L122" s="35">
        <v>24</v>
      </c>
    </row>
    <row r="134" spans="12:12" x14ac:dyDescent="0.2">
      <c r="L134" s="35">
        <v>27</v>
      </c>
    </row>
    <row r="135" spans="12:12" x14ac:dyDescent="0.2">
      <c r="L135" s="35">
        <v>23</v>
      </c>
    </row>
    <row r="147" spans="12:12" x14ac:dyDescent="0.2">
      <c r="L147" s="35">
        <v>25</v>
      </c>
    </row>
    <row r="148" spans="12:12" x14ac:dyDescent="0.2">
      <c r="L148" s="35">
        <v>16</v>
      </c>
    </row>
    <row r="160" spans="12:12" x14ac:dyDescent="0.2">
      <c r="L160" s="35">
        <v>23</v>
      </c>
    </row>
    <row r="161" spans="12:12" x14ac:dyDescent="0.2">
      <c r="L161" s="35">
        <v>16</v>
      </c>
    </row>
    <row r="173" spans="12:12" x14ac:dyDescent="0.2">
      <c r="L173" s="35">
        <v>23</v>
      </c>
    </row>
    <row r="174" spans="12:12" x14ac:dyDescent="0.2">
      <c r="L174" s="35">
        <v>16</v>
      </c>
    </row>
    <row r="186" spans="12:12" x14ac:dyDescent="0.2">
      <c r="L186" s="35">
        <v>22</v>
      </c>
    </row>
    <row r="187" spans="12:12" x14ac:dyDescent="0.2">
      <c r="L187" s="35">
        <v>16</v>
      </c>
    </row>
    <row r="199" spans="12:12" x14ac:dyDescent="0.2">
      <c r="L199" s="35">
        <v>28</v>
      </c>
    </row>
    <row r="200" spans="12:12" x14ac:dyDescent="0.2">
      <c r="L200" s="35">
        <v>24</v>
      </c>
    </row>
    <row r="212" spans="12:12" x14ac:dyDescent="0.2">
      <c r="L212" s="35">
        <v>27</v>
      </c>
    </row>
    <row r="213" spans="12:12" x14ac:dyDescent="0.2">
      <c r="L213" s="35">
        <v>25</v>
      </c>
    </row>
    <row r="225" spans="12:12" x14ac:dyDescent="0.2">
      <c r="L225" s="35">
        <v>27</v>
      </c>
    </row>
    <row r="226" spans="12:12" x14ac:dyDescent="0.2">
      <c r="L226" s="35">
        <v>25</v>
      </c>
    </row>
    <row r="238" spans="12:12" x14ac:dyDescent="0.2">
      <c r="L238" s="35">
        <v>25</v>
      </c>
    </row>
    <row r="239" spans="12:12" x14ac:dyDescent="0.2">
      <c r="L239" s="35">
        <v>10</v>
      </c>
    </row>
    <row r="251" spans="12:12" x14ac:dyDescent="0.2">
      <c r="L251" s="35">
        <v>15</v>
      </c>
    </row>
    <row r="252" spans="12:12" x14ac:dyDescent="0.2">
      <c r="L252" s="35">
        <v>11</v>
      </c>
    </row>
    <row r="264" spans="12:12" x14ac:dyDescent="0.2">
      <c r="L264" s="35">
        <v>27</v>
      </c>
    </row>
    <row r="265" spans="12:12" x14ac:dyDescent="0.2">
      <c r="L265" s="35">
        <v>25</v>
      </c>
    </row>
    <row r="277" spans="12:12" x14ac:dyDescent="0.2">
      <c r="L277" s="35">
        <v>28</v>
      </c>
    </row>
    <row r="278" spans="12:12" x14ac:dyDescent="0.2">
      <c r="L278" s="35">
        <v>10</v>
      </c>
    </row>
    <row r="290" spans="12:12" x14ac:dyDescent="0.2">
      <c r="L290" s="35">
        <v>27</v>
      </c>
    </row>
    <row r="291" spans="12:12" x14ac:dyDescent="0.2">
      <c r="L291" s="35">
        <v>22</v>
      </c>
    </row>
  </sheetData>
  <mergeCells count="24">
    <mergeCell ref="AH3:BK3"/>
    <mergeCell ref="A25:A27"/>
    <mergeCell ref="A28:A30"/>
    <mergeCell ref="A46:A48"/>
    <mergeCell ref="A49:A51"/>
    <mergeCell ref="A10:A12"/>
    <mergeCell ref="A19:A21"/>
    <mergeCell ref="A13:A15"/>
    <mergeCell ref="A16:A18"/>
    <mergeCell ref="A31:A33"/>
    <mergeCell ref="A68:A71"/>
    <mergeCell ref="A1:B1"/>
    <mergeCell ref="A3:AG3"/>
    <mergeCell ref="A2:B2"/>
    <mergeCell ref="A34:A36"/>
    <mergeCell ref="A43:A45"/>
    <mergeCell ref="A37:A39"/>
    <mergeCell ref="A4:A6"/>
    <mergeCell ref="A7:A9"/>
    <mergeCell ref="A22:A24"/>
    <mergeCell ref="A40:A42"/>
    <mergeCell ref="A53:A56"/>
    <mergeCell ref="A58:A61"/>
    <mergeCell ref="A63:A66"/>
  </mergeCells>
  <phoneticPr fontId="24" type="noConversion"/>
  <printOptions horizontalCentered="1" verticalCentered="1"/>
  <pageMargins left="0" right="0" top="0" bottom="0" header="0" footer="0"/>
  <pageSetup paperSize="9" scale="15" fitToHeight="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33"/>
  <sheetViews>
    <sheetView zoomScale="80" zoomScaleNormal="80" workbookViewId="0">
      <pane ySplit="1" topLeftCell="A27" activePane="bottomLeft" state="frozen"/>
      <selection activeCell="H32" sqref="H32"/>
      <selection pane="bottomLeft" activeCell="H32" sqref="H32"/>
    </sheetView>
  </sheetViews>
  <sheetFormatPr defaultColWidth="9.140625" defaultRowHeight="12.75" x14ac:dyDescent="0.2"/>
  <cols>
    <col min="1" max="1" width="11.140625" style="5" customWidth="1"/>
    <col min="2" max="2" width="19.42578125" style="5" customWidth="1"/>
    <col min="3" max="3" width="21" style="5" customWidth="1"/>
    <col min="4" max="6" width="19.42578125" style="5" customWidth="1"/>
    <col min="7" max="7" width="84.140625" style="5" customWidth="1"/>
    <col min="8" max="8" width="10.28515625" style="5" bestFit="1" customWidth="1"/>
    <col min="9" max="16384" width="9.140625" style="5"/>
  </cols>
  <sheetData>
    <row r="1" spans="1:10" s="54" customFormat="1" ht="64.5" customHeight="1" x14ac:dyDescent="0.2">
      <c r="A1" s="75" t="s">
        <v>189</v>
      </c>
      <c r="B1" s="75" t="s">
        <v>190</v>
      </c>
      <c r="C1" s="75" t="s">
        <v>191</v>
      </c>
      <c r="D1" s="75" t="s">
        <v>192</v>
      </c>
      <c r="E1" s="75" t="s">
        <v>193</v>
      </c>
      <c r="F1" s="75" t="s">
        <v>194</v>
      </c>
      <c r="G1" s="75" t="s">
        <v>195</v>
      </c>
      <c r="H1" s="54" t="s">
        <v>196</v>
      </c>
      <c r="J1" s="54" t="s">
        <v>197</v>
      </c>
    </row>
    <row r="2" spans="1:10" ht="49.5" customHeight="1" x14ac:dyDescent="0.2">
      <c r="A2" s="25">
        <v>45413</v>
      </c>
      <c r="B2" s="24">
        <f>16*24*7/1000</f>
        <v>2.6880000000000002</v>
      </c>
      <c r="C2" s="24">
        <f>STATION!C$35*24*7*0.16/1000</f>
        <v>2.3094399999999999</v>
      </c>
      <c r="D2" s="24">
        <f>STATION!C$5</f>
        <v>2.3840580394744872</v>
      </c>
      <c r="E2" s="24">
        <f>B2-D2</f>
        <v>0.30394196052551292</v>
      </c>
      <c r="F2" s="24">
        <f>C2-D2</f>
        <v>-7.4618039474487308E-2</v>
      </c>
      <c r="G2" s="263" t="s">
        <v>522</v>
      </c>
      <c r="H2" s="290">
        <f>F2*3.31*10</f>
        <v>-2.4698571066055299</v>
      </c>
      <c r="J2" s="290">
        <f t="shared" ref="J2:J11" si="0">F2*1000/24</f>
        <v>-3.1090849781036378</v>
      </c>
    </row>
    <row r="3" spans="1:10" ht="42.95" customHeight="1" x14ac:dyDescent="0.2">
      <c r="A3" s="25">
        <v>45414</v>
      </c>
      <c r="B3" s="24">
        <f t="shared" ref="B3:B32" si="1">16*24*7/1000</f>
        <v>2.6880000000000002</v>
      </c>
      <c r="C3" s="24">
        <f>STATION!D$35*24*7*0.16/1000</f>
        <v>2.4657499999999999</v>
      </c>
      <c r="D3" s="24">
        <f>STATION!D$5</f>
        <v>2.3129555000000002</v>
      </c>
      <c r="E3" s="24">
        <f>B3-D3</f>
        <v>0.3750445</v>
      </c>
      <c r="F3" s="24">
        <f>C3-D3</f>
        <v>0.15279449999999972</v>
      </c>
      <c r="G3" s="263" t="s">
        <v>522</v>
      </c>
      <c r="H3" s="290">
        <f>F3*3.3*10</f>
        <v>5.0422184999999908</v>
      </c>
      <c r="J3" s="290">
        <f>F3*1000/24</f>
        <v>6.3664374999999884</v>
      </c>
    </row>
    <row r="4" spans="1:10" ht="44.25" customHeight="1" x14ac:dyDescent="0.2">
      <c r="A4" s="25">
        <v>45415</v>
      </c>
      <c r="B4" s="24">
        <f t="shared" si="1"/>
        <v>2.6880000000000002</v>
      </c>
      <c r="C4" s="24">
        <f>STATION!E$35*24*7*0.16/1000</f>
        <v>2.6880000000000002</v>
      </c>
      <c r="D4" s="24">
        <f>STATION!E$5</f>
        <v>2.4289485000000002</v>
      </c>
      <c r="E4" s="24">
        <f>B4-D4</f>
        <v>0.25905149999999999</v>
      </c>
      <c r="F4" s="24">
        <f>C4-D4</f>
        <v>0.25905149999999999</v>
      </c>
      <c r="G4" s="263" t="s">
        <v>544</v>
      </c>
      <c r="H4" s="290">
        <f>F4*3.27*10</f>
        <v>8.4709840500000002</v>
      </c>
      <c r="I4" s="281"/>
      <c r="J4" s="290">
        <f t="shared" si="0"/>
        <v>10.7938125</v>
      </c>
    </row>
    <row r="5" spans="1:10" ht="44.25" customHeight="1" x14ac:dyDescent="0.2">
      <c r="A5" s="25">
        <v>45416</v>
      </c>
      <c r="B5" s="24">
        <f t="shared" si="1"/>
        <v>2.6880000000000002</v>
      </c>
      <c r="C5" s="24">
        <f>STATION!F$35*24*7*0.16/1000</f>
        <v>2.6880000000000002</v>
      </c>
      <c r="D5" s="24">
        <f>STATION!F$5</f>
        <v>2.4249424999999998</v>
      </c>
      <c r="E5" s="24">
        <f t="shared" ref="E5:E6" si="2">B5-D5</f>
        <v>0.26305750000000039</v>
      </c>
      <c r="F5" s="24">
        <f t="shared" ref="F5:F6" si="3">C5-D5</f>
        <v>0.26305750000000039</v>
      </c>
      <c r="G5" s="263" t="s">
        <v>544</v>
      </c>
      <c r="H5" s="290">
        <f>F5*3.3*10</f>
        <v>8.6808975000000128</v>
      </c>
      <c r="I5" s="79"/>
      <c r="J5" s="290">
        <f t="shared" si="0"/>
        <v>10.960729166666683</v>
      </c>
    </row>
    <row r="6" spans="1:10" ht="46.5" customHeight="1" x14ac:dyDescent="0.2">
      <c r="A6" s="25">
        <v>45417</v>
      </c>
      <c r="B6" s="24">
        <f t="shared" si="1"/>
        <v>2.6880000000000002</v>
      </c>
      <c r="C6" s="24">
        <f>STATION!G$35*24*7*0.16/1000</f>
        <v>2.6880000000000002</v>
      </c>
      <c r="D6" s="24">
        <f>STATION!G$5</f>
        <v>2.5000339999999994</v>
      </c>
      <c r="E6" s="24">
        <f t="shared" si="2"/>
        <v>0.18796600000000074</v>
      </c>
      <c r="F6" s="24">
        <f t="shared" si="3"/>
        <v>0.18796600000000074</v>
      </c>
      <c r="G6" s="263" t="s">
        <v>556</v>
      </c>
      <c r="H6" s="290">
        <f>F6*3.31*10</f>
        <v>6.2216746000000249</v>
      </c>
      <c r="J6" s="290">
        <f t="shared" si="0"/>
        <v>7.8319166666666975</v>
      </c>
    </row>
    <row r="7" spans="1:10" ht="52.5" customHeight="1" x14ac:dyDescent="0.2">
      <c r="A7" s="25">
        <v>45418</v>
      </c>
      <c r="B7" s="24">
        <f t="shared" si="1"/>
        <v>2.6880000000000002</v>
      </c>
      <c r="C7" s="24">
        <f>STATION!G$35*24*7*0.16/1000</f>
        <v>2.6880000000000002</v>
      </c>
      <c r="D7" s="24">
        <f>STATION!H$5</f>
        <v>2.611316</v>
      </c>
      <c r="E7" s="24">
        <f t="shared" ref="E7" si="4">B7-D7</f>
        <v>7.6684000000000196E-2</v>
      </c>
      <c r="F7" s="24">
        <f t="shared" ref="F7" si="5">C7-D7</f>
        <v>7.6684000000000196E-2</v>
      </c>
      <c r="G7" s="263" t="s">
        <v>556</v>
      </c>
      <c r="H7" s="290">
        <f>F7*3.32*10</f>
        <v>2.5459088000000065</v>
      </c>
      <c r="J7" s="290">
        <f t="shared" si="0"/>
        <v>3.1951666666666747</v>
      </c>
    </row>
    <row r="8" spans="1:10" ht="44.25" customHeight="1" x14ac:dyDescent="0.2">
      <c r="A8" s="25">
        <v>45419</v>
      </c>
      <c r="B8" s="24">
        <f t="shared" si="1"/>
        <v>2.6880000000000002</v>
      </c>
      <c r="C8" s="24">
        <f>STATION!I$35*24*7*0.16/1000</f>
        <v>2.6880000000000002</v>
      </c>
      <c r="D8" s="24">
        <f>STATION!I$5</f>
        <v>2.7255950000000002</v>
      </c>
      <c r="E8" s="24">
        <f t="shared" ref="E8" si="6">B8-D8</f>
        <v>-3.7595000000000045E-2</v>
      </c>
      <c r="F8" s="24">
        <f t="shared" ref="F8" si="7">C8-D8</f>
        <v>-3.7595000000000045E-2</v>
      </c>
      <c r="G8" s="263"/>
      <c r="H8" s="290">
        <f>F8*3.3*10</f>
        <v>-1.2406350000000015</v>
      </c>
      <c r="J8" s="290">
        <f t="shared" si="0"/>
        <v>-1.5664583333333351</v>
      </c>
    </row>
    <row r="9" spans="1:10" ht="57.75" customHeight="1" x14ac:dyDescent="0.2">
      <c r="A9" s="25">
        <v>45420</v>
      </c>
      <c r="B9" s="24">
        <f t="shared" si="1"/>
        <v>2.6880000000000002</v>
      </c>
      <c r="C9" s="24">
        <f>STATION!J$35*24*7*0.16/1000</f>
        <v>2.6880000000000002</v>
      </c>
      <c r="D9" s="24">
        <f>STATION!J$5</f>
        <v>2.7123650000000001</v>
      </c>
      <c r="E9" s="24">
        <f t="shared" ref="E9:E10" si="8">B9-D9</f>
        <v>-2.436499999999997E-2</v>
      </c>
      <c r="F9" s="24">
        <f t="shared" ref="F9:F10" si="9">C9-D9</f>
        <v>-2.436499999999997E-2</v>
      </c>
      <c r="G9" s="263" t="s">
        <v>559</v>
      </c>
      <c r="H9" s="290">
        <f>F9*3.33*10</f>
        <v>-0.81135449999999898</v>
      </c>
      <c r="J9" s="290">
        <f t="shared" si="0"/>
        <v>-1.0152083333333322</v>
      </c>
    </row>
    <row r="10" spans="1:10" ht="52.5" customHeight="1" x14ac:dyDescent="0.2">
      <c r="A10" s="25">
        <v>45421</v>
      </c>
      <c r="B10" s="24">
        <f t="shared" si="1"/>
        <v>2.6880000000000002</v>
      </c>
      <c r="C10" s="24">
        <f>STATION!K$35*24*7*0.16/1000</f>
        <v>2.6880000000000002</v>
      </c>
      <c r="D10" s="24">
        <f>STATION!K$5</f>
        <v>2.6392064999999998</v>
      </c>
      <c r="E10" s="24">
        <f t="shared" si="8"/>
        <v>4.8793500000000378E-2</v>
      </c>
      <c r="F10" s="24">
        <f t="shared" si="9"/>
        <v>4.8793500000000378E-2</v>
      </c>
      <c r="G10" s="263" t="s">
        <v>561</v>
      </c>
      <c r="H10" s="290">
        <f>F10*3.3*10</f>
        <v>1.6101855000000123</v>
      </c>
      <c r="J10" s="290">
        <f>F10*1000/24</f>
        <v>2.0330625000000158</v>
      </c>
    </row>
    <row r="11" spans="1:10" ht="47.25" customHeight="1" x14ac:dyDescent="0.2">
      <c r="A11" s="25">
        <v>45422</v>
      </c>
      <c r="B11" s="24">
        <f t="shared" si="1"/>
        <v>2.6880000000000002</v>
      </c>
      <c r="C11" s="24">
        <f>STATION!L$35*24*7*0.16/1000</f>
        <v>2.6880000000000002</v>
      </c>
      <c r="D11" s="24">
        <f>STATION!L$5</f>
        <v>2.7340930000000006</v>
      </c>
      <c r="E11" s="24">
        <f t="shared" ref="E11" si="10">B11-D11</f>
        <v>-4.6093000000000384E-2</v>
      </c>
      <c r="F11" s="24">
        <f t="shared" ref="F11" si="11">C11-D11</f>
        <v>-4.6093000000000384E-2</v>
      </c>
      <c r="G11" s="263"/>
      <c r="H11" s="290">
        <f>F11*3.26*10</f>
        <v>-1.5026318000000125</v>
      </c>
      <c r="J11" s="290">
        <f t="shared" si="0"/>
        <v>-1.9205416666666828</v>
      </c>
    </row>
    <row r="12" spans="1:10" ht="51" customHeight="1" x14ac:dyDescent="0.2">
      <c r="A12" s="25">
        <v>45423</v>
      </c>
      <c r="B12" s="24">
        <f t="shared" si="1"/>
        <v>2.6880000000000002</v>
      </c>
      <c r="C12" s="24">
        <f>STATION!M$35*24*7*0.16/1000</f>
        <v>2.6880000000000002</v>
      </c>
      <c r="D12" s="24">
        <f>STATION!M$5</f>
        <v>2.7707059999999997</v>
      </c>
      <c r="E12" s="24">
        <f t="shared" ref="E12" si="12">B12-D12</f>
        <v>-8.2705999999999502E-2</v>
      </c>
      <c r="F12" s="24">
        <f t="shared" ref="F12" si="13">C12-D12</f>
        <v>-8.2705999999999502E-2</v>
      </c>
      <c r="G12" s="263"/>
      <c r="H12" s="290">
        <f>F12*3.22*10</f>
        <v>-2.6631331999999839</v>
      </c>
      <c r="J12" s="290">
        <f>F12*1000/24</f>
        <v>-3.4460833333333127</v>
      </c>
    </row>
    <row r="13" spans="1:10" ht="49.5" customHeight="1" x14ac:dyDescent="0.2">
      <c r="A13" s="25">
        <v>45424</v>
      </c>
      <c r="B13" s="24">
        <f t="shared" si="1"/>
        <v>2.6880000000000002</v>
      </c>
      <c r="C13" s="24">
        <f>STATION!N$35*24*7*0.16/1000</f>
        <v>2.6880000000000002</v>
      </c>
      <c r="D13" s="24">
        <f>STATION!N$5</f>
        <v>2.8097189999999994</v>
      </c>
      <c r="E13" s="24">
        <f t="shared" ref="E13" si="14">B13-D13</f>
        <v>-0.12171899999999924</v>
      </c>
      <c r="F13" s="24">
        <f t="shared" ref="F13" si="15">C13-D13</f>
        <v>-0.12171899999999924</v>
      </c>
      <c r="G13" s="263"/>
      <c r="H13" s="290">
        <f>F13*3.21*10</f>
        <v>-3.9071798999999756</v>
      </c>
      <c r="I13" s="276"/>
      <c r="J13" s="290">
        <f>F13*1000/24</f>
        <v>-5.0716249999999681</v>
      </c>
    </row>
    <row r="14" spans="1:10" ht="44.25" customHeight="1" x14ac:dyDescent="0.2">
      <c r="A14" s="25">
        <v>45425</v>
      </c>
      <c r="B14" s="24">
        <f t="shared" si="1"/>
        <v>2.6880000000000002</v>
      </c>
      <c r="C14" s="24">
        <f>STATION!O$35*24*7*0.16/1000</f>
        <v>2.6880000000000002</v>
      </c>
      <c r="D14" s="24">
        <f>STATION!O$5</f>
        <v>2.8848939999999996</v>
      </c>
      <c r="E14" s="24">
        <f t="shared" ref="E14" si="16">B14-D14</f>
        <v>-0.19689399999999946</v>
      </c>
      <c r="F14" s="24">
        <f t="shared" ref="F14" si="17">C14-D14</f>
        <v>-0.19689399999999946</v>
      </c>
      <c r="G14" s="263"/>
      <c r="H14" s="290">
        <f>F14*3.28*10</f>
        <v>-6.4581231999999824</v>
      </c>
      <c r="J14" s="290">
        <f>F14*1000/24</f>
        <v>-8.203916666666645</v>
      </c>
    </row>
    <row r="15" spans="1:10" ht="62.25" customHeight="1" x14ac:dyDescent="0.2">
      <c r="A15" s="25">
        <v>45426</v>
      </c>
      <c r="B15" s="24">
        <f>16*24*7/1000</f>
        <v>2.6880000000000002</v>
      </c>
      <c r="C15" s="24">
        <f>STATION!P$35*24*7*0.16/1000</f>
        <v>2.6880000000000002</v>
      </c>
      <c r="D15" s="24">
        <f>STATION!P$5</f>
        <v>2.8675980000000001</v>
      </c>
      <c r="E15" s="24">
        <f t="shared" ref="E15" si="18">B15-D15</f>
        <v>-0.17959799999999992</v>
      </c>
      <c r="F15" s="24">
        <f t="shared" ref="F15:F16" si="19">C15-D15</f>
        <v>-0.17959799999999992</v>
      </c>
      <c r="G15" s="263" t="s">
        <v>573</v>
      </c>
      <c r="H15" s="290">
        <f>F15*3.32*10</f>
        <v>-5.9626535999999977</v>
      </c>
      <c r="J15" s="290">
        <f t="shared" ref="J15:J30" si="20">F15*1000/24</f>
        <v>-7.4832499999999973</v>
      </c>
    </row>
    <row r="16" spans="1:10" ht="44.25" customHeight="1" x14ac:dyDescent="0.2">
      <c r="A16" s="25">
        <v>45427</v>
      </c>
      <c r="B16" s="24">
        <f t="shared" si="1"/>
        <v>2.6880000000000002</v>
      </c>
      <c r="C16" s="24">
        <f>STATION!Q$35*24*7*0.16/1000</f>
        <v>2.6880000000000002</v>
      </c>
      <c r="D16" s="24">
        <f>STATION!Q$5</f>
        <v>2.904188</v>
      </c>
      <c r="E16" s="24">
        <f t="shared" ref="E16" si="21">B16-D16</f>
        <v>-0.21618799999999982</v>
      </c>
      <c r="F16" s="24">
        <f t="shared" si="19"/>
        <v>-0.21618799999999982</v>
      </c>
      <c r="G16" s="263"/>
      <c r="H16" s="290">
        <f>F16*3.37*10</f>
        <v>-7.285535599999994</v>
      </c>
      <c r="J16" s="290">
        <f>F16*1000/24</f>
        <v>-9.0078333333333251</v>
      </c>
    </row>
    <row r="17" spans="1:11" ht="44.25" customHeight="1" x14ac:dyDescent="0.2">
      <c r="A17" s="25">
        <v>45428</v>
      </c>
      <c r="B17" s="24">
        <f t="shared" si="1"/>
        <v>2.6880000000000002</v>
      </c>
      <c r="C17" s="24">
        <f>STATION!R$35*24*7*0.16/1000</f>
        <v>2.6880000000000002</v>
      </c>
      <c r="D17" s="24">
        <f>STATION!R$5</f>
        <v>2.878787</v>
      </c>
      <c r="E17" s="24">
        <f t="shared" ref="E17" si="22">B17-D17</f>
        <v>-0.19078699999999982</v>
      </c>
      <c r="F17" s="24">
        <f t="shared" ref="F17" si="23">C17-D17</f>
        <v>-0.19078699999999982</v>
      </c>
      <c r="G17" s="263" t="s">
        <v>577</v>
      </c>
      <c r="H17" s="290">
        <f>F17*3.38*10</f>
        <v>-6.4486005999999936</v>
      </c>
      <c r="J17" s="290">
        <f>F17*1000/24</f>
        <v>-7.9494583333333253</v>
      </c>
    </row>
    <row r="18" spans="1:11" ht="47.25" customHeight="1" x14ac:dyDescent="0.2">
      <c r="A18" s="25">
        <v>45429</v>
      </c>
      <c r="B18" s="24">
        <f t="shared" si="1"/>
        <v>2.6880000000000002</v>
      </c>
      <c r="C18" s="24">
        <f>STATION!S$35*24*7*0.16/1000</f>
        <v>2.6880000000000002</v>
      </c>
      <c r="D18" s="24">
        <f>STATION!S$5</f>
        <v>2.8275929999999998</v>
      </c>
      <c r="E18" s="24">
        <f t="shared" ref="E18" si="24">B18-D18</f>
        <v>-0.13959299999999963</v>
      </c>
      <c r="F18" s="24">
        <f t="shared" ref="F18" si="25">C18-D18</f>
        <v>-0.13959299999999963</v>
      </c>
      <c r="G18" s="263"/>
      <c r="H18" s="290">
        <f>F18*3.29*10</f>
        <v>-4.5926096999999881</v>
      </c>
      <c r="J18" s="290">
        <f t="shared" si="20"/>
        <v>-5.8163749999999839</v>
      </c>
    </row>
    <row r="19" spans="1:11" ht="44.25" customHeight="1" x14ac:dyDescent="0.2">
      <c r="A19" s="25">
        <v>45430</v>
      </c>
      <c r="B19" s="24">
        <f t="shared" si="1"/>
        <v>2.6880000000000002</v>
      </c>
      <c r="C19" s="24">
        <f>STATION!T$35*24*7*0.16/1000</f>
        <v>2.6880000000000002</v>
      </c>
      <c r="D19" s="24">
        <f>STATION!T$5</f>
        <v>2.8460290000000001</v>
      </c>
      <c r="E19" s="24">
        <f t="shared" ref="E19" si="26">B19-D19</f>
        <v>-0.15802899999999998</v>
      </c>
      <c r="F19" s="24">
        <f t="shared" ref="F19" si="27">C19-D19</f>
        <v>-0.15802899999999998</v>
      </c>
      <c r="G19" s="263"/>
      <c r="H19" s="290">
        <f>F19*3.24*10</f>
        <v>-5.1201395999999999</v>
      </c>
      <c r="J19" s="290">
        <f t="shared" si="20"/>
        <v>-6.5845416666666656</v>
      </c>
    </row>
    <row r="20" spans="1:11" ht="44.25" customHeight="1" x14ac:dyDescent="0.2">
      <c r="A20" s="25">
        <v>45431</v>
      </c>
      <c r="B20" s="24">
        <f t="shared" si="1"/>
        <v>2.6880000000000002</v>
      </c>
      <c r="C20" s="24">
        <f>STATION!U$35*24*7*0.16/1000</f>
        <v>2.6880000000000002</v>
      </c>
      <c r="D20" s="24">
        <f>STATION!U$5</f>
        <v>2.8275500000000005</v>
      </c>
      <c r="E20" s="24">
        <f t="shared" ref="E20" si="28">B20-D20</f>
        <v>-0.13955000000000028</v>
      </c>
      <c r="F20" s="24">
        <f t="shared" ref="F20" si="29">C20-D20</f>
        <v>-0.13955000000000028</v>
      </c>
      <c r="G20" s="263"/>
      <c r="H20" s="290">
        <f>F20*3.21*10</f>
        <v>-4.4795550000000093</v>
      </c>
      <c r="J20" s="290">
        <f t="shared" si="20"/>
        <v>-5.8145833333333456</v>
      </c>
    </row>
    <row r="21" spans="1:11" ht="44.25" customHeight="1" x14ac:dyDescent="0.2">
      <c r="A21" s="25">
        <v>45432</v>
      </c>
      <c r="B21" s="24">
        <f t="shared" si="1"/>
        <v>2.6880000000000002</v>
      </c>
      <c r="C21" s="24">
        <f>STATION!V$35*24*7*0.16/1000</f>
        <v>2.6880000000000002</v>
      </c>
      <c r="D21" s="24">
        <f>STATION!V$5</f>
        <v>2.8452089999999997</v>
      </c>
      <c r="E21" s="24">
        <f t="shared" ref="E21" si="30">B21-D21</f>
        <v>-0.15720899999999949</v>
      </c>
      <c r="F21" s="24">
        <f t="shared" ref="F21" si="31">C21-D21</f>
        <v>-0.15720899999999949</v>
      </c>
      <c r="G21" s="263"/>
      <c r="H21" s="290">
        <f>F21*3.28*10</f>
        <v>-5.156455199999983</v>
      </c>
      <c r="J21" s="290">
        <f t="shared" si="20"/>
        <v>-6.5503749999999785</v>
      </c>
    </row>
    <row r="22" spans="1:11" ht="50.25" customHeight="1" x14ac:dyDescent="0.2">
      <c r="A22" s="25">
        <v>45433</v>
      </c>
      <c r="B22" s="24">
        <f t="shared" si="1"/>
        <v>2.6880000000000002</v>
      </c>
      <c r="C22" s="24">
        <f>STATION!W$35*24*7*0.16/1000</f>
        <v>2.6880000000000002</v>
      </c>
      <c r="D22" s="24">
        <f>STATION!W$5</f>
        <v>2.8941430000000006</v>
      </c>
      <c r="E22" s="24">
        <f t="shared" ref="E22" si="32">B22-D22</f>
        <v>-0.20614300000000041</v>
      </c>
      <c r="F22" s="24">
        <f t="shared" ref="F22" si="33">C22-D22</f>
        <v>-0.20614300000000041</v>
      </c>
      <c r="G22" s="263"/>
      <c r="H22" s="290">
        <f>F22*3.36*10</f>
        <v>-6.9264048000000136</v>
      </c>
      <c r="J22" s="290">
        <f t="shared" si="20"/>
        <v>-8.5892916666666839</v>
      </c>
    </row>
    <row r="23" spans="1:11" ht="44.25" customHeight="1" x14ac:dyDescent="0.2">
      <c r="A23" s="25">
        <v>45434</v>
      </c>
      <c r="B23" s="24">
        <f t="shared" si="1"/>
        <v>2.6880000000000002</v>
      </c>
      <c r="C23" s="24">
        <f>STATION!X$35*24*7*0.16/1000</f>
        <v>2.6880000000000002</v>
      </c>
      <c r="D23" s="24">
        <f>STATION!X$5</f>
        <v>2.8720529999999997</v>
      </c>
      <c r="E23" s="24">
        <f t="shared" ref="E23" si="34">B23-D23</f>
        <v>-0.18405299999999958</v>
      </c>
      <c r="F23" s="24">
        <f t="shared" ref="F23" si="35">C23-D23</f>
        <v>-0.18405299999999958</v>
      </c>
      <c r="G23" s="263"/>
      <c r="H23" s="290">
        <f>F23*3.353*10</f>
        <v>-6.1712970899999862</v>
      </c>
      <c r="J23" s="290">
        <f t="shared" si="20"/>
        <v>-7.6688749999999821</v>
      </c>
    </row>
    <row r="24" spans="1:11" ht="50.25" customHeight="1" x14ac:dyDescent="0.2">
      <c r="A24" s="25">
        <v>45435</v>
      </c>
      <c r="B24" s="24">
        <f t="shared" si="1"/>
        <v>2.6880000000000002</v>
      </c>
      <c r="C24" s="24">
        <f>STATION!Y$35*24*7*0.16/1000</f>
        <v>2.6880000000000002</v>
      </c>
      <c r="D24" s="24">
        <f>STATION!Y$5</f>
        <v>2.8400769999999995</v>
      </c>
      <c r="E24" s="24">
        <f t="shared" ref="E24" si="36">B24-D24</f>
        <v>-0.15207699999999935</v>
      </c>
      <c r="F24" s="24">
        <f t="shared" ref="F24" si="37">C24-D24</f>
        <v>-0.15207699999999935</v>
      </c>
      <c r="G24" s="263"/>
      <c r="H24" s="290">
        <f>F24*3.339*10</f>
        <v>-5.0778510299999784</v>
      </c>
      <c r="J24" s="290">
        <f t="shared" si="20"/>
        <v>-6.3365416666666396</v>
      </c>
    </row>
    <row r="25" spans="1:11" ht="44.25" customHeight="1" x14ac:dyDescent="0.2">
      <c r="A25" s="25">
        <v>45436</v>
      </c>
      <c r="B25" s="24">
        <f t="shared" si="1"/>
        <v>2.6880000000000002</v>
      </c>
      <c r="C25" s="24">
        <f>STATION!X$35*24*7*0.16/1000</f>
        <v>2.6880000000000002</v>
      </c>
      <c r="D25" s="24">
        <f>STATION!Z$5</f>
        <v>2.8372950000000001</v>
      </c>
      <c r="E25" s="24">
        <f t="shared" ref="E25" si="38">B25-D25</f>
        <v>-0.14929499999999996</v>
      </c>
      <c r="F25" s="24">
        <f t="shared" ref="F25" si="39">C25-D25</f>
        <v>-0.14929499999999996</v>
      </c>
      <c r="G25" s="263"/>
      <c r="H25" s="290">
        <f>F25*3.7*10</f>
        <v>-5.5239149999999979</v>
      </c>
      <c r="J25" s="290">
        <f t="shared" si="20"/>
        <v>-6.2206249999999983</v>
      </c>
      <c r="K25" s="33"/>
    </row>
    <row r="26" spans="1:11" ht="44.25" customHeight="1" x14ac:dyDescent="0.2">
      <c r="A26" s="25">
        <v>45437</v>
      </c>
      <c r="B26" s="24">
        <f t="shared" si="1"/>
        <v>2.6880000000000002</v>
      </c>
      <c r="C26" s="24">
        <f>STATION!X$35*24*7*0.16/1000</f>
        <v>2.6880000000000002</v>
      </c>
      <c r="D26" s="24">
        <f>STATION!AA$5</f>
        <v>2.0881850000000002</v>
      </c>
      <c r="E26" s="24">
        <f t="shared" ref="E26" si="40">B26-D26</f>
        <v>0.59981499999999999</v>
      </c>
      <c r="F26" s="24">
        <f t="shared" ref="F26" si="41">C26-D26</f>
        <v>0.59981499999999999</v>
      </c>
      <c r="G26" s="263" t="s">
        <v>599</v>
      </c>
      <c r="H26" s="290">
        <f>F26*3.45*10</f>
        <v>20.693617500000002</v>
      </c>
      <c r="I26" s="285"/>
      <c r="J26" s="290">
        <f t="shared" si="20"/>
        <v>24.992291666666663</v>
      </c>
    </row>
    <row r="27" spans="1:11" ht="44.25" customHeight="1" x14ac:dyDescent="0.2">
      <c r="A27" s="25">
        <v>45438</v>
      </c>
      <c r="B27" s="24">
        <f t="shared" si="1"/>
        <v>2.6880000000000002</v>
      </c>
      <c r="C27" s="24">
        <f>STATION!X$35*24*7*0.16/1000</f>
        <v>2.6880000000000002</v>
      </c>
      <c r="D27" s="24">
        <f>STATION!AB$5</f>
        <v>2.7670999843749993</v>
      </c>
      <c r="E27" s="24">
        <f t="shared" ref="E27" si="42">B27-D27</f>
        <v>-7.9099984374999099E-2</v>
      </c>
      <c r="F27" s="24">
        <f t="shared" ref="F27" si="43">C27-D27</f>
        <v>-7.9099984374999099E-2</v>
      </c>
      <c r="G27" s="263"/>
      <c r="H27" s="290">
        <f>F27*3.17*10</f>
        <v>-2.5074695046874713</v>
      </c>
      <c r="I27" s="285"/>
      <c r="J27" s="290">
        <f>F27*1000/24</f>
        <v>-3.2958326822916288</v>
      </c>
    </row>
    <row r="28" spans="1:11" ht="44.25" customHeight="1" x14ac:dyDescent="0.2">
      <c r="A28" s="25">
        <v>45439</v>
      </c>
      <c r="B28" s="24">
        <f t="shared" si="1"/>
        <v>2.6880000000000002</v>
      </c>
      <c r="C28" s="24">
        <f>STATION!X$35*24*7*0.16/1000</f>
        <v>2.6880000000000002</v>
      </c>
      <c r="D28" s="24">
        <f>STATION!AC$5</f>
        <v>2.412439</v>
      </c>
      <c r="E28" s="24">
        <f t="shared" ref="E28" si="44">B28-D28</f>
        <v>0.27556100000000017</v>
      </c>
      <c r="F28" s="24">
        <f t="shared" ref="F28" si="45">C28-D28</f>
        <v>0.27556100000000017</v>
      </c>
      <c r="G28" s="263"/>
      <c r="H28" s="290">
        <f>F28*3.22*10</f>
        <v>8.8730642000000053</v>
      </c>
      <c r="I28" s="284"/>
      <c r="J28" s="290">
        <f t="shared" si="20"/>
        <v>11.481708333333339</v>
      </c>
    </row>
    <row r="29" spans="1:11" ht="52.5" customHeight="1" x14ac:dyDescent="0.2">
      <c r="A29" s="25">
        <v>45440</v>
      </c>
      <c r="B29" s="24">
        <f t="shared" si="1"/>
        <v>2.6880000000000002</v>
      </c>
      <c r="C29" s="24">
        <f>STATION!X$35*24*7*0.16/1000</f>
        <v>2.6880000000000002</v>
      </c>
      <c r="D29" s="24">
        <f>STATION!AD$5</f>
        <v>2.285704</v>
      </c>
      <c r="E29" s="24">
        <f t="shared" ref="E29" si="46">B29-D29</f>
        <v>0.40229600000000021</v>
      </c>
      <c r="F29" s="24">
        <f t="shared" ref="F29" si="47">C29-D29</f>
        <v>0.40229600000000021</v>
      </c>
      <c r="G29" s="263"/>
      <c r="H29" s="290">
        <f>F29*3.29*10</f>
        <v>13.235538400000006</v>
      </c>
      <c r="J29" s="290">
        <f t="shared" si="20"/>
        <v>16.762333333333341</v>
      </c>
    </row>
    <row r="30" spans="1:11" ht="51" customHeight="1" x14ac:dyDescent="0.2">
      <c r="A30" s="25">
        <v>45441</v>
      </c>
      <c r="B30" s="24">
        <f t="shared" si="1"/>
        <v>2.6880000000000002</v>
      </c>
      <c r="C30" s="24">
        <f>STATION!X$35*24*7*0.16/1000</f>
        <v>2.6880000000000002</v>
      </c>
      <c r="D30" s="24">
        <f>STATION!AE$5</f>
        <v>2.3596870000000005</v>
      </c>
      <c r="E30" s="24">
        <f t="shared" ref="E30" si="48">B30-D30</f>
        <v>0.32831299999999963</v>
      </c>
      <c r="F30" s="24">
        <f t="shared" ref="F30" si="49">C30-D30</f>
        <v>0.32831299999999963</v>
      </c>
      <c r="G30" s="263" t="s">
        <v>614</v>
      </c>
      <c r="H30" s="290">
        <f>F30*3.29*10</f>
        <v>10.801497699999988</v>
      </c>
      <c r="J30" s="290">
        <f t="shared" si="20"/>
        <v>13.679708333333318</v>
      </c>
    </row>
    <row r="31" spans="1:11" ht="39.75" customHeight="1" x14ac:dyDescent="0.2">
      <c r="A31" s="25">
        <v>45442</v>
      </c>
      <c r="B31" s="24">
        <f t="shared" si="1"/>
        <v>2.6880000000000002</v>
      </c>
      <c r="C31" s="24">
        <f>STATION!X$35*24*7*0.16/1000</f>
        <v>2.6880000000000002</v>
      </c>
      <c r="D31" s="24">
        <f>STATION!AF$5</f>
        <v>2.4633424375000001</v>
      </c>
      <c r="E31" s="24">
        <f t="shared" ref="E31" si="50">B31-D31</f>
        <v>0.22465756250000002</v>
      </c>
      <c r="F31" s="24">
        <f t="shared" ref="F31" si="51">C31-D31</f>
        <v>0.22465756250000002</v>
      </c>
      <c r="G31" s="263"/>
      <c r="H31" s="290">
        <f>F31*3.36*10</f>
        <v>7.548494100000001</v>
      </c>
      <c r="J31" s="290">
        <f>F31*1000/24</f>
        <v>9.3607317708333344</v>
      </c>
    </row>
    <row r="32" spans="1:11" ht="41.25" customHeight="1" x14ac:dyDescent="0.2">
      <c r="A32" s="25">
        <v>45443</v>
      </c>
      <c r="B32" s="24">
        <f t="shared" si="1"/>
        <v>2.6880000000000002</v>
      </c>
      <c r="C32" s="24">
        <f>STATION!X$35*24*7*0.16/1000</f>
        <v>2.6880000000000002</v>
      </c>
      <c r="D32" s="24">
        <f>STATION!AG$5</f>
        <v>2.5973700000000002</v>
      </c>
      <c r="E32" s="24">
        <f t="shared" ref="E32" si="52">B32-D32</f>
        <v>9.0629999999999988E-2</v>
      </c>
      <c r="F32" s="24">
        <f t="shared" ref="F32" si="53">C32-D32</f>
        <v>9.0629999999999988E-2</v>
      </c>
      <c r="G32" s="263"/>
      <c r="H32" s="290">
        <f>F32*3.36*10</f>
        <v>3.0451679999999999</v>
      </c>
      <c r="J32" s="290">
        <f>F32*1000/24</f>
        <v>3.7762499999999997</v>
      </c>
    </row>
    <row r="33" spans="1:1" x14ac:dyDescent="0.2">
      <c r="A33" s="25"/>
    </row>
  </sheetData>
  <phoneticPr fontId="24" type="noConversion"/>
  <pageMargins left="0.75" right="0.75" top="1" bottom="1" header="0.5" footer="0.5"/>
  <pageSetup scale="4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3"/>
  <sheetViews>
    <sheetView zoomScale="59" zoomScaleNormal="59" workbookViewId="0">
      <pane ySplit="2" topLeftCell="A3" activePane="bottomLeft" state="frozen"/>
      <selection activeCell="H32" sqref="H32"/>
      <selection pane="bottomLeft" activeCell="H32" sqref="H32"/>
    </sheetView>
  </sheetViews>
  <sheetFormatPr defaultRowHeight="12.75" x14ac:dyDescent="0.2"/>
  <cols>
    <col min="1" max="1" width="28.140625" customWidth="1"/>
    <col min="2" max="2" width="54.5703125" customWidth="1"/>
    <col min="3" max="4" width="18.85546875" customWidth="1"/>
    <col min="5" max="6" width="23" customWidth="1"/>
    <col min="7" max="7" width="2.140625" style="51" customWidth="1"/>
    <col min="8" max="9" width="11" customWidth="1"/>
    <col min="10" max="10" width="6.5703125" customWidth="1"/>
  </cols>
  <sheetData>
    <row r="1" spans="1:10" ht="30.75" customHeight="1" x14ac:dyDescent="0.2">
      <c r="A1" s="514" t="s">
        <v>537</v>
      </c>
      <c r="B1" s="514"/>
      <c r="C1" s="514"/>
      <c r="D1" s="514"/>
      <c r="E1" s="514"/>
      <c r="F1" s="514"/>
      <c r="H1" s="515"/>
      <c r="I1" s="515"/>
      <c r="J1" s="515"/>
    </row>
    <row r="2" spans="1:10" ht="52.5" customHeight="1" x14ac:dyDescent="0.2">
      <c r="A2" s="72" t="s">
        <v>198</v>
      </c>
      <c r="B2" s="73" t="s">
        <v>199</v>
      </c>
      <c r="C2" s="72" t="s">
        <v>200</v>
      </c>
      <c r="D2" s="74" t="s">
        <v>201</v>
      </c>
      <c r="E2" s="516" t="s">
        <v>202</v>
      </c>
      <c r="F2" s="517"/>
      <c r="H2" s="518" t="s">
        <v>203</v>
      </c>
      <c r="I2" s="519"/>
      <c r="J2" s="520"/>
    </row>
    <row r="3" spans="1:10" ht="40.5" customHeight="1" x14ac:dyDescent="0.2">
      <c r="A3" s="32" t="s">
        <v>510</v>
      </c>
      <c r="B3" s="40" t="s">
        <v>511</v>
      </c>
      <c r="C3" s="299" t="s">
        <v>513</v>
      </c>
      <c r="D3" s="299" t="s">
        <v>512</v>
      </c>
      <c r="E3" s="509" t="s">
        <v>514</v>
      </c>
      <c r="F3" s="510"/>
      <c r="G3" s="52"/>
      <c r="H3" s="511" t="s">
        <v>204</v>
      </c>
      <c r="I3" s="512"/>
      <c r="J3" s="513"/>
    </row>
    <row r="4" spans="1:10" ht="36" customHeight="1" x14ac:dyDescent="0.2">
      <c r="A4" s="32"/>
      <c r="B4" s="40"/>
      <c r="C4" s="299"/>
      <c r="D4" s="368"/>
      <c r="E4" s="509"/>
      <c r="F4" s="510"/>
      <c r="G4" s="52"/>
      <c r="H4" s="511" t="s">
        <v>205</v>
      </c>
      <c r="I4" s="512"/>
      <c r="J4" s="513"/>
    </row>
    <row r="5" spans="1:10" ht="38.450000000000003" customHeight="1" x14ac:dyDescent="0.2">
      <c r="A5" s="32"/>
      <c r="B5" s="40"/>
      <c r="C5" s="299"/>
      <c r="D5" s="368"/>
      <c r="E5" s="509"/>
      <c r="F5" s="510"/>
      <c r="G5" s="52"/>
      <c r="H5" s="506" t="s">
        <v>206</v>
      </c>
      <c r="I5" s="507"/>
      <c r="J5" s="508"/>
    </row>
    <row r="6" spans="1:10" ht="30" customHeight="1" x14ac:dyDescent="0.2">
      <c r="A6" s="32"/>
      <c r="B6" s="40"/>
      <c r="C6" s="299"/>
      <c r="D6" s="368"/>
      <c r="E6" s="504"/>
      <c r="F6" s="505"/>
      <c r="G6" s="52"/>
      <c r="H6" s="511" t="s">
        <v>207</v>
      </c>
      <c r="I6" s="512"/>
      <c r="J6" s="513"/>
    </row>
    <row r="7" spans="1:10" ht="30" customHeight="1" x14ac:dyDescent="0.2">
      <c r="A7" s="32"/>
      <c r="B7" s="40"/>
      <c r="C7" s="299"/>
      <c r="D7" s="368"/>
      <c r="E7" s="509"/>
      <c r="F7" s="510"/>
      <c r="G7" s="53"/>
      <c r="H7" s="511" t="s">
        <v>208</v>
      </c>
      <c r="I7" s="512"/>
      <c r="J7" s="513"/>
    </row>
    <row r="8" spans="1:10" ht="30" customHeight="1" x14ac:dyDescent="0.2">
      <c r="A8" s="32"/>
      <c r="B8" s="40"/>
      <c r="C8" s="299"/>
      <c r="D8" s="368"/>
      <c r="E8" s="504"/>
      <c r="F8" s="505"/>
      <c r="H8" s="506" t="s">
        <v>209</v>
      </c>
      <c r="I8" s="507"/>
      <c r="J8" s="508"/>
    </row>
    <row r="9" spans="1:10" ht="30" customHeight="1" x14ac:dyDescent="0.2">
      <c r="A9" s="32"/>
      <c r="B9" s="40"/>
      <c r="C9" s="299"/>
      <c r="D9" s="353"/>
      <c r="E9" s="504"/>
      <c r="F9" s="505"/>
      <c r="H9" s="506" t="s">
        <v>210</v>
      </c>
      <c r="I9" s="507"/>
      <c r="J9" s="508"/>
    </row>
    <row r="10" spans="1:10" ht="30" customHeight="1" x14ac:dyDescent="0.2">
      <c r="A10" s="32"/>
      <c r="B10" s="40"/>
      <c r="C10" s="299"/>
      <c r="D10" s="353"/>
      <c r="E10" s="504"/>
      <c r="F10" s="505"/>
      <c r="H10" s="506" t="s">
        <v>211</v>
      </c>
      <c r="I10" s="507"/>
      <c r="J10" s="508"/>
    </row>
    <row r="11" spans="1:10" ht="30" customHeight="1" x14ac:dyDescent="0.2">
      <c r="A11" s="32"/>
      <c r="B11" s="40"/>
      <c r="C11" s="299"/>
      <c r="D11" s="353"/>
      <c r="E11" s="504"/>
      <c r="F11" s="505"/>
      <c r="H11" s="506" t="s">
        <v>212</v>
      </c>
      <c r="I11" s="507"/>
      <c r="J11" s="508"/>
    </row>
    <row r="12" spans="1:10" ht="30" customHeight="1" x14ac:dyDescent="0.2">
      <c r="A12" s="32"/>
      <c r="B12" s="40"/>
      <c r="C12" s="207"/>
      <c r="D12" s="42"/>
      <c r="E12" s="509"/>
      <c r="F12" s="510"/>
      <c r="H12" s="506" t="s">
        <v>213</v>
      </c>
      <c r="I12" s="507"/>
      <c r="J12" s="508"/>
    </row>
    <row r="13" spans="1:10" ht="30" customHeight="1" x14ac:dyDescent="0.2">
      <c r="A13" s="32"/>
      <c r="B13" s="40"/>
      <c r="C13" s="22"/>
      <c r="D13" s="389"/>
      <c r="E13" s="509"/>
      <c r="F13" s="510"/>
      <c r="H13" s="506" t="s">
        <v>214</v>
      </c>
      <c r="I13" s="507"/>
      <c r="J13" s="508"/>
    </row>
  </sheetData>
  <mergeCells count="26">
    <mergeCell ref="A1:F1"/>
    <mergeCell ref="H1:J1"/>
    <mergeCell ref="E2:F2"/>
    <mergeCell ref="H2:J2"/>
    <mergeCell ref="H3:J3"/>
    <mergeCell ref="E4:F4"/>
    <mergeCell ref="H4:J4"/>
    <mergeCell ref="E5:F5"/>
    <mergeCell ref="H5:J5"/>
    <mergeCell ref="E3:F3"/>
    <mergeCell ref="H6:J6"/>
    <mergeCell ref="E7:F7"/>
    <mergeCell ref="H7:J7"/>
    <mergeCell ref="E8:F8"/>
    <mergeCell ref="H8:J8"/>
    <mergeCell ref="E6:F6"/>
    <mergeCell ref="E9:F9"/>
    <mergeCell ref="H9:J9"/>
    <mergeCell ref="E13:F13"/>
    <mergeCell ref="H13:J13"/>
    <mergeCell ref="E10:F10"/>
    <mergeCell ref="H10:J10"/>
    <mergeCell ref="E11:F11"/>
    <mergeCell ref="H11:J11"/>
    <mergeCell ref="E12:F12"/>
    <mergeCell ref="H12:J12"/>
  </mergeCells>
  <phoneticPr fontId="61" type="noConversion"/>
  <pageMargins left="0.75" right="0.75" top="1" bottom="1" header="0.5" footer="0.5"/>
  <pageSetup scale="41"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30"/>
  <sheetViews>
    <sheetView zoomScale="90" zoomScaleNormal="90" workbookViewId="0">
      <selection activeCell="H32" sqref="H32"/>
    </sheetView>
  </sheetViews>
  <sheetFormatPr defaultColWidth="9.140625" defaultRowHeight="12.75" x14ac:dyDescent="0.2"/>
  <cols>
    <col min="1" max="1" width="14.85546875" style="35" customWidth="1"/>
    <col min="2" max="2" width="15.140625" style="35" customWidth="1"/>
    <col min="3" max="3" width="16.28515625" style="35" customWidth="1"/>
    <col min="4" max="4" width="13.28515625" style="35" customWidth="1"/>
    <col min="5" max="5" width="84.140625" style="35" customWidth="1"/>
    <col min="6" max="6" width="13.42578125" style="31" customWidth="1"/>
    <col min="7" max="7" width="19.85546875" style="31" customWidth="1"/>
    <col min="8" max="8" width="16.28515625" style="35" customWidth="1"/>
    <col min="9" max="16384" width="9.140625" style="35"/>
  </cols>
  <sheetData>
    <row r="1" spans="1:10" ht="30.75" customHeight="1" x14ac:dyDescent="0.2">
      <c r="A1" s="521" t="s">
        <v>523</v>
      </c>
      <c r="B1" s="521"/>
      <c r="C1" s="521"/>
      <c r="D1" s="521"/>
      <c r="E1" s="521"/>
      <c r="F1" s="521"/>
      <c r="G1" s="521"/>
      <c r="H1" s="522"/>
    </row>
    <row r="2" spans="1:10" ht="70.5" customHeight="1" x14ac:dyDescent="0.2">
      <c r="A2" s="69" t="s">
        <v>215</v>
      </c>
      <c r="B2" s="69" t="s">
        <v>216</v>
      </c>
      <c r="C2" s="69" t="s">
        <v>217</v>
      </c>
      <c r="D2" s="69" t="s">
        <v>218</v>
      </c>
      <c r="E2" s="70" t="s">
        <v>219</v>
      </c>
      <c r="F2" s="69" t="s">
        <v>220</v>
      </c>
      <c r="G2" s="69" t="s">
        <v>221</v>
      </c>
      <c r="H2" s="71" t="s">
        <v>222</v>
      </c>
      <c r="J2" s="240"/>
    </row>
    <row r="3" spans="1:10" ht="30" x14ac:dyDescent="0.2">
      <c r="A3" s="39" t="s">
        <v>524</v>
      </c>
      <c r="B3" s="118" t="s">
        <v>525</v>
      </c>
      <c r="C3" s="119" t="s">
        <v>503</v>
      </c>
      <c r="D3" s="32">
        <v>117</v>
      </c>
      <c r="E3" s="119" t="s">
        <v>527</v>
      </c>
      <c r="F3" s="39" t="s">
        <v>530</v>
      </c>
      <c r="G3" s="369">
        <v>4.55</v>
      </c>
      <c r="H3" s="422"/>
    </row>
    <row r="4" spans="1:10" ht="30" x14ac:dyDescent="0.2">
      <c r="A4" s="39" t="s">
        <v>524</v>
      </c>
      <c r="B4" s="118" t="s">
        <v>526</v>
      </c>
      <c r="C4" s="119" t="s">
        <v>503</v>
      </c>
      <c r="D4" s="32">
        <v>117</v>
      </c>
      <c r="E4" s="119" t="s">
        <v>527</v>
      </c>
      <c r="F4" s="39" t="s">
        <v>529</v>
      </c>
      <c r="G4" s="369">
        <v>5.0970000000000004</v>
      </c>
      <c r="H4" s="422"/>
    </row>
    <row r="5" spans="1:10" ht="30" x14ac:dyDescent="0.2">
      <c r="A5" s="39" t="s">
        <v>524</v>
      </c>
      <c r="B5" s="118" t="s">
        <v>526</v>
      </c>
      <c r="C5" s="119" t="s">
        <v>503</v>
      </c>
      <c r="D5" s="32">
        <v>117</v>
      </c>
      <c r="E5" s="119" t="s">
        <v>527</v>
      </c>
      <c r="F5" s="39" t="s">
        <v>528</v>
      </c>
      <c r="G5" s="369">
        <v>6.98</v>
      </c>
      <c r="H5" s="423"/>
    </row>
    <row r="6" spans="1:10" ht="30" x14ac:dyDescent="0.2">
      <c r="A6" s="39" t="s">
        <v>600</v>
      </c>
      <c r="B6" s="118" t="s">
        <v>526</v>
      </c>
      <c r="C6" s="119" t="s">
        <v>601</v>
      </c>
      <c r="D6" s="32">
        <v>120</v>
      </c>
      <c r="E6" s="119" t="s">
        <v>602</v>
      </c>
      <c r="F6" s="39" t="s">
        <v>603</v>
      </c>
      <c r="G6" s="258">
        <v>16.2</v>
      </c>
      <c r="H6" s="258"/>
    </row>
    <row r="7" spans="1:10" ht="15" x14ac:dyDescent="0.2">
      <c r="A7" s="39"/>
      <c r="B7" s="118"/>
      <c r="C7" s="119"/>
      <c r="D7" s="32"/>
      <c r="E7" s="119"/>
      <c r="F7" s="39"/>
      <c r="G7" s="258"/>
      <c r="H7" s="351"/>
    </row>
    <row r="8" spans="1:10" ht="15" x14ac:dyDescent="0.2">
      <c r="A8" s="39"/>
      <c r="B8" s="118"/>
      <c r="C8" s="119"/>
      <c r="D8" s="32"/>
      <c r="E8" s="119"/>
      <c r="F8" s="39"/>
      <c r="G8" s="258"/>
      <c r="H8" s="258"/>
    </row>
    <row r="9" spans="1:10" ht="15" x14ac:dyDescent="0.2">
      <c r="A9" s="39"/>
      <c r="B9" s="118"/>
      <c r="C9" s="119"/>
      <c r="D9" s="32"/>
      <c r="E9" s="119"/>
      <c r="F9" s="39"/>
      <c r="G9" s="258"/>
      <c r="H9" s="258"/>
    </row>
    <row r="10" spans="1:10" ht="15" x14ac:dyDescent="0.2">
      <c r="A10" s="39"/>
      <c r="B10" s="118"/>
      <c r="C10" s="119"/>
      <c r="D10" s="32"/>
      <c r="E10" s="119"/>
      <c r="F10" s="39"/>
      <c r="G10" s="258"/>
      <c r="H10" s="258"/>
    </row>
    <row r="11" spans="1:10" ht="15" x14ac:dyDescent="0.2">
      <c r="A11" s="39"/>
      <c r="B11" s="118"/>
      <c r="C11" s="119"/>
      <c r="D11" s="32"/>
      <c r="E11" s="119"/>
      <c r="F11" s="39"/>
      <c r="G11" s="258"/>
      <c r="H11" s="258"/>
    </row>
    <row r="12" spans="1:10" ht="15" x14ac:dyDescent="0.2">
      <c r="A12" s="39"/>
      <c r="B12" s="118"/>
      <c r="C12" s="119"/>
      <c r="D12" s="32"/>
      <c r="E12" s="119"/>
      <c r="F12" s="39"/>
      <c r="G12" s="258"/>
      <c r="H12" s="258"/>
    </row>
    <row r="13" spans="1:10" ht="15" x14ac:dyDescent="0.2">
      <c r="A13" s="39"/>
      <c r="B13" s="118"/>
      <c r="C13" s="119"/>
      <c r="D13" s="32"/>
      <c r="E13" s="119"/>
      <c r="F13" s="39"/>
      <c r="G13" s="258"/>
      <c r="H13" s="258"/>
    </row>
    <row r="14" spans="1:10" ht="15" x14ac:dyDescent="0.2">
      <c r="A14" s="39"/>
      <c r="B14" s="118"/>
      <c r="C14" s="119"/>
      <c r="D14" s="32"/>
      <c r="E14" s="119"/>
      <c r="F14" s="39"/>
      <c r="G14" s="258"/>
      <c r="H14" s="258"/>
    </row>
    <row r="15" spans="1:10" ht="15" x14ac:dyDescent="0.2">
      <c r="A15" s="39"/>
      <c r="B15" s="118"/>
      <c r="C15" s="119"/>
      <c r="D15" s="32"/>
      <c r="E15" s="119"/>
      <c r="F15" s="39"/>
      <c r="G15" s="258"/>
      <c r="H15" s="258"/>
    </row>
    <row r="16" spans="1:10" ht="15" x14ac:dyDescent="0.2">
      <c r="A16" s="39"/>
      <c r="B16" s="118"/>
      <c r="C16" s="119"/>
      <c r="D16" s="32"/>
      <c r="E16" s="119"/>
      <c r="F16" s="39"/>
      <c r="G16" s="258"/>
      <c r="H16" s="258"/>
    </row>
    <row r="17" spans="1:8" ht="15" x14ac:dyDescent="0.2">
      <c r="A17" s="39"/>
      <c r="B17" s="118"/>
      <c r="C17" s="119"/>
      <c r="D17" s="32"/>
      <c r="E17" s="119"/>
      <c r="F17" s="39"/>
      <c r="G17" s="258"/>
      <c r="H17" s="258"/>
    </row>
    <row r="18" spans="1:8" ht="15" x14ac:dyDescent="0.2">
      <c r="A18" s="39"/>
      <c r="B18" s="118"/>
      <c r="C18" s="119"/>
      <c r="D18" s="32"/>
      <c r="E18" s="119"/>
      <c r="F18" s="39"/>
      <c r="G18" s="258"/>
      <c r="H18" s="258"/>
    </row>
    <row r="19" spans="1:8" ht="15" x14ac:dyDescent="0.2">
      <c r="A19" s="39"/>
      <c r="B19" s="118"/>
      <c r="C19" s="119"/>
      <c r="D19" s="32"/>
      <c r="E19" s="119"/>
      <c r="F19" s="39"/>
      <c r="G19" s="258"/>
      <c r="H19" s="258"/>
    </row>
    <row r="20" spans="1:8" ht="15" x14ac:dyDescent="0.2">
      <c r="A20" s="39"/>
      <c r="B20" s="118"/>
      <c r="C20" s="119"/>
      <c r="D20" s="32"/>
      <c r="E20" s="119"/>
      <c r="F20" s="39"/>
      <c r="G20" s="258"/>
      <c r="H20" s="258"/>
    </row>
    <row r="21" spans="1:8" ht="15" x14ac:dyDescent="0.2">
      <c r="A21" s="39"/>
      <c r="B21" s="118"/>
      <c r="C21" s="119"/>
      <c r="D21" s="32"/>
      <c r="E21" s="119"/>
      <c r="F21" s="39"/>
      <c r="G21" s="258"/>
      <c r="H21" s="258"/>
    </row>
    <row r="22" spans="1:8" ht="15" x14ac:dyDescent="0.2">
      <c r="A22" s="39"/>
      <c r="B22" s="118"/>
      <c r="C22" s="119"/>
      <c r="D22" s="32"/>
      <c r="E22" s="119"/>
      <c r="F22" s="39"/>
      <c r="G22" s="258"/>
      <c r="H22" s="258"/>
    </row>
    <row r="23" spans="1:8" ht="15" x14ac:dyDescent="0.2">
      <c r="A23" s="39"/>
      <c r="B23" s="118"/>
      <c r="C23" s="119"/>
      <c r="D23" s="32"/>
      <c r="E23" s="119"/>
      <c r="F23" s="39"/>
      <c r="G23" s="258"/>
      <c r="H23" s="258"/>
    </row>
    <row r="24" spans="1:8" ht="15" x14ac:dyDescent="0.2">
      <c r="A24" s="39"/>
      <c r="B24" s="118"/>
      <c r="C24" s="119"/>
      <c r="D24" s="32"/>
      <c r="E24" s="119"/>
      <c r="F24" s="39"/>
      <c r="G24" s="258"/>
      <c r="H24" s="258"/>
    </row>
    <row r="25" spans="1:8" ht="15" x14ac:dyDescent="0.2">
      <c r="A25" s="39"/>
      <c r="B25" s="118"/>
      <c r="C25" s="119"/>
      <c r="D25" s="32"/>
      <c r="E25" s="119"/>
      <c r="F25" s="39"/>
      <c r="G25" s="258"/>
      <c r="H25" s="258"/>
    </row>
    <row r="26" spans="1:8" ht="15" x14ac:dyDescent="0.2">
      <c r="A26" s="39"/>
      <c r="B26" s="118"/>
      <c r="C26" s="119"/>
      <c r="D26" s="32"/>
      <c r="E26" s="119"/>
      <c r="F26" s="39"/>
      <c r="G26" s="258"/>
      <c r="H26" s="258"/>
    </row>
    <row r="27" spans="1:8" ht="15" x14ac:dyDescent="0.2">
      <c r="A27" s="39"/>
      <c r="B27" s="118"/>
      <c r="C27" s="119"/>
      <c r="D27" s="32"/>
      <c r="E27" s="119"/>
      <c r="F27" s="39"/>
      <c r="G27" s="258"/>
      <c r="H27" s="258"/>
    </row>
    <row r="28" spans="1:8" ht="15" x14ac:dyDescent="0.2">
      <c r="A28" s="39"/>
      <c r="B28" s="118"/>
      <c r="C28" s="119"/>
      <c r="D28" s="32"/>
      <c r="E28" s="119"/>
      <c r="F28" s="39"/>
      <c r="G28" s="258"/>
      <c r="H28" s="258"/>
    </row>
    <row r="29" spans="1:8" ht="15" x14ac:dyDescent="0.2">
      <c r="A29" s="39"/>
      <c r="B29" s="118"/>
      <c r="C29" s="119"/>
      <c r="D29" s="32"/>
      <c r="E29" s="119"/>
      <c r="F29" s="39"/>
      <c r="G29" s="258"/>
      <c r="H29" s="258"/>
    </row>
    <row r="30" spans="1:8" ht="15" x14ac:dyDescent="0.2">
      <c r="A30" s="39"/>
      <c r="B30" s="118"/>
      <c r="C30" s="119"/>
      <c r="D30" s="32"/>
      <c r="E30" s="119"/>
      <c r="F30" s="39"/>
      <c r="G30" s="258"/>
      <c r="H30" s="258"/>
    </row>
  </sheetData>
  <mergeCells count="1">
    <mergeCell ref="A1:H1"/>
  </mergeCells>
  <phoneticPr fontId="62" type="noConversion"/>
  <printOptions horizontalCentered="1" verticalCentered="1"/>
  <pageMargins left="0.75" right="0.75" top="0.75" bottom="0.75" header="0.5" footer="0.5"/>
  <pageSetup paperSize="9" scale="43"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I216"/>
  <sheetViews>
    <sheetView zoomScaleNormal="100" workbookViewId="0">
      <pane xSplit="3" ySplit="2" topLeftCell="AA3" activePane="bottomRight" state="frozen"/>
      <selection activeCell="H32" sqref="H32"/>
      <selection pane="topRight" activeCell="H32" sqref="H32"/>
      <selection pane="bottomLeft" activeCell="H32" sqref="H32"/>
      <selection pane="bottomRight" activeCell="H32" sqref="H32"/>
    </sheetView>
  </sheetViews>
  <sheetFormatPr defaultRowHeight="12.75" outlineLevelRow="1" x14ac:dyDescent="0.2"/>
  <cols>
    <col min="1" max="1" width="4" bestFit="1" customWidth="1"/>
    <col min="2" max="2" width="36" customWidth="1"/>
    <col min="3" max="3" width="11.5703125" style="98" bestFit="1" customWidth="1"/>
    <col min="4" max="4" width="10.42578125" style="31" customWidth="1"/>
    <col min="5" max="8" width="11" style="31" bestFit="1" customWidth="1"/>
    <col min="9" max="9" width="10.42578125" style="31" customWidth="1"/>
    <col min="10" max="12" width="11" style="31" bestFit="1" customWidth="1"/>
    <col min="13" max="13" width="10.7109375" style="31" bestFit="1" customWidth="1"/>
    <col min="14" max="14" width="10.28515625" style="31" bestFit="1" customWidth="1"/>
    <col min="15" max="16" width="10.5703125" style="31" bestFit="1" customWidth="1"/>
    <col min="17" max="22" width="10.5703125" style="111" bestFit="1" customWidth="1"/>
    <col min="23" max="23" width="11" style="111" bestFit="1" customWidth="1"/>
    <col min="24" max="24" width="10.5703125" style="111" bestFit="1" customWidth="1"/>
    <col min="25" max="30" width="10.85546875" style="111" bestFit="1" customWidth="1"/>
    <col min="31" max="31" width="11.5703125" style="111" customWidth="1"/>
    <col min="32" max="32" width="10.85546875" style="111" bestFit="1" customWidth="1"/>
    <col min="33" max="33" width="9.7109375" style="111" customWidth="1"/>
    <col min="34" max="34" width="10.5703125" style="111" bestFit="1" customWidth="1"/>
    <col min="35" max="35" width="14.28515625" style="31" bestFit="1" customWidth="1"/>
  </cols>
  <sheetData>
    <row r="1" spans="1:35" ht="22.5" customHeight="1" x14ac:dyDescent="0.3">
      <c r="A1" s="523" t="s">
        <v>223</v>
      </c>
      <c r="B1" s="523"/>
      <c r="C1" s="82">
        <v>45413</v>
      </c>
      <c r="D1" s="524"/>
      <c r="E1" s="525"/>
      <c r="F1" s="525"/>
      <c r="G1" s="525"/>
      <c r="H1" s="525"/>
      <c r="I1" s="525"/>
      <c r="J1" s="525"/>
      <c r="K1" s="525"/>
      <c r="L1" s="525"/>
      <c r="M1" s="525"/>
      <c r="N1" s="525"/>
      <c r="O1" s="525"/>
      <c r="P1" s="525"/>
      <c r="Q1" s="525"/>
      <c r="R1" s="525"/>
      <c r="S1" s="525"/>
      <c r="T1" s="525"/>
      <c r="U1" s="525"/>
      <c r="V1" s="525"/>
      <c r="W1" s="525"/>
      <c r="X1" s="525"/>
      <c r="Y1" s="525"/>
      <c r="Z1" s="525"/>
      <c r="AA1" s="525"/>
      <c r="AB1" s="525"/>
      <c r="AC1" s="525"/>
      <c r="AD1" s="525"/>
      <c r="AE1" s="525"/>
      <c r="AF1" s="525"/>
      <c r="AG1" s="525"/>
      <c r="AH1" s="525"/>
    </row>
    <row r="2" spans="1:35" ht="15" x14ac:dyDescent="0.25">
      <c r="A2" s="83" t="s">
        <v>224</v>
      </c>
      <c r="B2" s="83" t="s">
        <v>225</v>
      </c>
      <c r="C2" s="84" t="s">
        <v>226</v>
      </c>
      <c r="D2" s="366">
        <v>45413</v>
      </c>
      <c r="E2" s="366">
        <v>45414</v>
      </c>
      <c r="F2" s="366">
        <v>45415</v>
      </c>
      <c r="G2" s="366">
        <v>45416</v>
      </c>
      <c r="H2" s="366">
        <v>45417</v>
      </c>
      <c r="I2" s="366">
        <v>45418</v>
      </c>
      <c r="J2" s="366">
        <v>45419</v>
      </c>
      <c r="K2" s="366">
        <v>45420</v>
      </c>
      <c r="L2" s="366">
        <v>45421</v>
      </c>
      <c r="M2" s="366">
        <v>45422</v>
      </c>
      <c r="N2" s="366">
        <v>45423</v>
      </c>
      <c r="O2" s="366">
        <v>45424</v>
      </c>
      <c r="P2" s="366">
        <v>45425</v>
      </c>
      <c r="Q2" s="366">
        <v>45426</v>
      </c>
      <c r="R2" s="366">
        <v>45427</v>
      </c>
      <c r="S2" s="366">
        <v>45428</v>
      </c>
      <c r="T2" s="366">
        <v>45429</v>
      </c>
      <c r="U2" s="366">
        <v>45430</v>
      </c>
      <c r="V2" s="366">
        <v>45431</v>
      </c>
      <c r="W2" s="366">
        <v>45432</v>
      </c>
      <c r="X2" s="366">
        <v>45433</v>
      </c>
      <c r="Y2" s="366">
        <v>45434</v>
      </c>
      <c r="Z2" s="366">
        <v>45435</v>
      </c>
      <c r="AA2" s="366">
        <v>45436</v>
      </c>
      <c r="AB2" s="366">
        <v>45437</v>
      </c>
      <c r="AC2" s="366">
        <v>45438</v>
      </c>
      <c r="AD2" s="366">
        <v>45439</v>
      </c>
      <c r="AE2" s="366">
        <v>45440</v>
      </c>
      <c r="AF2" s="366">
        <v>45441</v>
      </c>
      <c r="AG2" s="366">
        <v>45442</v>
      </c>
      <c r="AH2" s="366">
        <v>45443</v>
      </c>
      <c r="AI2" s="367" t="s">
        <v>227</v>
      </c>
    </row>
    <row r="3" spans="1:35" ht="18.75" outlineLevel="1" x14ac:dyDescent="0.2">
      <c r="A3" s="80">
        <v>1</v>
      </c>
      <c r="B3" s="85" t="s">
        <v>228</v>
      </c>
      <c r="C3" s="86" t="s">
        <v>229</v>
      </c>
      <c r="D3" s="107">
        <v>3.38</v>
      </c>
      <c r="E3" s="206">
        <v>1.17</v>
      </c>
      <c r="F3" s="107"/>
      <c r="G3" s="107"/>
      <c r="H3" s="107"/>
      <c r="I3" s="107"/>
      <c r="J3" s="107"/>
      <c r="K3" s="106"/>
      <c r="L3" s="106"/>
      <c r="M3" s="106"/>
      <c r="N3" s="106"/>
      <c r="O3" s="106"/>
      <c r="P3" s="106"/>
      <c r="Q3" s="106"/>
      <c r="R3" s="106"/>
      <c r="S3" s="106"/>
      <c r="T3" s="106"/>
      <c r="U3" s="106"/>
      <c r="V3" s="106"/>
      <c r="W3" s="106"/>
      <c r="X3" s="106"/>
      <c r="Y3" s="106"/>
      <c r="Z3" s="106"/>
      <c r="AA3" s="106"/>
      <c r="AB3" s="106"/>
      <c r="AC3" s="107"/>
      <c r="AD3" s="107"/>
      <c r="AE3" s="107"/>
      <c r="AF3" s="107"/>
      <c r="AG3" s="107"/>
      <c r="AH3" s="107"/>
      <c r="AI3" s="105">
        <f t="shared" ref="AI3:AI34" si="0">SUM(D3:AH3)</f>
        <v>4.55</v>
      </c>
    </row>
    <row r="4" spans="1:35" ht="18.75" outlineLevel="1" x14ac:dyDescent="0.2">
      <c r="A4" s="80">
        <v>2</v>
      </c>
      <c r="B4" s="85" t="s">
        <v>230</v>
      </c>
      <c r="C4" s="86" t="s">
        <v>229</v>
      </c>
      <c r="D4" s="107"/>
      <c r="E4" s="107"/>
      <c r="F4" s="107"/>
      <c r="G4" s="107"/>
      <c r="H4" s="107"/>
      <c r="I4" s="107"/>
      <c r="J4" s="107"/>
      <c r="K4" s="106"/>
      <c r="L4" s="106"/>
      <c r="M4" s="106"/>
      <c r="N4" s="106"/>
      <c r="O4" s="106"/>
      <c r="P4" s="106"/>
      <c r="Q4" s="106"/>
      <c r="R4" s="106"/>
      <c r="S4" s="106"/>
      <c r="T4" s="106"/>
      <c r="U4" s="106"/>
      <c r="V4" s="106"/>
      <c r="W4" s="106"/>
      <c r="X4" s="106"/>
      <c r="Y4" s="106"/>
      <c r="Z4" s="106"/>
      <c r="AA4" s="106"/>
      <c r="AB4" s="106"/>
      <c r="AC4" s="107"/>
      <c r="AD4" s="107"/>
      <c r="AE4" s="107"/>
      <c r="AF4" s="107"/>
      <c r="AG4" s="107"/>
      <c r="AH4" s="107"/>
      <c r="AI4" s="105">
        <f t="shared" si="0"/>
        <v>0</v>
      </c>
    </row>
    <row r="5" spans="1:35" ht="18.75" outlineLevel="1" x14ac:dyDescent="0.2">
      <c r="A5" s="80">
        <v>3</v>
      </c>
      <c r="B5" s="85" t="s">
        <v>231</v>
      </c>
      <c r="C5" s="86" t="s">
        <v>229</v>
      </c>
      <c r="D5" s="106"/>
      <c r="E5" s="107"/>
      <c r="F5" s="107"/>
      <c r="G5" s="107"/>
      <c r="H5" s="107"/>
      <c r="I5" s="107"/>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5">
        <f t="shared" si="0"/>
        <v>0</v>
      </c>
    </row>
    <row r="6" spans="1:35" ht="18.75" outlineLevel="1" x14ac:dyDescent="0.2">
      <c r="A6" s="80">
        <v>4</v>
      </c>
      <c r="B6" s="85" t="s">
        <v>232</v>
      </c>
      <c r="C6" s="86" t="s">
        <v>229</v>
      </c>
      <c r="D6" s="106"/>
      <c r="E6" s="107"/>
      <c r="F6" s="107"/>
      <c r="G6" s="107"/>
      <c r="H6" s="107"/>
      <c r="I6" s="107"/>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5">
        <f t="shared" si="0"/>
        <v>0</v>
      </c>
    </row>
    <row r="7" spans="1:35" ht="18.75" outlineLevel="1" x14ac:dyDescent="0.2">
      <c r="A7" s="80">
        <v>5</v>
      </c>
      <c r="B7" s="85" t="s">
        <v>233</v>
      </c>
      <c r="C7" s="86" t="s">
        <v>229</v>
      </c>
      <c r="D7" s="107"/>
      <c r="E7" s="107"/>
      <c r="F7" s="107"/>
      <c r="G7" s="107"/>
      <c r="H7" s="107"/>
      <c r="I7" s="107"/>
      <c r="J7" s="107"/>
      <c r="K7" s="106"/>
      <c r="L7" s="106"/>
      <c r="M7" s="106"/>
      <c r="N7" s="106"/>
      <c r="O7" s="106"/>
      <c r="P7" s="106"/>
      <c r="Q7" s="106"/>
      <c r="R7" s="106"/>
      <c r="S7" s="106"/>
      <c r="T7" s="106"/>
      <c r="U7" s="106"/>
      <c r="V7" s="106"/>
      <c r="W7" s="106"/>
      <c r="X7" s="106"/>
      <c r="Y7" s="106"/>
      <c r="Z7" s="106"/>
      <c r="AA7" s="106"/>
      <c r="AB7" s="106"/>
      <c r="AC7" s="106"/>
      <c r="AD7" s="106"/>
      <c r="AE7" s="106"/>
      <c r="AF7" s="106"/>
      <c r="AG7" s="107"/>
      <c r="AH7" s="107"/>
      <c r="AI7" s="105">
        <f t="shared" si="0"/>
        <v>0</v>
      </c>
    </row>
    <row r="8" spans="1:35" ht="18.75" outlineLevel="1" x14ac:dyDescent="0.2">
      <c r="A8" s="80">
        <v>6</v>
      </c>
      <c r="B8" s="85" t="s">
        <v>234</v>
      </c>
      <c r="C8" s="86" t="s">
        <v>229</v>
      </c>
      <c r="D8" s="107"/>
      <c r="E8" s="107"/>
      <c r="F8" s="107"/>
      <c r="G8" s="107"/>
      <c r="H8" s="107"/>
      <c r="I8" s="107"/>
      <c r="J8" s="107"/>
      <c r="K8" s="106"/>
      <c r="L8" s="106"/>
      <c r="M8" s="106"/>
      <c r="N8" s="106"/>
      <c r="O8" s="106"/>
      <c r="P8" s="106"/>
      <c r="Q8" s="106"/>
      <c r="R8" s="106"/>
      <c r="S8" s="106"/>
      <c r="T8" s="106"/>
      <c r="U8" s="106"/>
      <c r="V8" s="106"/>
      <c r="W8" s="106"/>
      <c r="X8" s="106"/>
      <c r="Y8" s="106"/>
      <c r="Z8" s="106"/>
      <c r="AA8" s="106"/>
      <c r="AB8" s="106"/>
      <c r="AC8" s="106"/>
      <c r="AD8" s="106"/>
      <c r="AE8" s="106"/>
      <c r="AF8" s="106"/>
      <c r="AG8" s="107"/>
      <c r="AH8" s="107"/>
      <c r="AI8" s="105">
        <f t="shared" si="0"/>
        <v>0</v>
      </c>
    </row>
    <row r="9" spans="1:35" ht="18.75" outlineLevel="1" x14ac:dyDescent="0.2">
      <c r="A9" s="80">
        <v>7</v>
      </c>
      <c r="B9" s="85" t="s">
        <v>235</v>
      </c>
      <c r="C9" s="86" t="s">
        <v>229</v>
      </c>
      <c r="D9" s="107"/>
      <c r="E9" s="107"/>
      <c r="F9" s="107"/>
      <c r="G9" s="107"/>
      <c r="H9" s="107"/>
      <c r="I9" s="107"/>
      <c r="J9" s="106"/>
      <c r="K9" s="106"/>
      <c r="L9" s="106"/>
      <c r="M9" s="106"/>
      <c r="N9" s="106"/>
      <c r="O9" s="106"/>
      <c r="P9" s="106"/>
      <c r="Q9" s="106"/>
      <c r="R9" s="106"/>
      <c r="S9" s="106"/>
      <c r="T9" s="106"/>
      <c r="U9" s="106"/>
      <c r="V9" s="106"/>
      <c r="W9" s="106"/>
      <c r="X9" s="107"/>
      <c r="Y9" s="107"/>
      <c r="Z9" s="107"/>
      <c r="AA9" s="107"/>
      <c r="AB9" s="107"/>
      <c r="AC9" s="107"/>
      <c r="AD9" s="107"/>
      <c r="AE9" s="107"/>
      <c r="AF9" s="107"/>
      <c r="AG9" s="107"/>
      <c r="AH9" s="107"/>
      <c r="AI9" s="105">
        <f t="shared" si="0"/>
        <v>0</v>
      </c>
    </row>
    <row r="10" spans="1:35" ht="18.75" outlineLevel="1" x14ac:dyDescent="0.2">
      <c r="A10" s="80">
        <v>8</v>
      </c>
      <c r="B10" s="85" t="s">
        <v>236</v>
      </c>
      <c r="C10" s="86" t="s">
        <v>229</v>
      </c>
      <c r="D10" s="107"/>
      <c r="E10" s="107"/>
      <c r="F10" s="107"/>
      <c r="G10" s="107"/>
      <c r="H10" s="107"/>
      <c r="I10" s="107"/>
      <c r="J10" s="106"/>
      <c r="K10" s="106"/>
      <c r="L10" s="106"/>
      <c r="M10" s="106"/>
      <c r="N10" s="106"/>
      <c r="O10" s="106"/>
      <c r="P10" s="106"/>
      <c r="Q10" s="106"/>
      <c r="R10" s="106"/>
      <c r="S10" s="106"/>
      <c r="T10" s="106"/>
      <c r="U10" s="106"/>
      <c r="V10" s="106"/>
      <c r="W10" s="106"/>
      <c r="X10" s="107"/>
      <c r="Y10" s="107"/>
      <c r="Z10" s="107"/>
      <c r="AA10" s="107"/>
      <c r="AB10" s="107"/>
      <c r="AC10" s="107"/>
      <c r="AD10" s="107"/>
      <c r="AE10" s="107"/>
      <c r="AF10" s="107"/>
      <c r="AG10" s="107"/>
      <c r="AH10" s="107"/>
      <c r="AI10" s="105">
        <f t="shared" si="0"/>
        <v>0</v>
      </c>
    </row>
    <row r="11" spans="1:35" ht="18.75" outlineLevel="1" x14ac:dyDescent="0.2">
      <c r="A11" s="80">
        <v>9</v>
      </c>
      <c r="B11" s="85" t="s">
        <v>237</v>
      </c>
      <c r="C11" s="86" t="s">
        <v>229</v>
      </c>
      <c r="D11" s="107"/>
      <c r="E11" s="107"/>
      <c r="F11" s="107"/>
      <c r="G11" s="107"/>
      <c r="H11" s="107"/>
      <c r="I11" s="107"/>
      <c r="J11" s="107"/>
      <c r="K11" s="106"/>
      <c r="L11" s="106"/>
      <c r="M11" s="106"/>
      <c r="N11" s="106"/>
      <c r="O11" s="106"/>
      <c r="P11" s="106"/>
      <c r="Q11" s="106"/>
      <c r="R11" s="106"/>
      <c r="S11" s="106"/>
      <c r="T11" s="106"/>
      <c r="U11" s="106"/>
      <c r="V11" s="107"/>
      <c r="W11" s="107"/>
      <c r="X11" s="107"/>
      <c r="Y11" s="107"/>
      <c r="Z11" s="107"/>
      <c r="AA11" s="107"/>
      <c r="AB11" s="107"/>
      <c r="AC11" s="107"/>
      <c r="AD11" s="107"/>
      <c r="AE11" s="107"/>
      <c r="AF11" s="107"/>
      <c r="AG11" s="107"/>
      <c r="AH11" s="107"/>
      <c r="AI11" s="105">
        <f t="shared" si="0"/>
        <v>0</v>
      </c>
    </row>
    <row r="12" spans="1:35" ht="18.75" outlineLevel="1" x14ac:dyDescent="0.2">
      <c r="A12" s="80">
        <v>10</v>
      </c>
      <c r="B12" s="85" t="s">
        <v>238</v>
      </c>
      <c r="C12" s="86" t="s">
        <v>229</v>
      </c>
      <c r="D12" s="107"/>
      <c r="E12" s="107"/>
      <c r="F12" s="107"/>
      <c r="G12" s="107"/>
      <c r="H12" s="107"/>
      <c r="I12" s="107"/>
      <c r="J12" s="107"/>
      <c r="K12" s="106"/>
      <c r="L12" s="106"/>
      <c r="M12" s="106"/>
      <c r="N12" s="106"/>
      <c r="O12" s="106"/>
      <c r="P12" s="106"/>
      <c r="Q12" s="106"/>
      <c r="R12" s="106"/>
      <c r="S12" s="106"/>
      <c r="T12" s="106"/>
      <c r="U12" s="106"/>
      <c r="V12" s="107"/>
      <c r="W12" s="107"/>
      <c r="X12" s="107"/>
      <c r="Y12" s="107"/>
      <c r="Z12" s="107"/>
      <c r="AA12" s="107"/>
      <c r="AB12" s="107"/>
      <c r="AC12" s="107"/>
      <c r="AD12" s="107"/>
      <c r="AE12" s="107"/>
      <c r="AF12" s="107"/>
      <c r="AG12" s="107"/>
      <c r="AH12" s="107"/>
      <c r="AI12" s="105">
        <f t="shared" si="0"/>
        <v>0</v>
      </c>
    </row>
    <row r="13" spans="1:35" ht="18.75" outlineLevel="1" x14ac:dyDescent="0.2">
      <c r="A13" s="80">
        <v>11</v>
      </c>
      <c r="B13" s="85" t="s">
        <v>239</v>
      </c>
      <c r="C13" s="86" t="s">
        <v>229</v>
      </c>
      <c r="D13" s="107"/>
      <c r="E13" s="107"/>
      <c r="F13" s="107"/>
      <c r="G13" s="107"/>
      <c r="H13" s="107"/>
      <c r="I13" s="107"/>
      <c r="J13" s="107"/>
      <c r="K13" s="106"/>
      <c r="L13" s="106"/>
      <c r="M13" s="106"/>
      <c r="N13" s="106"/>
      <c r="O13" s="106"/>
      <c r="P13" s="106"/>
      <c r="Q13" s="108"/>
      <c r="R13" s="106"/>
      <c r="S13" s="106"/>
      <c r="T13" s="208"/>
      <c r="U13" s="107"/>
      <c r="V13" s="107"/>
      <c r="W13" s="107"/>
      <c r="X13" s="107"/>
      <c r="Y13" s="107"/>
      <c r="Z13" s="107"/>
      <c r="AA13" s="107"/>
      <c r="AB13" s="107">
        <v>18</v>
      </c>
      <c r="AC13" s="107"/>
      <c r="AD13" s="107"/>
      <c r="AE13" s="107"/>
      <c r="AF13" s="107"/>
      <c r="AG13" s="107"/>
      <c r="AH13" s="107"/>
      <c r="AI13" s="105">
        <f t="shared" si="0"/>
        <v>18</v>
      </c>
    </row>
    <row r="14" spans="1:35" ht="18.75" outlineLevel="1" x14ac:dyDescent="0.2">
      <c r="A14" s="80">
        <v>12</v>
      </c>
      <c r="B14" s="85" t="s">
        <v>240</v>
      </c>
      <c r="C14" s="86" t="s">
        <v>229</v>
      </c>
      <c r="D14" s="107"/>
      <c r="E14" s="107"/>
      <c r="F14" s="107"/>
      <c r="G14" s="107"/>
      <c r="H14" s="107"/>
      <c r="I14" s="107"/>
      <c r="J14" s="107"/>
      <c r="K14" s="106"/>
      <c r="L14" s="106"/>
      <c r="M14" s="106"/>
      <c r="N14" s="106"/>
      <c r="O14" s="106"/>
      <c r="P14" s="106"/>
      <c r="Q14" s="108"/>
      <c r="R14" s="106"/>
      <c r="S14" s="106"/>
      <c r="T14" s="106"/>
      <c r="U14" s="107"/>
      <c r="V14" s="107"/>
      <c r="W14" s="107"/>
      <c r="X14" s="107"/>
      <c r="Y14" s="107"/>
      <c r="Z14" s="107"/>
      <c r="AA14" s="107"/>
      <c r="AB14" s="107"/>
      <c r="AC14" s="107"/>
      <c r="AD14" s="107"/>
      <c r="AE14" s="107"/>
      <c r="AF14" s="107"/>
      <c r="AG14" s="107"/>
      <c r="AH14" s="107"/>
      <c r="AI14" s="105">
        <f t="shared" si="0"/>
        <v>0</v>
      </c>
    </row>
    <row r="15" spans="1:35" ht="18.75" outlineLevel="1" x14ac:dyDescent="0.2">
      <c r="A15" s="80">
        <v>13</v>
      </c>
      <c r="B15" s="85" t="s">
        <v>241</v>
      </c>
      <c r="C15" s="86" t="s">
        <v>229</v>
      </c>
      <c r="D15" s="107"/>
      <c r="E15" s="107"/>
      <c r="F15" s="107"/>
      <c r="G15" s="107"/>
      <c r="H15" s="107"/>
      <c r="I15" s="107"/>
      <c r="J15" s="107"/>
      <c r="K15" s="107"/>
      <c r="L15" s="107"/>
      <c r="M15" s="106"/>
      <c r="N15" s="106"/>
      <c r="O15" s="106"/>
      <c r="P15" s="106"/>
      <c r="Q15" s="106"/>
      <c r="R15" s="106"/>
      <c r="S15" s="106"/>
      <c r="T15" s="106"/>
      <c r="U15" s="106"/>
      <c r="V15" s="106"/>
      <c r="W15" s="106"/>
      <c r="X15" s="106"/>
      <c r="Y15" s="106"/>
      <c r="Z15" s="106"/>
      <c r="AA15" s="106"/>
      <c r="AB15" s="106"/>
      <c r="AC15" s="106"/>
      <c r="AD15" s="106"/>
      <c r="AE15" s="106"/>
      <c r="AF15" s="106"/>
      <c r="AG15" s="106"/>
      <c r="AH15" s="107"/>
      <c r="AI15" s="105">
        <f t="shared" si="0"/>
        <v>0</v>
      </c>
    </row>
    <row r="16" spans="1:35" ht="18.75" outlineLevel="1" x14ac:dyDescent="0.2">
      <c r="A16" s="80">
        <v>14</v>
      </c>
      <c r="B16" s="85" t="s">
        <v>242</v>
      </c>
      <c r="C16" s="86" t="s">
        <v>229</v>
      </c>
      <c r="D16" s="107"/>
      <c r="E16" s="107"/>
      <c r="F16" s="107"/>
      <c r="G16" s="107"/>
      <c r="H16" s="107"/>
      <c r="I16" s="107"/>
      <c r="J16" s="107"/>
      <c r="K16" s="107"/>
      <c r="L16" s="107"/>
      <c r="M16" s="106"/>
      <c r="N16" s="106"/>
      <c r="O16" s="106"/>
      <c r="P16" s="106"/>
      <c r="Q16" s="106"/>
      <c r="R16" s="106"/>
      <c r="S16" s="106"/>
      <c r="T16" s="106"/>
      <c r="U16" s="106"/>
      <c r="V16" s="106"/>
      <c r="W16" s="106"/>
      <c r="X16" s="106"/>
      <c r="Y16" s="106"/>
      <c r="Z16" s="106"/>
      <c r="AA16" s="106"/>
      <c r="AB16" s="106"/>
      <c r="AC16" s="106"/>
      <c r="AD16" s="106"/>
      <c r="AE16" s="106"/>
      <c r="AF16" s="106"/>
      <c r="AG16" s="106"/>
      <c r="AH16" s="107"/>
      <c r="AI16" s="105">
        <f t="shared" si="0"/>
        <v>0</v>
      </c>
    </row>
    <row r="17" spans="1:35" ht="18.75" outlineLevel="1" x14ac:dyDescent="0.2">
      <c r="A17" s="80">
        <v>15</v>
      </c>
      <c r="B17" s="85" t="s">
        <v>243</v>
      </c>
      <c r="C17" s="86" t="s">
        <v>229</v>
      </c>
      <c r="D17" s="107"/>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7"/>
      <c r="AC17" s="107"/>
      <c r="AD17" s="107"/>
      <c r="AE17" s="107"/>
      <c r="AF17" s="107"/>
      <c r="AG17" s="107"/>
      <c r="AH17" s="107"/>
      <c r="AI17" s="105">
        <f t="shared" si="0"/>
        <v>0</v>
      </c>
    </row>
    <row r="18" spans="1:35" ht="18.75" outlineLevel="1" x14ac:dyDescent="0.2">
      <c r="A18" s="80">
        <v>16</v>
      </c>
      <c r="B18" s="85" t="s">
        <v>244</v>
      </c>
      <c r="C18" s="86" t="s">
        <v>229</v>
      </c>
      <c r="D18" s="106"/>
      <c r="E18" s="106"/>
      <c r="F18" s="106"/>
      <c r="G18" s="106"/>
      <c r="H18" s="106"/>
      <c r="I18" s="106"/>
      <c r="J18" s="106"/>
      <c r="K18" s="106"/>
      <c r="L18" s="106"/>
      <c r="M18" s="106"/>
      <c r="N18" s="106"/>
      <c r="O18" s="106"/>
      <c r="P18" s="106"/>
      <c r="Q18" s="106"/>
      <c r="R18" s="106"/>
      <c r="S18" s="106"/>
      <c r="T18" s="106"/>
      <c r="U18" s="107"/>
      <c r="V18" s="107"/>
      <c r="W18" s="107"/>
      <c r="X18" s="107"/>
      <c r="Y18" s="107"/>
      <c r="Z18" s="107"/>
      <c r="AA18" s="107"/>
      <c r="AB18" s="107"/>
      <c r="AC18" s="106"/>
      <c r="AD18" s="106"/>
      <c r="AE18" s="106"/>
      <c r="AF18" s="106"/>
      <c r="AG18" s="106"/>
      <c r="AH18" s="106"/>
      <c r="AI18" s="105">
        <f t="shared" si="0"/>
        <v>0</v>
      </c>
    </row>
    <row r="19" spans="1:35" ht="18.75" outlineLevel="1" x14ac:dyDescent="0.2">
      <c r="A19" s="80">
        <v>17</v>
      </c>
      <c r="B19" s="85" t="s">
        <v>245</v>
      </c>
      <c r="C19" s="86" t="s">
        <v>229</v>
      </c>
      <c r="D19" s="106"/>
      <c r="E19" s="106"/>
      <c r="F19" s="106"/>
      <c r="G19" s="106"/>
      <c r="H19" s="106"/>
      <c r="I19" s="106"/>
      <c r="J19" s="106"/>
      <c r="K19" s="106"/>
      <c r="L19" s="106"/>
      <c r="M19" s="106"/>
      <c r="N19" s="106"/>
      <c r="O19" s="106"/>
      <c r="P19" s="106"/>
      <c r="Q19" s="106"/>
      <c r="R19" s="106"/>
      <c r="S19" s="106"/>
      <c r="T19" s="106"/>
      <c r="U19" s="107"/>
      <c r="V19" s="107"/>
      <c r="W19" s="107"/>
      <c r="X19" s="107"/>
      <c r="Y19" s="107"/>
      <c r="Z19" s="107"/>
      <c r="AA19" s="107"/>
      <c r="AB19" s="107"/>
      <c r="AC19" s="106"/>
      <c r="AD19" s="106"/>
      <c r="AE19" s="106"/>
      <c r="AF19" s="106"/>
      <c r="AG19" s="106"/>
      <c r="AH19" s="106"/>
      <c r="AI19" s="105">
        <f t="shared" si="0"/>
        <v>0</v>
      </c>
    </row>
    <row r="20" spans="1:35" ht="18.75" outlineLevel="1" x14ac:dyDescent="0.2">
      <c r="A20" s="80">
        <v>18</v>
      </c>
      <c r="B20" s="85" t="s">
        <v>246</v>
      </c>
      <c r="C20" s="86" t="s">
        <v>229</v>
      </c>
      <c r="D20" s="106">
        <v>3.38</v>
      </c>
      <c r="E20" s="208">
        <v>1.7170000000000001</v>
      </c>
      <c r="F20" s="106"/>
      <c r="G20" s="106"/>
      <c r="H20" s="106"/>
      <c r="I20" s="106"/>
      <c r="J20" s="106"/>
      <c r="K20" s="106"/>
      <c r="L20" s="106"/>
      <c r="M20" s="106"/>
      <c r="N20" s="106"/>
      <c r="O20" s="106"/>
      <c r="P20" s="106"/>
      <c r="Q20" s="106"/>
      <c r="R20" s="106"/>
      <c r="S20" s="106"/>
      <c r="T20" s="106"/>
      <c r="U20" s="106"/>
      <c r="V20" s="107"/>
      <c r="W20" s="106"/>
      <c r="X20" s="106"/>
      <c r="Y20" s="106"/>
      <c r="Z20" s="106"/>
      <c r="AA20" s="106"/>
      <c r="AB20" s="106">
        <v>16.2</v>
      </c>
      <c r="AC20" s="106"/>
      <c r="AD20" s="106"/>
      <c r="AE20" s="106"/>
      <c r="AF20" s="106"/>
      <c r="AG20" s="106"/>
      <c r="AH20" s="106"/>
      <c r="AI20" s="105">
        <f t="shared" si="0"/>
        <v>21.296999999999997</v>
      </c>
    </row>
    <row r="21" spans="1:35" ht="18.75" outlineLevel="1" x14ac:dyDescent="0.2">
      <c r="A21" s="80">
        <v>19</v>
      </c>
      <c r="B21" s="85" t="s">
        <v>247</v>
      </c>
      <c r="C21" s="86" t="s">
        <v>229</v>
      </c>
      <c r="D21" s="106"/>
      <c r="E21" s="106"/>
      <c r="F21" s="106"/>
      <c r="G21" s="106"/>
      <c r="H21" s="106"/>
      <c r="I21" s="106"/>
      <c r="J21" s="106"/>
      <c r="K21" s="106"/>
      <c r="L21" s="106"/>
      <c r="M21" s="106"/>
      <c r="N21" s="106"/>
      <c r="O21" s="106"/>
      <c r="P21" s="106"/>
      <c r="Q21" s="106"/>
      <c r="R21" s="106"/>
      <c r="S21" s="106"/>
      <c r="T21" s="106"/>
      <c r="U21" s="106"/>
      <c r="V21" s="107"/>
      <c r="W21" s="106"/>
      <c r="X21" s="106"/>
      <c r="Y21" s="106"/>
      <c r="Z21" s="106"/>
      <c r="AA21" s="106"/>
      <c r="AB21" s="106">
        <v>16.2</v>
      </c>
      <c r="AC21" s="106"/>
      <c r="AD21" s="106"/>
      <c r="AE21" s="106"/>
      <c r="AF21" s="106"/>
      <c r="AG21" s="106"/>
      <c r="AH21" s="106"/>
      <c r="AI21" s="105">
        <f t="shared" si="0"/>
        <v>16.2</v>
      </c>
    </row>
    <row r="22" spans="1:35" ht="18.75" outlineLevel="1" x14ac:dyDescent="0.2">
      <c r="A22" s="80">
        <v>20</v>
      </c>
      <c r="B22" s="85" t="s">
        <v>248</v>
      </c>
      <c r="C22" s="86" t="s">
        <v>229</v>
      </c>
      <c r="D22" s="208"/>
      <c r="E22" s="208"/>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208"/>
      <c r="AI22" s="105">
        <f t="shared" si="0"/>
        <v>0</v>
      </c>
    </row>
    <row r="23" spans="1:35" ht="18.75" outlineLevel="1" x14ac:dyDescent="0.2">
      <c r="A23" s="80">
        <v>21</v>
      </c>
      <c r="B23" s="85" t="s">
        <v>249</v>
      </c>
      <c r="C23" s="86" t="s">
        <v>229</v>
      </c>
      <c r="D23" s="208"/>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208"/>
      <c r="AI23" s="105">
        <f t="shared" si="0"/>
        <v>0</v>
      </c>
    </row>
    <row r="24" spans="1:35" ht="18.75" outlineLevel="1" x14ac:dyDescent="0.2">
      <c r="A24" s="80">
        <v>22</v>
      </c>
      <c r="B24" s="85" t="s">
        <v>250</v>
      </c>
      <c r="C24" s="86" t="s">
        <v>229</v>
      </c>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7">
        <v>18.75</v>
      </c>
      <c r="AC24" s="107"/>
      <c r="AD24" s="107"/>
      <c r="AE24" s="107"/>
      <c r="AF24" s="106"/>
      <c r="AG24" s="106"/>
      <c r="AH24" s="106"/>
      <c r="AI24" s="105">
        <f t="shared" si="0"/>
        <v>18.75</v>
      </c>
    </row>
    <row r="25" spans="1:35" ht="18.75" outlineLevel="1" x14ac:dyDescent="0.2">
      <c r="A25" s="80">
        <v>23</v>
      </c>
      <c r="B25" s="85" t="s">
        <v>251</v>
      </c>
      <c r="C25" s="86" t="s">
        <v>229</v>
      </c>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7"/>
      <c r="AC25" s="107"/>
      <c r="AD25" s="107"/>
      <c r="AE25" s="107"/>
      <c r="AF25" s="106"/>
      <c r="AG25" s="106"/>
      <c r="AH25" s="106"/>
      <c r="AI25" s="105">
        <f t="shared" si="0"/>
        <v>0</v>
      </c>
    </row>
    <row r="26" spans="1:35" ht="18.75" outlineLevel="1" x14ac:dyDescent="0.2">
      <c r="A26" s="80">
        <v>24</v>
      </c>
      <c r="B26" s="85" t="s">
        <v>252</v>
      </c>
      <c r="C26" s="86" t="s">
        <v>229</v>
      </c>
      <c r="D26" s="208"/>
      <c r="E26" s="208"/>
      <c r="F26" s="208"/>
      <c r="G26" s="208"/>
      <c r="H26" s="208"/>
      <c r="I26" s="208"/>
      <c r="J26" s="208"/>
      <c r="K26" s="208"/>
      <c r="L26" s="106"/>
      <c r="M26" s="106"/>
      <c r="N26" s="106"/>
      <c r="O26" s="208"/>
      <c r="P26" s="108"/>
      <c r="Q26" s="108"/>
      <c r="R26" s="288"/>
      <c r="S26" s="108"/>
      <c r="T26" s="108"/>
      <c r="U26" s="208"/>
      <c r="V26" s="208"/>
      <c r="W26" s="208"/>
      <c r="X26" s="208"/>
      <c r="Y26" s="208"/>
      <c r="Z26" s="208"/>
      <c r="AA26" s="208"/>
      <c r="AB26" s="208">
        <v>17</v>
      </c>
      <c r="AC26" s="208"/>
      <c r="AD26" s="208"/>
      <c r="AE26" s="208"/>
      <c r="AF26" s="208"/>
      <c r="AG26" s="208"/>
      <c r="AH26" s="208"/>
      <c r="AI26" s="105">
        <f t="shared" si="0"/>
        <v>17</v>
      </c>
    </row>
    <row r="27" spans="1:35" ht="18.75" outlineLevel="1" x14ac:dyDescent="0.2">
      <c r="A27" s="80">
        <v>25</v>
      </c>
      <c r="B27" s="85" t="s">
        <v>253</v>
      </c>
      <c r="C27" s="86" t="s">
        <v>229</v>
      </c>
      <c r="D27" s="208"/>
      <c r="E27" s="208"/>
      <c r="F27" s="208"/>
      <c r="G27" s="208"/>
      <c r="H27" s="208"/>
      <c r="I27" s="208"/>
      <c r="J27" s="208"/>
      <c r="K27" s="208"/>
      <c r="L27" s="106"/>
      <c r="M27" s="106"/>
      <c r="N27" s="106"/>
      <c r="O27" s="208"/>
      <c r="P27" s="108"/>
      <c r="Q27" s="108"/>
      <c r="R27" s="208"/>
      <c r="S27" s="208"/>
      <c r="T27" s="208"/>
      <c r="U27" s="208"/>
      <c r="V27" s="208"/>
      <c r="W27" s="208"/>
      <c r="X27" s="208"/>
      <c r="Y27" s="208"/>
      <c r="Z27" s="208"/>
      <c r="AA27" s="208"/>
      <c r="AB27" s="208">
        <v>18</v>
      </c>
      <c r="AC27" s="208"/>
      <c r="AD27" s="208"/>
      <c r="AE27" s="208"/>
      <c r="AF27" s="208"/>
      <c r="AG27" s="208"/>
      <c r="AH27" s="208"/>
      <c r="AI27" s="105">
        <f t="shared" si="0"/>
        <v>18</v>
      </c>
    </row>
    <row r="28" spans="1:35" ht="18.75" outlineLevel="1" x14ac:dyDescent="0.2">
      <c r="A28" s="80">
        <v>26</v>
      </c>
      <c r="B28" s="85" t="s">
        <v>254</v>
      </c>
      <c r="C28" s="86" t="s">
        <v>229</v>
      </c>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208"/>
      <c r="AF28" s="208"/>
      <c r="AG28" s="208"/>
      <c r="AH28" s="106"/>
      <c r="AI28" s="105">
        <f t="shared" si="0"/>
        <v>0</v>
      </c>
    </row>
    <row r="29" spans="1:35" ht="18.75" outlineLevel="1" x14ac:dyDescent="0.2">
      <c r="A29" s="80">
        <v>27</v>
      </c>
      <c r="B29" s="85" t="s">
        <v>255</v>
      </c>
      <c r="C29" s="86" t="s">
        <v>229</v>
      </c>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208"/>
      <c r="AF29" s="208"/>
      <c r="AG29" s="208"/>
      <c r="AH29" s="106"/>
      <c r="AI29" s="105">
        <f t="shared" si="0"/>
        <v>0</v>
      </c>
    </row>
    <row r="30" spans="1:35" ht="18.75" outlineLevel="1" x14ac:dyDescent="0.2">
      <c r="A30" s="80">
        <v>28</v>
      </c>
      <c r="B30" s="85" t="s">
        <v>256</v>
      </c>
      <c r="C30" s="86" t="s">
        <v>229</v>
      </c>
      <c r="D30" s="106"/>
      <c r="E30" s="208"/>
      <c r="F30" s="106"/>
      <c r="G30" s="106"/>
      <c r="H30" s="106"/>
      <c r="I30" s="106"/>
      <c r="J30" s="106"/>
      <c r="K30" s="106"/>
      <c r="L30" s="106"/>
      <c r="M30" s="106"/>
      <c r="N30" s="106"/>
      <c r="O30" s="106"/>
      <c r="P30" s="106"/>
      <c r="Q30" s="106"/>
      <c r="R30" s="106"/>
      <c r="S30" s="106"/>
      <c r="T30" s="106"/>
      <c r="U30" s="106"/>
      <c r="V30" s="106"/>
      <c r="W30" s="106"/>
      <c r="X30" s="106"/>
      <c r="Y30" s="106"/>
      <c r="Z30" s="106"/>
      <c r="AA30" s="106"/>
      <c r="AB30" s="106">
        <v>17</v>
      </c>
      <c r="AC30" s="106"/>
      <c r="AD30" s="106"/>
      <c r="AE30" s="106"/>
      <c r="AF30" s="106"/>
      <c r="AG30" s="106"/>
      <c r="AH30" s="208"/>
      <c r="AI30" s="105">
        <f t="shared" si="0"/>
        <v>17</v>
      </c>
    </row>
    <row r="31" spans="1:35" ht="18.75" outlineLevel="1" x14ac:dyDescent="0.2">
      <c r="A31" s="80">
        <v>29</v>
      </c>
      <c r="B31" s="85" t="s">
        <v>257</v>
      </c>
      <c r="C31" s="86" t="s">
        <v>229</v>
      </c>
      <c r="D31" s="106"/>
      <c r="E31" s="208"/>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208"/>
      <c r="AI31" s="105">
        <f t="shared" si="0"/>
        <v>0</v>
      </c>
    </row>
    <row r="32" spans="1:35" ht="18.75" outlineLevel="1" x14ac:dyDescent="0.2">
      <c r="A32" s="80">
        <v>30</v>
      </c>
      <c r="B32" s="85" t="s">
        <v>258</v>
      </c>
      <c r="C32" s="86" t="s">
        <v>229</v>
      </c>
      <c r="D32" s="106"/>
      <c r="E32" s="106"/>
      <c r="F32" s="106"/>
      <c r="G32" s="106"/>
      <c r="H32" s="106"/>
      <c r="I32" s="106"/>
      <c r="J32" s="106"/>
      <c r="K32" s="106"/>
      <c r="L32" s="106"/>
      <c r="M32" s="106"/>
      <c r="N32" s="106"/>
      <c r="O32" s="106"/>
      <c r="P32" s="106"/>
      <c r="Q32" s="106"/>
      <c r="R32" s="208"/>
      <c r="S32" s="208"/>
      <c r="T32" s="208"/>
      <c r="U32" s="208"/>
      <c r="V32" s="106"/>
      <c r="W32" s="106"/>
      <c r="X32" s="107"/>
      <c r="Y32" s="107"/>
      <c r="Z32" s="107"/>
      <c r="AA32" s="107"/>
      <c r="AB32" s="106"/>
      <c r="AC32" s="106"/>
      <c r="AD32" s="106"/>
      <c r="AE32" s="106"/>
      <c r="AF32" s="106"/>
      <c r="AG32" s="106"/>
      <c r="AH32" s="106"/>
      <c r="AI32" s="105">
        <f t="shared" si="0"/>
        <v>0</v>
      </c>
    </row>
    <row r="33" spans="1:35" ht="18.75" outlineLevel="1" x14ac:dyDescent="0.2">
      <c r="A33" s="80">
        <v>31</v>
      </c>
      <c r="B33" s="85" t="s">
        <v>259</v>
      </c>
      <c r="C33" s="86" t="s">
        <v>229</v>
      </c>
      <c r="D33" s="106"/>
      <c r="E33" s="106"/>
      <c r="F33" s="106"/>
      <c r="G33" s="106"/>
      <c r="H33" s="106"/>
      <c r="I33" s="106"/>
      <c r="J33" s="106"/>
      <c r="K33" s="106"/>
      <c r="L33" s="106"/>
      <c r="M33" s="106"/>
      <c r="N33" s="106"/>
      <c r="O33" s="106"/>
      <c r="P33" s="106"/>
      <c r="Q33" s="106"/>
      <c r="R33" s="208"/>
      <c r="S33" s="208"/>
      <c r="T33" s="208"/>
      <c r="U33" s="208"/>
      <c r="V33" s="106"/>
      <c r="W33" s="106"/>
      <c r="X33" s="107"/>
      <c r="Y33" s="107"/>
      <c r="Z33" s="107"/>
      <c r="AA33" s="107"/>
      <c r="AB33" s="106"/>
      <c r="AC33" s="106"/>
      <c r="AD33" s="106"/>
      <c r="AE33" s="106"/>
      <c r="AF33" s="106"/>
      <c r="AG33" s="106"/>
      <c r="AH33" s="106"/>
      <c r="AI33" s="105">
        <f t="shared" si="0"/>
        <v>0</v>
      </c>
    </row>
    <row r="34" spans="1:35" ht="18.75" outlineLevel="1" x14ac:dyDescent="0.2">
      <c r="A34" s="80">
        <v>32</v>
      </c>
      <c r="B34" s="85" t="s">
        <v>260</v>
      </c>
      <c r="C34" s="86" t="s">
        <v>229</v>
      </c>
      <c r="D34" s="106"/>
      <c r="E34" s="106"/>
      <c r="F34" s="106"/>
      <c r="G34" s="106"/>
      <c r="H34" s="106"/>
      <c r="I34" s="106"/>
      <c r="J34" s="106"/>
      <c r="K34" s="106"/>
      <c r="L34" s="106"/>
      <c r="M34" s="106"/>
      <c r="N34" s="106"/>
      <c r="O34" s="106"/>
      <c r="P34" s="106"/>
      <c r="Q34" s="106"/>
      <c r="R34" s="106"/>
      <c r="S34" s="106"/>
      <c r="T34" s="106"/>
      <c r="U34" s="106"/>
      <c r="V34" s="107"/>
      <c r="W34" s="107"/>
      <c r="X34" s="107"/>
      <c r="Y34" s="107"/>
      <c r="Z34" s="107"/>
      <c r="AA34" s="107"/>
      <c r="AB34" s="106"/>
      <c r="AC34" s="106"/>
      <c r="AD34" s="106"/>
      <c r="AE34" s="106"/>
      <c r="AF34" s="106"/>
      <c r="AG34" s="106"/>
      <c r="AH34" s="106"/>
      <c r="AI34" s="105">
        <f t="shared" si="0"/>
        <v>0</v>
      </c>
    </row>
    <row r="35" spans="1:35" ht="18.75" outlineLevel="1" x14ac:dyDescent="0.2">
      <c r="A35" s="80">
        <v>33</v>
      </c>
      <c r="B35" s="85" t="s">
        <v>261</v>
      </c>
      <c r="C35" s="86" t="s">
        <v>229</v>
      </c>
      <c r="D35" s="106"/>
      <c r="E35" s="106"/>
      <c r="F35" s="106"/>
      <c r="G35" s="106"/>
      <c r="H35" s="106"/>
      <c r="I35" s="106"/>
      <c r="J35" s="106"/>
      <c r="K35" s="106"/>
      <c r="L35" s="106"/>
      <c r="M35" s="106"/>
      <c r="N35" s="106"/>
      <c r="O35" s="106"/>
      <c r="P35" s="106"/>
      <c r="Q35" s="106"/>
      <c r="R35" s="106"/>
      <c r="S35" s="106"/>
      <c r="T35" s="106"/>
      <c r="U35" s="107"/>
      <c r="V35" s="107"/>
      <c r="W35" s="107"/>
      <c r="X35" s="107"/>
      <c r="Y35" s="107"/>
      <c r="Z35" s="107"/>
      <c r="AA35" s="107"/>
      <c r="AB35" s="107"/>
      <c r="AC35" s="106"/>
      <c r="AD35" s="106"/>
      <c r="AE35" s="106"/>
      <c r="AF35" s="106"/>
      <c r="AG35" s="106"/>
      <c r="AH35" s="106"/>
      <c r="AI35" s="105">
        <f t="shared" ref="AI35:AI66" si="1">SUM(D35:AH35)</f>
        <v>0</v>
      </c>
    </row>
    <row r="36" spans="1:35" ht="18.75" outlineLevel="1" x14ac:dyDescent="0.2">
      <c r="A36" s="80">
        <v>34</v>
      </c>
      <c r="B36" s="85" t="s">
        <v>262</v>
      </c>
      <c r="C36" s="86" t="s">
        <v>229</v>
      </c>
      <c r="D36" s="106"/>
      <c r="E36" s="106"/>
      <c r="F36" s="106"/>
      <c r="G36" s="106"/>
      <c r="H36" s="106"/>
      <c r="I36" s="106"/>
      <c r="J36" s="106"/>
      <c r="K36" s="106"/>
      <c r="L36" s="106"/>
      <c r="M36" s="106"/>
      <c r="N36" s="106"/>
      <c r="O36" s="106"/>
      <c r="P36" s="106"/>
      <c r="Q36" s="106"/>
      <c r="R36" s="106"/>
      <c r="S36" s="106"/>
      <c r="T36" s="106"/>
      <c r="U36" s="107"/>
      <c r="V36" s="107"/>
      <c r="W36" s="289"/>
      <c r="X36" s="107"/>
      <c r="Y36" s="107"/>
      <c r="Z36" s="107"/>
      <c r="AA36" s="107"/>
      <c r="AB36" s="107"/>
      <c r="AC36" s="106"/>
      <c r="AD36" s="106"/>
      <c r="AE36" s="106"/>
      <c r="AF36" s="106"/>
      <c r="AG36" s="106"/>
      <c r="AH36" s="106"/>
      <c r="AI36" s="105">
        <f t="shared" si="1"/>
        <v>0</v>
      </c>
    </row>
    <row r="37" spans="1:35" ht="18.75" outlineLevel="1" x14ac:dyDescent="0.2">
      <c r="A37" s="80">
        <v>35</v>
      </c>
      <c r="B37" s="85" t="s">
        <v>263</v>
      </c>
      <c r="C37" s="86" t="s">
        <v>229</v>
      </c>
      <c r="D37" s="106">
        <v>3.38</v>
      </c>
      <c r="E37" s="208">
        <v>3.6</v>
      </c>
      <c r="F37" s="208"/>
      <c r="G37" s="289"/>
      <c r="H37" s="106"/>
      <c r="I37" s="106"/>
      <c r="J37" s="106"/>
      <c r="K37" s="106"/>
      <c r="L37" s="106"/>
      <c r="M37" s="106"/>
      <c r="N37" s="106"/>
      <c r="O37" s="106"/>
      <c r="P37" s="106"/>
      <c r="Q37" s="106"/>
      <c r="R37" s="106"/>
      <c r="S37" s="106"/>
      <c r="T37" s="106"/>
      <c r="U37" s="106"/>
      <c r="V37" s="107"/>
      <c r="W37" s="289"/>
      <c r="X37" s="106"/>
      <c r="Y37" s="106"/>
      <c r="Z37" s="106"/>
      <c r="AA37" s="106"/>
      <c r="AB37" s="106"/>
      <c r="AC37" s="106"/>
      <c r="AD37" s="106"/>
      <c r="AE37" s="106"/>
      <c r="AF37" s="106"/>
      <c r="AG37" s="106"/>
      <c r="AH37" s="106"/>
      <c r="AI37" s="105">
        <f t="shared" si="1"/>
        <v>6.98</v>
      </c>
    </row>
    <row r="38" spans="1:35" ht="18.75" outlineLevel="1" x14ac:dyDescent="0.2">
      <c r="A38" s="80">
        <v>36</v>
      </c>
      <c r="B38" s="85" t="s">
        <v>264</v>
      </c>
      <c r="C38" s="86" t="s">
        <v>229</v>
      </c>
      <c r="D38" s="106"/>
      <c r="E38" s="106"/>
      <c r="F38" s="106"/>
      <c r="G38" s="106"/>
      <c r="H38" s="106"/>
      <c r="I38" s="106"/>
      <c r="J38" s="106"/>
      <c r="K38" s="106"/>
      <c r="L38" s="106"/>
      <c r="M38" s="106"/>
      <c r="N38" s="106"/>
      <c r="O38" s="106"/>
      <c r="P38" s="106"/>
      <c r="Q38" s="106"/>
      <c r="R38" s="106"/>
      <c r="S38" s="106"/>
      <c r="T38" s="106"/>
      <c r="U38" s="106"/>
      <c r="V38" s="107"/>
      <c r="W38" s="289"/>
      <c r="X38" s="106"/>
      <c r="Y38" s="106"/>
      <c r="Z38" s="106"/>
      <c r="AA38" s="106"/>
      <c r="AB38" s="106"/>
      <c r="AC38" s="106"/>
      <c r="AD38" s="106"/>
      <c r="AE38" s="106"/>
      <c r="AF38" s="106"/>
      <c r="AG38" s="106"/>
      <c r="AH38" s="106"/>
      <c r="AI38" s="105">
        <f t="shared" si="1"/>
        <v>0</v>
      </c>
    </row>
    <row r="39" spans="1:35" ht="18.75" outlineLevel="1" x14ac:dyDescent="0.2">
      <c r="A39" s="80">
        <v>37</v>
      </c>
      <c r="B39" s="85" t="s">
        <v>265</v>
      </c>
      <c r="C39" s="86" t="s">
        <v>229</v>
      </c>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5">
        <f t="shared" si="1"/>
        <v>0</v>
      </c>
    </row>
    <row r="40" spans="1:35" ht="18.75" outlineLevel="1" x14ac:dyDescent="0.2">
      <c r="A40" s="80">
        <v>38</v>
      </c>
      <c r="B40" s="85" t="s">
        <v>266</v>
      </c>
      <c r="C40" s="86" t="s">
        <v>229</v>
      </c>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5">
        <f t="shared" si="1"/>
        <v>0</v>
      </c>
    </row>
    <row r="41" spans="1:35" ht="18.75" outlineLevel="1" x14ac:dyDescent="0.2">
      <c r="A41" s="80">
        <v>39</v>
      </c>
      <c r="B41" s="85" t="s">
        <v>267</v>
      </c>
      <c r="C41" s="86" t="s">
        <v>229</v>
      </c>
      <c r="D41" s="106"/>
      <c r="E41" s="106"/>
      <c r="F41" s="108"/>
      <c r="G41" s="108"/>
      <c r="H41" s="108"/>
      <c r="I41" s="108"/>
      <c r="J41" s="10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5">
        <f t="shared" si="1"/>
        <v>0</v>
      </c>
    </row>
    <row r="42" spans="1:35" ht="18.75" outlineLevel="1" x14ac:dyDescent="0.2">
      <c r="A42" s="80">
        <v>40</v>
      </c>
      <c r="B42" s="85" t="s">
        <v>268</v>
      </c>
      <c r="C42" s="86" t="s">
        <v>229</v>
      </c>
      <c r="D42" s="106"/>
      <c r="E42" s="106"/>
      <c r="F42" s="108"/>
      <c r="G42" s="108"/>
      <c r="H42" s="108"/>
      <c r="I42" s="108"/>
      <c r="J42" s="10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5">
        <f t="shared" si="1"/>
        <v>0</v>
      </c>
    </row>
    <row r="43" spans="1:35" ht="18.75" outlineLevel="1" x14ac:dyDescent="0.2">
      <c r="A43" s="80">
        <v>41</v>
      </c>
      <c r="B43" s="85" t="s">
        <v>269</v>
      </c>
      <c r="C43" s="86" t="s">
        <v>229</v>
      </c>
      <c r="D43" s="106"/>
      <c r="E43" s="106"/>
      <c r="F43" s="106"/>
      <c r="G43" s="106"/>
      <c r="H43" s="106"/>
      <c r="I43" s="106"/>
      <c r="J43" s="106"/>
      <c r="K43" s="106"/>
      <c r="L43" s="106"/>
      <c r="M43" s="106"/>
      <c r="N43" s="106"/>
      <c r="O43" s="106"/>
      <c r="P43" s="106"/>
      <c r="Q43" s="106"/>
      <c r="R43" s="106"/>
      <c r="S43" s="208"/>
      <c r="T43" s="106"/>
      <c r="U43" s="106"/>
      <c r="V43" s="106"/>
      <c r="W43" s="106"/>
      <c r="X43" s="289"/>
      <c r="Y43" s="106"/>
      <c r="Z43" s="106"/>
      <c r="AA43" s="106"/>
      <c r="AB43" s="106"/>
      <c r="AC43" s="106"/>
      <c r="AD43" s="106"/>
      <c r="AE43" s="106"/>
      <c r="AF43" s="106"/>
      <c r="AG43" s="106"/>
      <c r="AH43" s="106"/>
      <c r="AI43" s="105">
        <f t="shared" si="1"/>
        <v>0</v>
      </c>
    </row>
    <row r="44" spans="1:35" ht="18.75" outlineLevel="1" x14ac:dyDescent="0.2">
      <c r="A44" s="80">
        <v>42</v>
      </c>
      <c r="B44" s="85" t="s">
        <v>270</v>
      </c>
      <c r="C44" s="86" t="s">
        <v>229</v>
      </c>
      <c r="D44" s="106"/>
      <c r="E44" s="106"/>
      <c r="F44" s="106"/>
      <c r="G44" s="106"/>
      <c r="H44" s="106"/>
      <c r="I44" s="106"/>
      <c r="J44" s="106"/>
      <c r="K44" s="106"/>
      <c r="L44" s="106"/>
      <c r="M44" s="106"/>
      <c r="N44" s="106"/>
      <c r="O44" s="106"/>
      <c r="P44" s="106"/>
      <c r="Q44" s="106"/>
      <c r="R44" s="106"/>
      <c r="S44" s="208"/>
      <c r="T44" s="106"/>
      <c r="U44" s="106"/>
      <c r="V44" s="106"/>
      <c r="W44" s="106"/>
      <c r="X44" s="289"/>
      <c r="Y44" s="106"/>
      <c r="Z44" s="106"/>
      <c r="AA44" s="106"/>
      <c r="AB44" s="106"/>
      <c r="AC44" s="106"/>
      <c r="AD44" s="106"/>
      <c r="AE44" s="106"/>
      <c r="AF44" s="106"/>
      <c r="AG44" s="106"/>
      <c r="AH44" s="106"/>
      <c r="AI44" s="105">
        <f t="shared" si="1"/>
        <v>0</v>
      </c>
    </row>
    <row r="45" spans="1:35" ht="18.75" outlineLevel="1" x14ac:dyDescent="0.2">
      <c r="A45" s="80">
        <v>43</v>
      </c>
      <c r="B45" s="85" t="s">
        <v>271</v>
      </c>
      <c r="C45" s="86" t="s">
        <v>229</v>
      </c>
      <c r="D45" s="106"/>
      <c r="E45" s="106"/>
      <c r="F45" s="106"/>
      <c r="G45" s="106"/>
      <c r="H45" s="106"/>
      <c r="I45" s="106"/>
      <c r="J45" s="106"/>
      <c r="K45" s="107"/>
      <c r="L45" s="106"/>
      <c r="M45" s="108"/>
      <c r="N45" s="108"/>
      <c r="O45" s="208"/>
      <c r="P45" s="106"/>
      <c r="Q45" s="106"/>
      <c r="R45" s="106"/>
      <c r="S45" s="106"/>
      <c r="T45" s="106"/>
      <c r="U45" s="106"/>
      <c r="V45" s="106"/>
      <c r="W45" s="106"/>
      <c r="X45" s="106"/>
      <c r="Y45" s="106"/>
      <c r="Z45" s="106"/>
      <c r="AA45" s="106"/>
      <c r="AB45" s="106"/>
      <c r="AC45" s="106"/>
      <c r="AD45" s="106"/>
      <c r="AE45" s="106"/>
      <c r="AF45" s="106"/>
      <c r="AG45" s="106"/>
      <c r="AH45" s="106"/>
      <c r="AI45" s="105">
        <f t="shared" si="1"/>
        <v>0</v>
      </c>
    </row>
    <row r="46" spans="1:35" ht="18.75" outlineLevel="1" x14ac:dyDescent="0.2">
      <c r="A46" s="80">
        <v>44</v>
      </c>
      <c r="B46" s="85" t="s">
        <v>272</v>
      </c>
      <c r="C46" s="86" t="s">
        <v>229</v>
      </c>
      <c r="D46" s="106"/>
      <c r="E46" s="106"/>
      <c r="F46" s="106"/>
      <c r="G46" s="106"/>
      <c r="H46" s="106"/>
      <c r="I46" s="106"/>
      <c r="J46" s="106"/>
      <c r="K46" s="106"/>
      <c r="L46" s="106"/>
      <c r="M46" s="108"/>
      <c r="N46" s="108"/>
      <c r="O46" s="106"/>
      <c r="P46" s="106"/>
      <c r="Q46" s="106"/>
      <c r="R46" s="106"/>
      <c r="S46" s="106"/>
      <c r="T46" s="106"/>
      <c r="U46" s="106"/>
      <c r="V46" s="106"/>
      <c r="W46" s="107"/>
      <c r="X46" s="106"/>
      <c r="Y46" s="106"/>
      <c r="Z46" s="106"/>
      <c r="AA46" s="106"/>
      <c r="AB46" s="106"/>
      <c r="AC46" s="106"/>
      <c r="AD46" s="106"/>
      <c r="AE46" s="106"/>
      <c r="AF46" s="106"/>
      <c r="AG46" s="106"/>
      <c r="AH46" s="106"/>
      <c r="AI46" s="105">
        <f t="shared" si="1"/>
        <v>0</v>
      </c>
    </row>
    <row r="47" spans="1:35" ht="18.75" outlineLevel="1" x14ac:dyDescent="0.2">
      <c r="A47" s="80">
        <v>45</v>
      </c>
      <c r="B47" s="85" t="s">
        <v>273</v>
      </c>
      <c r="C47" s="86" t="s">
        <v>229</v>
      </c>
      <c r="D47" s="106"/>
      <c r="E47" s="106"/>
      <c r="F47" s="106"/>
      <c r="G47" s="106"/>
      <c r="H47" s="106"/>
      <c r="I47" s="106"/>
      <c r="J47" s="106"/>
      <c r="K47" s="106"/>
      <c r="L47" s="106"/>
      <c r="M47" s="106"/>
      <c r="N47" s="106"/>
      <c r="O47" s="106"/>
      <c r="P47" s="106"/>
      <c r="Q47" s="106"/>
      <c r="R47" s="106"/>
      <c r="S47" s="106"/>
      <c r="T47" s="106"/>
      <c r="U47" s="107"/>
      <c r="V47" s="107"/>
      <c r="W47" s="107"/>
      <c r="X47" s="107"/>
      <c r="Y47" s="107"/>
      <c r="Z47" s="107"/>
      <c r="AA47" s="107"/>
      <c r="AB47" s="107"/>
      <c r="AC47" s="106"/>
      <c r="AD47" s="106"/>
      <c r="AE47" s="106"/>
      <c r="AF47" s="106"/>
      <c r="AG47" s="106"/>
      <c r="AH47" s="106"/>
      <c r="AI47" s="105">
        <f t="shared" si="1"/>
        <v>0</v>
      </c>
    </row>
    <row r="48" spans="1:35" ht="18.75" outlineLevel="1" x14ac:dyDescent="0.2">
      <c r="A48" s="80">
        <v>46</v>
      </c>
      <c r="B48" s="85" t="s">
        <v>274</v>
      </c>
      <c r="C48" s="86" t="s">
        <v>229</v>
      </c>
      <c r="D48" s="106"/>
      <c r="E48" s="106"/>
      <c r="F48" s="106"/>
      <c r="G48" s="106"/>
      <c r="H48" s="106"/>
      <c r="I48" s="106"/>
      <c r="J48" s="106"/>
      <c r="K48" s="106"/>
      <c r="L48" s="106"/>
      <c r="M48" s="106"/>
      <c r="N48" s="106"/>
      <c r="O48" s="106"/>
      <c r="P48" s="106"/>
      <c r="Q48" s="106"/>
      <c r="R48" s="106"/>
      <c r="S48" s="106"/>
      <c r="T48" s="106"/>
      <c r="U48" s="107"/>
      <c r="V48" s="107"/>
      <c r="W48" s="107"/>
      <c r="X48" s="107"/>
      <c r="Y48" s="107"/>
      <c r="Z48" s="107"/>
      <c r="AA48" s="107"/>
      <c r="AB48" s="107"/>
      <c r="AC48" s="106"/>
      <c r="AD48" s="106"/>
      <c r="AE48" s="106"/>
      <c r="AF48" s="106"/>
      <c r="AG48" s="106"/>
      <c r="AH48" s="106"/>
      <c r="AI48" s="105">
        <f t="shared" si="1"/>
        <v>0</v>
      </c>
    </row>
    <row r="49" spans="1:35" ht="18.75" outlineLevel="1" x14ac:dyDescent="0.2">
      <c r="A49" s="80">
        <v>47</v>
      </c>
      <c r="B49" s="85" t="s">
        <v>275</v>
      </c>
      <c r="C49" s="86" t="s">
        <v>229</v>
      </c>
      <c r="D49" s="106"/>
      <c r="E49" s="106"/>
      <c r="F49" s="106"/>
      <c r="G49" s="106"/>
      <c r="H49" s="106"/>
      <c r="I49" s="106"/>
      <c r="J49" s="106"/>
      <c r="K49" s="106"/>
      <c r="L49" s="106"/>
      <c r="M49" s="106"/>
      <c r="N49" s="106"/>
      <c r="O49" s="106"/>
      <c r="P49" s="106"/>
      <c r="Q49" s="106"/>
      <c r="R49" s="106"/>
      <c r="S49" s="106"/>
      <c r="T49" s="106"/>
      <c r="U49" s="107"/>
      <c r="V49" s="107"/>
      <c r="W49" s="107"/>
      <c r="X49" s="107"/>
      <c r="Y49" s="107"/>
      <c r="Z49" s="107"/>
      <c r="AA49" s="107"/>
      <c r="AB49" s="107"/>
      <c r="AC49" s="106"/>
      <c r="AD49" s="106"/>
      <c r="AE49" s="106"/>
      <c r="AF49" s="106"/>
      <c r="AG49" s="106"/>
      <c r="AH49" s="106"/>
      <c r="AI49" s="105">
        <f t="shared" si="1"/>
        <v>0</v>
      </c>
    </row>
    <row r="50" spans="1:35" ht="18.75" outlineLevel="1" x14ac:dyDescent="0.3">
      <c r="A50" s="87">
        <v>48</v>
      </c>
      <c r="B50" s="88" t="s">
        <v>276</v>
      </c>
      <c r="C50" s="89" t="s">
        <v>229</v>
      </c>
      <c r="D50" s="109"/>
      <c r="E50" s="109"/>
      <c r="F50" s="109"/>
      <c r="G50" s="109"/>
      <c r="H50" s="106"/>
      <c r="I50" s="106"/>
      <c r="J50" s="106"/>
      <c r="K50" s="106"/>
      <c r="L50" s="109"/>
      <c r="M50" s="109"/>
      <c r="N50" s="109"/>
      <c r="O50" s="109"/>
      <c r="P50" s="109"/>
      <c r="Q50" s="109"/>
      <c r="R50" s="109"/>
      <c r="S50" s="106"/>
      <c r="T50" s="106"/>
      <c r="U50" s="107"/>
      <c r="V50" s="107"/>
      <c r="W50" s="107"/>
      <c r="X50" s="107"/>
      <c r="Y50" s="107"/>
      <c r="Z50" s="107"/>
      <c r="AA50" s="107"/>
      <c r="AB50" s="107"/>
      <c r="AC50" s="109"/>
      <c r="AD50" s="109"/>
      <c r="AE50" s="109"/>
      <c r="AF50" s="109"/>
      <c r="AG50" s="109"/>
      <c r="AH50" s="109"/>
      <c r="AI50" s="105">
        <f t="shared" si="1"/>
        <v>0</v>
      </c>
    </row>
    <row r="51" spans="1:35" s="90" customFormat="1" ht="18.75" outlineLevel="1" x14ac:dyDescent="0.2">
      <c r="A51" s="80">
        <v>49</v>
      </c>
      <c r="B51" s="85" t="s">
        <v>277</v>
      </c>
      <c r="C51" s="86" t="s">
        <v>229</v>
      </c>
      <c r="D51" s="106"/>
      <c r="E51" s="106"/>
      <c r="F51" s="106"/>
      <c r="G51" s="106"/>
      <c r="H51" s="106"/>
      <c r="I51" s="106"/>
      <c r="J51" s="106"/>
      <c r="K51" s="106"/>
      <c r="L51" s="106"/>
      <c r="M51" s="106"/>
      <c r="N51" s="106"/>
      <c r="O51" s="106"/>
      <c r="P51" s="106"/>
      <c r="Q51" s="106"/>
      <c r="R51" s="106"/>
      <c r="S51" s="106"/>
      <c r="T51" s="106"/>
      <c r="U51" s="107"/>
      <c r="V51" s="107"/>
      <c r="W51" s="107"/>
      <c r="X51" s="107"/>
      <c r="Y51" s="107"/>
      <c r="Z51" s="107"/>
      <c r="AA51" s="107"/>
      <c r="AB51" s="107"/>
      <c r="AC51" s="106"/>
      <c r="AD51" s="106"/>
      <c r="AE51" s="106"/>
      <c r="AF51" s="106"/>
      <c r="AG51" s="106"/>
      <c r="AH51" s="106"/>
      <c r="AI51" s="105">
        <f t="shared" si="1"/>
        <v>0</v>
      </c>
    </row>
    <row r="52" spans="1:35" ht="18.75" outlineLevel="1" x14ac:dyDescent="0.2">
      <c r="A52" s="91">
        <v>50</v>
      </c>
      <c r="B52" s="92" t="s">
        <v>278</v>
      </c>
      <c r="C52" s="93" t="s">
        <v>229</v>
      </c>
      <c r="D52" s="110"/>
      <c r="E52" s="110"/>
      <c r="F52" s="110"/>
      <c r="G52" s="110"/>
      <c r="H52" s="106"/>
      <c r="I52" s="106"/>
      <c r="J52" s="106"/>
      <c r="K52" s="106"/>
      <c r="L52" s="110"/>
      <c r="M52" s="110"/>
      <c r="N52" s="110"/>
      <c r="O52" s="110"/>
      <c r="P52" s="110"/>
      <c r="Q52" s="110"/>
      <c r="R52" s="110"/>
      <c r="S52" s="106"/>
      <c r="T52" s="106"/>
      <c r="U52" s="107"/>
      <c r="V52" s="107"/>
      <c r="W52" s="107"/>
      <c r="X52" s="107"/>
      <c r="Y52" s="107"/>
      <c r="Z52" s="107"/>
      <c r="AA52" s="107"/>
      <c r="AB52" s="107"/>
      <c r="AC52" s="110"/>
      <c r="AD52" s="110"/>
      <c r="AE52" s="110"/>
      <c r="AF52" s="110"/>
      <c r="AG52" s="110"/>
      <c r="AH52" s="110"/>
      <c r="AI52" s="105">
        <f t="shared" si="1"/>
        <v>0</v>
      </c>
    </row>
    <row r="53" spans="1:35" ht="18.75" outlineLevel="1" x14ac:dyDescent="0.2">
      <c r="A53" s="80">
        <v>51</v>
      </c>
      <c r="B53" s="85" t="s">
        <v>279</v>
      </c>
      <c r="C53" s="86" t="s">
        <v>229</v>
      </c>
      <c r="D53" s="106">
        <v>1</v>
      </c>
      <c r="E53" s="106"/>
      <c r="F53" s="208">
        <v>4.5830000000000002</v>
      </c>
      <c r="G53" s="106"/>
      <c r="H53" s="106"/>
      <c r="I53" s="106"/>
      <c r="J53" s="106"/>
      <c r="K53" s="106"/>
      <c r="L53" s="106"/>
      <c r="M53" s="106"/>
      <c r="N53" s="106"/>
      <c r="O53" s="106"/>
      <c r="P53" s="106"/>
      <c r="Q53" s="106"/>
      <c r="R53" s="106"/>
      <c r="S53" s="106"/>
      <c r="T53" s="106"/>
      <c r="U53" s="106"/>
      <c r="V53" s="107"/>
      <c r="W53" s="107"/>
      <c r="X53" s="107"/>
      <c r="Y53" s="107"/>
      <c r="Z53" s="206"/>
      <c r="AA53" s="107"/>
      <c r="AB53" s="107"/>
      <c r="AC53" s="106"/>
      <c r="AD53" s="106"/>
      <c r="AE53" s="106"/>
      <c r="AF53" s="289"/>
      <c r="AG53" s="289"/>
      <c r="AH53" s="106"/>
      <c r="AI53" s="349">
        <f t="shared" si="1"/>
        <v>5.5830000000000002</v>
      </c>
    </row>
    <row r="54" spans="1:35" ht="18.75" outlineLevel="1" x14ac:dyDescent="0.2">
      <c r="A54" s="80">
        <v>52</v>
      </c>
      <c r="B54" s="85" t="s">
        <v>280</v>
      </c>
      <c r="C54" s="86" t="s">
        <v>229</v>
      </c>
      <c r="D54" s="208">
        <v>3.1829999999999998</v>
      </c>
      <c r="E54" s="106"/>
      <c r="F54" s="208">
        <v>3.4666700000000001</v>
      </c>
      <c r="G54" s="106"/>
      <c r="H54" s="106"/>
      <c r="I54" s="208"/>
      <c r="J54" s="106"/>
      <c r="K54" s="208"/>
      <c r="L54" s="106"/>
      <c r="M54" s="106"/>
      <c r="N54" s="106"/>
      <c r="O54" s="106"/>
      <c r="P54" s="106"/>
      <c r="Q54" s="106"/>
      <c r="R54" s="106"/>
      <c r="S54" s="106"/>
      <c r="T54" s="106"/>
      <c r="U54" s="107"/>
      <c r="V54" s="107"/>
      <c r="W54" s="107"/>
      <c r="X54" s="107"/>
      <c r="Y54" s="107"/>
      <c r="Z54" s="206"/>
      <c r="AA54" s="107"/>
      <c r="AB54" s="107"/>
      <c r="AC54" s="106"/>
      <c r="AD54" s="106"/>
      <c r="AE54" s="106"/>
      <c r="AF54" s="106"/>
      <c r="AG54" s="106"/>
      <c r="AH54" s="106"/>
      <c r="AI54" s="105">
        <f t="shared" si="1"/>
        <v>6.6496700000000004</v>
      </c>
    </row>
    <row r="55" spans="1:35" ht="18.75" x14ac:dyDescent="0.2">
      <c r="A55" s="80">
        <v>53</v>
      </c>
      <c r="B55" s="94" t="s">
        <v>281</v>
      </c>
      <c r="C55" s="86" t="s">
        <v>282</v>
      </c>
      <c r="D55" s="106"/>
      <c r="E55" s="106"/>
      <c r="F55" s="106"/>
      <c r="G55" s="106"/>
      <c r="H55" s="106"/>
      <c r="I55" s="106"/>
      <c r="J55" s="106"/>
      <c r="K55" s="106"/>
      <c r="L55" s="106"/>
      <c r="M55" s="106"/>
      <c r="N55" s="106"/>
      <c r="O55" s="106"/>
      <c r="P55" s="106"/>
      <c r="Q55" s="106"/>
      <c r="R55" s="106"/>
      <c r="S55" s="106"/>
      <c r="T55" s="106"/>
      <c r="U55" s="107"/>
      <c r="V55" s="107"/>
      <c r="W55" s="107"/>
      <c r="X55" s="107"/>
      <c r="Y55" s="107"/>
      <c r="Z55" s="107"/>
      <c r="AA55" s="107"/>
      <c r="AB55" s="107"/>
      <c r="AC55" s="106"/>
      <c r="AD55" s="106"/>
      <c r="AE55" s="106"/>
      <c r="AF55" s="106"/>
      <c r="AG55" s="106"/>
      <c r="AH55" s="106"/>
      <c r="AI55" s="105">
        <f t="shared" si="1"/>
        <v>0</v>
      </c>
    </row>
    <row r="56" spans="1:35" ht="18.75" x14ac:dyDescent="0.2">
      <c r="A56" s="80">
        <v>54</v>
      </c>
      <c r="B56" s="94" t="s">
        <v>283</v>
      </c>
      <c r="C56" s="86" t="s">
        <v>282</v>
      </c>
      <c r="D56" s="106"/>
      <c r="E56" s="106"/>
      <c r="F56" s="106"/>
      <c r="G56" s="106"/>
      <c r="H56" s="106"/>
      <c r="I56" s="106"/>
      <c r="J56" s="106"/>
      <c r="K56" s="106"/>
      <c r="L56" s="106"/>
      <c r="M56" s="106"/>
      <c r="N56" s="106"/>
      <c r="O56" s="106"/>
      <c r="P56" s="106"/>
      <c r="Q56" s="106"/>
      <c r="R56" s="106"/>
      <c r="S56" s="106"/>
      <c r="T56" s="106"/>
      <c r="U56" s="107"/>
      <c r="V56" s="107"/>
      <c r="W56" s="107"/>
      <c r="X56" s="107"/>
      <c r="Y56" s="107"/>
      <c r="Z56" s="107"/>
      <c r="AA56" s="107"/>
      <c r="AB56" s="107"/>
      <c r="AC56" s="106"/>
      <c r="AD56" s="106"/>
      <c r="AE56" s="106"/>
      <c r="AF56" s="106"/>
      <c r="AG56" s="106"/>
      <c r="AH56" s="106"/>
      <c r="AI56" s="105">
        <f t="shared" si="1"/>
        <v>0</v>
      </c>
    </row>
    <row r="57" spans="1:35" ht="18.75" x14ac:dyDescent="0.2">
      <c r="A57" s="80">
        <v>55</v>
      </c>
      <c r="B57" s="94" t="s">
        <v>284</v>
      </c>
      <c r="C57" s="86" t="s">
        <v>282</v>
      </c>
      <c r="D57" s="106"/>
      <c r="E57" s="106"/>
      <c r="F57" s="106"/>
      <c r="G57" s="106"/>
      <c r="H57" s="106"/>
      <c r="I57" s="106"/>
      <c r="J57" s="106"/>
      <c r="K57" s="106"/>
      <c r="L57" s="106"/>
      <c r="M57" s="106"/>
      <c r="N57" s="106"/>
      <c r="O57" s="106"/>
      <c r="P57" s="106"/>
      <c r="Q57" s="106"/>
      <c r="R57" s="106"/>
      <c r="S57" s="106"/>
      <c r="T57" s="106"/>
      <c r="U57" s="107"/>
      <c r="V57" s="107"/>
      <c r="W57" s="107"/>
      <c r="X57" s="107"/>
      <c r="Y57" s="107"/>
      <c r="Z57" s="107"/>
      <c r="AA57" s="107"/>
      <c r="AB57" s="107"/>
      <c r="AC57" s="106"/>
      <c r="AD57" s="106"/>
      <c r="AE57" s="106"/>
      <c r="AF57" s="106"/>
      <c r="AG57" s="106"/>
      <c r="AH57" s="106"/>
      <c r="AI57" s="105">
        <f t="shared" si="1"/>
        <v>0</v>
      </c>
    </row>
    <row r="58" spans="1:35" ht="18.75" x14ac:dyDescent="0.2">
      <c r="A58" s="80">
        <v>56</v>
      </c>
      <c r="B58" s="94" t="s">
        <v>285</v>
      </c>
      <c r="C58" s="86" t="s">
        <v>282</v>
      </c>
      <c r="D58" s="106"/>
      <c r="E58" s="106"/>
      <c r="F58" s="106"/>
      <c r="G58" s="106"/>
      <c r="H58" s="106"/>
      <c r="I58" s="106"/>
      <c r="J58" s="106"/>
      <c r="K58" s="106"/>
      <c r="L58" s="106"/>
      <c r="M58" s="106"/>
      <c r="N58" s="106"/>
      <c r="O58" s="106"/>
      <c r="P58" s="106"/>
      <c r="Q58" s="106"/>
      <c r="R58" s="106"/>
      <c r="S58" s="106"/>
      <c r="T58" s="106"/>
      <c r="U58" s="107"/>
      <c r="V58" s="107"/>
      <c r="W58" s="107"/>
      <c r="X58" s="107"/>
      <c r="Y58" s="107"/>
      <c r="Z58" s="107"/>
      <c r="AA58" s="107"/>
      <c r="AB58" s="107"/>
      <c r="AC58" s="106"/>
      <c r="AD58" s="106"/>
      <c r="AE58" s="106"/>
      <c r="AF58" s="106"/>
      <c r="AG58" s="106"/>
      <c r="AH58" s="106"/>
      <c r="AI58" s="105">
        <f t="shared" si="1"/>
        <v>0</v>
      </c>
    </row>
    <row r="59" spans="1:35" ht="18.75" x14ac:dyDescent="0.2">
      <c r="A59" s="80">
        <v>57</v>
      </c>
      <c r="B59" s="94" t="s">
        <v>286</v>
      </c>
      <c r="C59" s="86" t="s">
        <v>282</v>
      </c>
      <c r="D59" s="106"/>
      <c r="E59" s="106"/>
      <c r="F59" s="106"/>
      <c r="G59" s="106"/>
      <c r="H59" s="106"/>
      <c r="I59" s="106"/>
      <c r="J59" s="106"/>
      <c r="K59" s="106"/>
      <c r="L59" s="106"/>
      <c r="M59" s="106"/>
      <c r="N59" s="106"/>
      <c r="O59" s="106"/>
      <c r="P59" s="106"/>
      <c r="Q59" s="106"/>
      <c r="R59" s="106"/>
      <c r="S59" s="106"/>
      <c r="T59" s="106"/>
      <c r="U59" s="107"/>
      <c r="V59" s="107"/>
      <c r="W59" s="107"/>
      <c r="X59" s="382"/>
      <c r="Y59" s="107"/>
      <c r="Z59" s="107"/>
      <c r="AA59" s="107"/>
      <c r="AB59" s="107"/>
      <c r="AC59" s="106"/>
      <c r="AD59" s="106"/>
      <c r="AE59" s="106"/>
      <c r="AF59" s="106"/>
      <c r="AG59" s="106"/>
      <c r="AH59" s="106"/>
      <c r="AI59" s="105">
        <f t="shared" si="1"/>
        <v>0</v>
      </c>
    </row>
    <row r="60" spans="1:35" ht="18.75" x14ac:dyDescent="0.2">
      <c r="A60" s="80">
        <v>58</v>
      </c>
      <c r="B60" s="94" t="s">
        <v>287</v>
      </c>
      <c r="C60" s="86" t="s">
        <v>282</v>
      </c>
      <c r="D60" s="106"/>
      <c r="E60" s="106"/>
      <c r="F60" s="106"/>
      <c r="G60" s="106"/>
      <c r="H60" s="106"/>
      <c r="I60" s="106"/>
      <c r="J60" s="106"/>
      <c r="K60" s="106"/>
      <c r="L60" s="106"/>
      <c r="M60" s="106"/>
      <c r="N60" s="106"/>
      <c r="O60" s="106"/>
      <c r="P60" s="106"/>
      <c r="Q60" s="106"/>
      <c r="R60" s="106"/>
      <c r="S60" s="106"/>
      <c r="T60" s="106"/>
      <c r="U60" s="107"/>
      <c r="V60" s="107"/>
      <c r="W60" s="107"/>
      <c r="X60" s="107"/>
      <c r="Y60" s="107"/>
      <c r="Z60" s="107"/>
      <c r="AA60" s="107"/>
      <c r="AB60" s="107"/>
      <c r="AC60" s="106"/>
      <c r="AD60" s="106"/>
      <c r="AE60" s="106"/>
      <c r="AF60" s="106"/>
      <c r="AG60" s="106"/>
      <c r="AH60" s="106"/>
      <c r="AI60" s="105">
        <f t="shared" si="1"/>
        <v>0</v>
      </c>
    </row>
    <row r="61" spans="1:35" ht="18.75" x14ac:dyDescent="0.2">
      <c r="A61" s="80">
        <v>59</v>
      </c>
      <c r="B61" s="94" t="s">
        <v>288</v>
      </c>
      <c r="C61" s="86" t="s">
        <v>282</v>
      </c>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6"/>
      <c r="AD61" s="106"/>
      <c r="AE61" s="106"/>
      <c r="AF61" s="106"/>
      <c r="AG61" s="106"/>
      <c r="AH61" s="106"/>
      <c r="AI61" s="105">
        <f t="shared" si="1"/>
        <v>0</v>
      </c>
    </row>
    <row r="62" spans="1:35" ht="18.75" x14ac:dyDescent="0.2">
      <c r="A62" s="80">
        <v>60</v>
      </c>
      <c r="B62" s="94" t="s">
        <v>289</v>
      </c>
      <c r="C62" s="86" t="s">
        <v>282</v>
      </c>
      <c r="D62" s="106"/>
      <c r="E62" s="208"/>
      <c r="F62" s="106"/>
      <c r="G62" s="106"/>
      <c r="H62" s="106"/>
      <c r="I62" s="106"/>
      <c r="J62" s="106"/>
      <c r="K62" s="106"/>
      <c r="L62" s="106"/>
      <c r="M62" s="106"/>
      <c r="N62" s="106"/>
      <c r="O62" s="106"/>
      <c r="P62" s="106"/>
      <c r="Q62" s="106"/>
      <c r="R62" s="106"/>
      <c r="S62" s="106"/>
      <c r="T62" s="106"/>
      <c r="U62" s="107"/>
      <c r="V62" s="107"/>
      <c r="W62" s="107"/>
      <c r="X62" s="107"/>
      <c r="Y62" s="107"/>
      <c r="Z62" s="107"/>
      <c r="AA62" s="107"/>
      <c r="AB62" s="107"/>
      <c r="AC62" s="106"/>
      <c r="AD62" s="106"/>
      <c r="AE62" s="106"/>
      <c r="AF62" s="106"/>
      <c r="AG62" s="106"/>
      <c r="AH62" s="106"/>
      <c r="AI62" s="105">
        <f t="shared" si="1"/>
        <v>0</v>
      </c>
    </row>
    <row r="63" spans="1:35" ht="18.75" x14ac:dyDescent="0.2">
      <c r="A63" s="80">
        <v>61</v>
      </c>
      <c r="B63" s="94" t="s">
        <v>290</v>
      </c>
      <c r="C63" s="86" t="s">
        <v>282</v>
      </c>
      <c r="D63" s="106"/>
      <c r="E63" s="106"/>
      <c r="F63" s="106"/>
      <c r="G63" s="106"/>
      <c r="H63" s="106"/>
      <c r="I63" s="106"/>
      <c r="J63" s="106"/>
      <c r="K63" s="106"/>
      <c r="L63" s="106"/>
      <c r="M63" s="106"/>
      <c r="N63" s="106"/>
      <c r="O63" s="106"/>
      <c r="P63" s="106"/>
      <c r="Q63" s="106"/>
      <c r="R63" s="106"/>
      <c r="S63" s="106"/>
      <c r="T63" s="106"/>
      <c r="U63" s="107"/>
      <c r="V63" s="107"/>
      <c r="W63" s="107"/>
      <c r="X63" s="107"/>
      <c r="Y63" s="107"/>
      <c r="Z63" s="107"/>
      <c r="AA63" s="107"/>
      <c r="AB63" s="107"/>
      <c r="AC63" s="106"/>
      <c r="AD63" s="106"/>
      <c r="AE63" s="106"/>
      <c r="AF63" s="106"/>
      <c r="AG63" s="106"/>
      <c r="AH63" s="106"/>
      <c r="AI63" s="105">
        <f t="shared" si="1"/>
        <v>0</v>
      </c>
    </row>
    <row r="64" spans="1:35" ht="18.75" x14ac:dyDescent="0.2">
      <c r="A64" s="80">
        <v>62</v>
      </c>
      <c r="B64" s="94" t="s">
        <v>291</v>
      </c>
      <c r="C64" s="86" t="s">
        <v>282</v>
      </c>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6"/>
      <c r="AD64" s="106"/>
      <c r="AE64" s="106"/>
      <c r="AF64" s="106"/>
      <c r="AG64" s="106"/>
      <c r="AH64" s="106"/>
      <c r="AI64" s="105">
        <f t="shared" si="1"/>
        <v>0</v>
      </c>
    </row>
    <row r="65" spans="1:35" ht="18.75" x14ac:dyDescent="0.2">
      <c r="A65" s="80">
        <v>63</v>
      </c>
      <c r="B65" s="94" t="s">
        <v>292</v>
      </c>
      <c r="C65" s="86" t="s">
        <v>282</v>
      </c>
      <c r="D65" s="106"/>
      <c r="E65" s="106"/>
      <c r="F65" s="106"/>
      <c r="G65" s="106"/>
      <c r="H65" s="106"/>
      <c r="I65" s="106"/>
      <c r="J65" s="106"/>
      <c r="K65" s="106"/>
      <c r="L65" s="106"/>
      <c r="M65" s="106"/>
      <c r="N65" s="106"/>
      <c r="O65" s="106"/>
      <c r="P65" s="106"/>
      <c r="Q65" s="106"/>
      <c r="R65" s="106"/>
      <c r="S65" s="106"/>
      <c r="T65" s="106"/>
      <c r="U65" s="107"/>
      <c r="V65" s="107"/>
      <c r="W65" s="107"/>
      <c r="X65" s="107"/>
      <c r="Y65" s="107"/>
      <c r="Z65" s="107"/>
      <c r="AA65" s="107"/>
      <c r="AB65" s="107"/>
      <c r="AC65" s="106"/>
      <c r="AD65" s="106"/>
      <c r="AE65" s="106"/>
      <c r="AF65" s="106"/>
      <c r="AG65" s="106"/>
      <c r="AH65" s="106"/>
      <c r="AI65" s="105">
        <f t="shared" si="1"/>
        <v>0</v>
      </c>
    </row>
    <row r="66" spans="1:35" ht="18.75" x14ac:dyDescent="0.2">
      <c r="A66" s="80">
        <v>64</v>
      </c>
      <c r="B66" s="94" t="s">
        <v>293</v>
      </c>
      <c r="C66" s="86" t="s">
        <v>282</v>
      </c>
      <c r="D66" s="106"/>
      <c r="E66" s="106"/>
      <c r="F66" s="106"/>
      <c r="G66" s="106"/>
      <c r="H66" s="106"/>
      <c r="I66" s="106"/>
      <c r="J66" s="106"/>
      <c r="K66" s="106"/>
      <c r="L66" s="106"/>
      <c r="M66" s="106"/>
      <c r="N66" s="106"/>
      <c r="O66" s="106"/>
      <c r="P66" s="106"/>
      <c r="Q66" s="106"/>
      <c r="R66" s="106"/>
      <c r="S66" s="106"/>
      <c r="T66" s="106"/>
      <c r="U66" s="107"/>
      <c r="V66" s="107"/>
      <c r="W66" s="107"/>
      <c r="X66" s="107"/>
      <c r="Y66" s="107"/>
      <c r="Z66" s="107"/>
      <c r="AA66" s="107"/>
      <c r="AB66" s="107"/>
      <c r="AC66" s="106"/>
      <c r="AD66" s="106"/>
      <c r="AE66" s="106"/>
      <c r="AF66" s="106"/>
      <c r="AG66" s="106"/>
      <c r="AH66" s="106"/>
      <c r="AI66" s="105">
        <f t="shared" si="1"/>
        <v>0</v>
      </c>
    </row>
    <row r="67" spans="1:35" ht="18.75" x14ac:dyDescent="0.2">
      <c r="A67" s="80">
        <v>65</v>
      </c>
      <c r="B67" s="94" t="s">
        <v>294</v>
      </c>
      <c r="C67" s="86" t="s">
        <v>282</v>
      </c>
      <c r="D67" s="106"/>
      <c r="E67" s="106"/>
      <c r="F67" s="106"/>
      <c r="G67" s="106"/>
      <c r="H67" s="106"/>
      <c r="I67" s="106"/>
      <c r="J67" s="106"/>
      <c r="K67" s="106"/>
      <c r="L67" s="106"/>
      <c r="M67" s="106"/>
      <c r="N67" s="106"/>
      <c r="O67" s="106"/>
      <c r="P67" s="106"/>
      <c r="Q67" s="106"/>
      <c r="R67" s="106"/>
      <c r="S67" s="106"/>
      <c r="T67" s="106"/>
      <c r="U67" s="107"/>
      <c r="V67" s="107"/>
      <c r="W67" s="107"/>
      <c r="X67" s="107"/>
      <c r="Y67" s="107"/>
      <c r="Z67" s="107"/>
      <c r="AA67" s="107"/>
      <c r="AB67" s="107"/>
      <c r="AC67" s="106"/>
      <c r="AD67" s="106"/>
      <c r="AE67" s="106"/>
      <c r="AF67" s="106"/>
      <c r="AG67" s="106"/>
      <c r="AH67" s="106"/>
      <c r="AI67" s="105">
        <f t="shared" ref="AI67:AI98" si="2">SUM(D67:AH67)</f>
        <v>0</v>
      </c>
    </row>
    <row r="68" spans="1:35" ht="18.75" x14ac:dyDescent="0.2">
      <c r="A68" s="80">
        <v>66</v>
      </c>
      <c r="B68" s="94" t="s">
        <v>295</v>
      </c>
      <c r="C68" s="86" t="s">
        <v>282</v>
      </c>
      <c r="D68" s="106"/>
      <c r="E68" s="106"/>
      <c r="F68" s="106"/>
      <c r="G68" s="106"/>
      <c r="H68" s="106"/>
      <c r="I68" s="106"/>
      <c r="J68" s="106"/>
      <c r="K68" s="106"/>
      <c r="L68" s="106"/>
      <c r="M68" s="106"/>
      <c r="N68" s="106"/>
      <c r="O68" s="106"/>
      <c r="P68" s="106"/>
      <c r="Q68" s="106"/>
      <c r="R68" s="106"/>
      <c r="S68" s="106"/>
      <c r="T68" s="106"/>
      <c r="U68" s="107"/>
      <c r="V68" s="107"/>
      <c r="W68" s="107"/>
      <c r="X68" s="107"/>
      <c r="Y68" s="107"/>
      <c r="Z68" s="107"/>
      <c r="AA68" s="107"/>
      <c r="AB68" s="107"/>
      <c r="AC68" s="106"/>
      <c r="AD68" s="106"/>
      <c r="AE68" s="106"/>
      <c r="AF68" s="106"/>
      <c r="AG68" s="106"/>
      <c r="AH68" s="106"/>
      <c r="AI68" s="105">
        <f t="shared" si="2"/>
        <v>0</v>
      </c>
    </row>
    <row r="69" spans="1:35" ht="18.75" x14ac:dyDescent="0.2">
      <c r="A69" s="80">
        <v>67</v>
      </c>
      <c r="B69" s="94" t="s">
        <v>296</v>
      </c>
      <c r="C69" s="86" t="s">
        <v>282</v>
      </c>
      <c r="D69" s="106"/>
      <c r="E69" s="106"/>
      <c r="F69" s="106"/>
      <c r="G69" s="106"/>
      <c r="H69" s="106"/>
      <c r="I69" s="106"/>
      <c r="J69" s="106"/>
      <c r="K69" s="106"/>
      <c r="L69" s="106"/>
      <c r="M69" s="106"/>
      <c r="N69" s="106"/>
      <c r="O69" s="106"/>
      <c r="P69" s="106"/>
      <c r="Q69" s="106"/>
      <c r="R69" s="106"/>
      <c r="S69" s="106"/>
      <c r="T69" s="106"/>
      <c r="U69" s="107"/>
      <c r="V69" s="107"/>
      <c r="W69" s="107"/>
      <c r="X69" s="107"/>
      <c r="Y69" s="107"/>
      <c r="Z69" s="107"/>
      <c r="AA69" s="107"/>
      <c r="AB69" s="107"/>
      <c r="AC69" s="106"/>
      <c r="AD69" s="106"/>
      <c r="AE69" s="106"/>
      <c r="AF69" s="106"/>
      <c r="AG69" s="106"/>
      <c r="AH69" s="106"/>
      <c r="AI69" s="105">
        <f t="shared" si="2"/>
        <v>0</v>
      </c>
    </row>
    <row r="70" spans="1:35" ht="18.75" x14ac:dyDescent="0.2">
      <c r="A70" s="80">
        <v>68</v>
      </c>
      <c r="B70" s="94" t="s">
        <v>297</v>
      </c>
      <c r="C70" s="86" t="s">
        <v>282</v>
      </c>
      <c r="D70" s="106"/>
      <c r="E70" s="106"/>
      <c r="F70" s="106"/>
      <c r="G70" s="106"/>
      <c r="H70" s="106"/>
      <c r="I70" s="106"/>
      <c r="J70" s="106"/>
      <c r="K70" s="106"/>
      <c r="L70" s="106"/>
      <c r="M70" s="106"/>
      <c r="N70" s="106"/>
      <c r="O70" s="106"/>
      <c r="P70" s="106"/>
      <c r="Q70" s="106"/>
      <c r="R70" s="106"/>
      <c r="S70" s="106"/>
      <c r="T70" s="108"/>
      <c r="U70" s="107"/>
      <c r="V70" s="107"/>
      <c r="W70" s="107"/>
      <c r="X70" s="107"/>
      <c r="Y70" s="107"/>
      <c r="Z70" s="107"/>
      <c r="AA70" s="107"/>
      <c r="AB70" s="107"/>
      <c r="AC70" s="106"/>
      <c r="AD70" s="106"/>
      <c r="AE70" s="106"/>
      <c r="AF70" s="106"/>
      <c r="AG70" s="106"/>
      <c r="AH70" s="106"/>
      <c r="AI70" s="105">
        <f t="shared" si="2"/>
        <v>0</v>
      </c>
    </row>
    <row r="71" spans="1:35" ht="18.75" x14ac:dyDescent="0.2">
      <c r="A71" s="80">
        <v>69</v>
      </c>
      <c r="B71" s="94" t="s">
        <v>298</v>
      </c>
      <c r="C71" s="86" t="s">
        <v>282</v>
      </c>
      <c r="D71" s="106"/>
      <c r="E71" s="106"/>
      <c r="F71" s="106"/>
      <c r="G71" s="106"/>
      <c r="H71" s="106"/>
      <c r="I71" s="106"/>
      <c r="J71" s="106"/>
      <c r="K71" s="106"/>
      <c r="L71" s="106"/>
      <c r="M71" s="106"/>
      <c r="N71" s="106"/>
      <c r="O71" s="106"/>
      <c r="P71" s="106"/>
      <c r="Q71" s="106"/>
      <c r="R71" s="106"/>
      <c r="S71" s="106"/>
      <c r="T71" s="106"/>
      <c r="U71" s="106"/>
      <c r="V71" s="106"/>
      <c r="W71" s="107"/>
      <c r="X71" s="107"/>
      <c r="Y71" s="107"/>
      <c r="Z71" s="107"/>
      <c r="AA71" s="107"/>
      <c r="AB71" s="107"/>
      <c r="AC71" s="106"/>
      <c r="AD71" s="106"/>
      <c r="AE71" s="106"/>
      <c r="AF71" s="106"/>
      <c r="AG71" s="106"/>
      <c r="AH71" s="106"/>
      <c r="AI71" s="105">
        <f t="shared" si="2"/>
        <v>0</v>
      </c>
    </row>
    <row r="72" spans="1:35" ht="18.75" x14ac:dyDescent="0.2">
      <c r="A72" s="80">
        <v>70</v>
      </c>
      <c r="B72" s="94" t="s">
        <v>299</v>
      </c>
      <c r="C72" s="86" t="s">
        <v>282</v>
      </c>
      <c r="D72" s="106"/>
      <c r="E72" s="106"/>
      <c r="F72" s="106"/>
      <c r="G72" s="106"/>
      <c r="H72" s="106"/>
      <c r="I72" s="106"/>
      <c r="J72" s="106"/>
      <c r="K72" s="106"/>
      <c r="L72" s="106"/>
      <c r="M72" s="106"/>
      <c r="N72" s="106"/>
      <c r="O72" s="106"/>
      <c r="P72" s="106"/>
      <c r="Q72" s="106"/>
      <c r="R72" s="106"/>
      <c r="S72" s="106"/>
      <c r="T72" s="106"/>
      <c r="U72" s="107"/>
      <c r="V72" s="107"/>
      <c r="W72" s="107"/>
      <c r="X72" s="107"/>
      <c r="Y72" s="107"/>
      <c r="Z72" s="107"/>
      <c r="AA72" s="107"/>
      <c r="AB72" s="107"/>
      <c r="AC72" s="106"/>
      <c r="AD72" s="106"/>
      <c r="AE72" s="106"/>
      <c r="AF72" s="106"/>
      <c r="AG72" s="106"/>
      <c r="AH72" s="106"/>
      <c r="AI72" s="105">
        <f t="shared" si="2"/>
        <v>0</v>
      </c>
    </row>
    <row r="73" spans="1:35" ht="18.75" x14ac:dyDescent="0.2">
      <c r="A73" s="80">
        <v>71</v>
      </c>
      <c r="B73" s="94" t="s">
        <v>300</v>
      </c>
      <c r="C73" s="86" t="s">
        <v>282</v>
      </c>
      <c r="D73" s="106"/>
      <c r="E73" s="106"/>
      <c r="F73" s="106"/>
      <c r="G73" s="106"/>
      <c r="H73" s="106"/>
      <c r="I73" s="106"/>
      <c r="J73" s="106"/>
      <c r="K73" s="106"/>
      <c r="L73" s="106"/>
      <c r="M73" s="106"/>
      <c r="N73" s="106"/>
      <c r="O73" s="106"/>
      <c r="P73" s="106"/>
      <c r="Q73" s="106"/>
      <c r="R73" s="106"/>
      <c r="S73" s="106"/>
      <c r="T73" s="106"/>
      <c r="U73" s="107"/>
      <c r="V73" s="107"/>
      <c r="W73" s="107"/>
      <c r="X73" s="107"/>
      <c r="Y73" s="107"/>
      <c r="Z73" s="107"/>
      <c r="AA73" s="107"/>
      <c r="AB73" s="107"/>
      <c r="AC73" s="106"/>
      <c r="AD73" s="106"/>
      <c r="AE73" s="106"/>
      <c r="AF73" s="106"/>
      <c r="AG73" s="106"/>
      <c r="AH73" s="106"/>
      <c r="AI73" s="105">
        <f t="shared" si="2"/>
        <v>0</v>
      </c>
    </row>
    <row r="74" spans="1:35" ht="18.75" x14ac:dyDescent="0.2">
      <c r="A74" s="80">
        <v>72</v>
      </c>
      <c r="B74" s="94" t="s">
        <v>301</v>
      </c>
      <c r="C74" s="86" t="s">
        <v>282</v>
      </c>
      <c r="D74" s="106"/>
      <c r="E74" s="106"/>
      <c r="F74" s="106"/>
      <c r="G74" s="106"/>
      <c r="H74" s="106"/>
      <c r="I74" s="106"/>
      <c r="J74" s="106"/>
      <c r="K74" s="106"/>
      <c r="L74" s="106"/>
      <c r="M74" s="106"/>
      <c r="N74" s="106"/>
      <c r="O74" s="106"/>
      <c r="P74" s="106"/>
      <c r="Q74" s="106"/>
      <c r="R74" s="106"/>
      <c r="S74" s="106"/>
      <c r="T74" s="106"/>
      <c r="U74" s="107"/>
      <c r="V74" s="107"/>
      <c r="W74" s="107"/>
      <c r="X74" s="107"/>
      <c r="Y74" s="107"/>
      <c r="Z74" s="107"/>
      <c r="AA74" s="107"/>
      <c r="AB74" s="107"/>
      <c r="AC74" s="106"/>
      <c r="AD74" s="106"/>
      <c r="AE74" s="106"/>
      <c r="AF74" s="106"/>
      <c r="AG74" s="106"/>
      <c r="AH74" s="106"/>
      <c r="AI74" s="105">
        <f t="shared" si="2"/>
        <v>0</v>
      </c>
    </row>
    <row r="75" spans="1:35" ht="18.75" x14ac:dyDescent="0.2">
      <c r="A75" s="80">
        <v>73</v>
      </c>
      <c r="B75" s="94" t="s">
        <v>302</v>
      </c>
      <c r="C75" s="86" t="s">
        <v>282</v>
      </c>
      <c r="D75" s="106"/>
      <c r="E75" s="106"/>
      <c r="F75" s="106"/>
      <c r="G75" s="106"/>
      <c r="H75" s="106"/>
      <c r="I75" s="106"/>
      <c r="J75" s="106"/>
      <c r="K75" s="106"/>
      <c r="L75" s="106"/>
      <c r="M75" s="106"/>
      <c r="N75" s="106"/>
      <c r="O75" s="106"/>
      <c r="P75" s="106"/>
      <c r="Q75" s="106"/>
      <c r="R75" s="106"/>
      <c r="S75" s="106"/>
      <c r="T75" s="106"/>
      <c r="U75" s="107"/>
      <c r="V75" s="107"/>
      <c r="W75" s="107"/>
      <c r="X75" s="107"/>
      <c r="Y75" s="107"/>
      <c r="Z75" s="107"/>
      <c r="AA75" s="107"/>
      <c r="AB75" s="107"/>
      <c r="AC75" s="106"/>
      <c r="AD75" s="106"/>
      <c r="AE75" s="106"/>
      <c r="AF75" s="106"/>
      <c r="AG75" s="106"/>
      <c r="AH75" s="106"/>
      <c r="AI75" s="105">
        <f t="shared" si="2"/>
        <v>0</v>
      </c>
    </row>
    <row r="76" spans="1:35" ht="18.75" x14ac:dyDescent="0.2">
      <c r="A76" s="80">
        <v>74</v>
      </c>
      <c r="B76" s="94" t="s">
        <v>303</v>
      </c>
      <c r="C76" s="86" t="s">
        <v>282</v>
      </c>
      <c r="D76" s="106"/>
      <c r="E76" s="106"/>
      <c r="F76" s="106"/>
      <c r="G76" s="106"/>
      <c r="H76" s="106"/>
      <c r="I76" s="106"/>
      <c r="J76" s="106"/>
      <c r="K76" s="106"/>
      <c r="L76" s="106"/>
      <c r="M76" s="106"/>
      <c r="N76" s="106"/>
      <c r="O76" s="106"/>
      <c r="P76" s="106"/>
      <c r="Q76" s="106"/>
      <c r="R76" s="106"/>
      <c r="S76" s="106"/>
      <c r="T76" s="106"/>
      <c r="U76" s="107"/>
      <c r="V76" s="107"/>
      <c r="W76" s="107"/>
      <c r="X76" s="107"/>
      <c r="Y76" s="107"/>
      <c r="Z76" s="107"/>
      <c r="AA76" s="107"/>
      <c r="AB76" s="107"/>
      <c r="AC76" s="106"/>
      <c r="AD76" s="106"/>
      <c r="AE76" s="106"/>
      <c r="AF76" s="106"/>
      <c r="AG76" s="106"/>
      <c r="AH76" s="106"/>
      <c r="AI76" s="105">
        <f t="shared" si="2"/>
        <v>0</v>
      </c>
    </row>
    <row r="77" spans="1:35" ht="18.75" x14ac:dyDescent="0.2">
      <c r="A77" s="80">
        <v>75</v>
      </c>
      <c r="B77" s="94" t="s">
        <v>304</v>
      </c>
      <c r="C77" s="86" t="s">
        <v>282</v>
      </c>
      <c r="D77" s="106"/>
      <c r="E77" s="106"/>
      <c r="F77" s="106"/>
      <c r="G77" s="106"/>
      <c r="H77" s="106"/>
      <c r="I77" s="106"/>
      <c r="J77" s="106"/>
      <c r="K77" s="106"/>
      <c r="L77" s="106"/>
      <c r="M77" s="106"/>
      <c r="N77" s="106"/>
      <c r="O77" s="106"/>
      <c r="P77" s="106"/>
      <c r="Q77" s="106"/>
      <c r="R77" s="106"/>
      <c r="S77" s="106"/>
      <c r="T77" s="106"/>
      <c r="U77" s="106"/>
      <c r="V77" s="107"/>
      <c r="W77" s="107"/>
      <c r="X77" s="107"/>
      <c r="Y77" s="107"/>
      <c r="Z77" s="107"/>
      <c r="AA77" s="107"/>
      <c r="AB77" s="107"/>
      <c r="AC77" s="106"/>
      <c r="AD77" s="106"/>
      <c r="AE77" s="106"/>
      <c r="AF77" s="106"/>
      <c r="AG77" s="106"/>
      <c r="AH77" s="106"/>
      <c r="AI77" s="105">
        <f t="shared" si="2"/>
        <v>0</v>
      </c>
    </row>
    <row r="78" spans="1:35" ht="18.75" x14ac:dyDescent="0.2">
      <c r="A78" s="80">
        <v>76</v>
      </c>
      <c r="B78" s="94" t="s">
        <v>305</v>
      </c>
      <c r="C78" s="86" t="s">
        <v>282</v>
      </c>
      <c r="D78" s="106"/>
      <c r="E78" s="106"/>
      <c r="F78" s="106"/>
      <c r="G78" s="106"/>
      <c r="H78" s="106"/>
      <c r="I78" s="106"/>
      <c r="J78" s="106"/>
      <c r="K78" s="106"/>
      <c r="L78" s="289"/>
      <c r="M78" s="106"/>
      <c r="N78" s="106"/>
      <c r="O78" s="106"/>
      <c r="P78" s="106"/>
      <c r="Q78" s="106"/>
      <c r="R78" s="106"/>
      <c r="S78" s="106"/>
      <c r="T78" s="106"/>
      <c r="U78" s="106"/>
      <c r="V78" s="106"/>
      <c r="W78" s="106"/>
      <c r="X78" s="106"/>
      <c r="Y78" s="107"/>
      <c r="Z78" s="107"/>
      <c r="AA78" s="107"/>
      <c r="AB78" s="107"/>
      <c r="AC78" s="107"/>
      <c r="AD78" s="107"/>
      <c r="AE78" s="106"/>
      <c r="AF78" s="106"/>
      <c r="AG78" s="106"/>
      <c r="AH78" s="106"/>
      <c r="AI78" s="105">
        <f t="shared" si="2"/>
        <v>0</v>
      </c>
    </row>
    <row r="79" spans="1:35" ht="18.75" x14ac:dyDescent="0.2">
      <c r="A79" s="80">
        <v>77</v>
      </c>
      <c r="B79" s="94" t="s">
        <v>306</v>
      </c>
      <c r="C79" s="86" t="s">
        <v>282</v>
      </c>
      <c r="D79" s="106"/>
      <c r="E79" s="106"/>
      <c r="F79" s="106"/>
      <c r="G79" s="106"/>
      <c r="H79" s="106"/>
      <c r="I79" s="106"/>
      <c r="J79" s="106"/>
      <c r="K79" s="106"/>
      <c r="L79" s="106"/>
      <c r="M79" s="106"/>
      <c r="N79" s="106"/>
      <c r="O79" s="106"/>
      <c r="P79" s="106"/>
      <c r="Q79" s="106"/>
      <c r="R79" s="106"/>
      <c r="S79" s="106"/>
      <c r="T79" s="106"/>
      <c r="U79" s="106"/>
      <c r="V79" s="106"/>
      <c r="W79" s="106"/>
      <c r="X79" s="107"/>
      <c r="Y79" s="107"/>
      <c r="Z79" s="107"/>
      <c r="AA79" s="107"/>
      <c r="AB79" s="107"/>
      <c r="AC79" s="106"/>
      <c r="AD79" s="106"/>
      <c r="AE79" s="106"/>
      <c r="AF79" s="106"/>
      <c r="AG79" s="106"/>
      <c r="AH79" s="106"/>
      <c r="AI79" s="105">
        <f t="shared" si="2"/>
        <v>0</v>
      </c>
    </row>
    <row r="80" spans="1:35" ht="18.75" x14ac:dyDescent="0.2">
      <c r="A80" s="80">
        <v>78</v>
      </c>
      <c r="B80" s="94" t="s">
        <v>307</v>
      </c>
      <c r="C80" s="86" t="s">
        <v>282</v>
      </c>
      <c r="D80" s="106"/>
      <c r="E80" s="106"/>
      <c r="F80" s="106"/>
      <c r="G80" s="106"/>
      <c r="H80" s="106"/>
      <c r="I80" s="106"/>
      <c r="J80" s="106"/>
      <c r="K80" s="106"/>
      <c r="L80" s="106"/>
      <c r="M80" s="106"/>
      <c r="N80" s="106"/>
      <c r="O80" s="106"/>
      <c r="P80" s="106"/>
      <c r="Q80" s="106"/>
      <c r="R80" s="106"/>
      <c r="S80" s="106"/>
      <c r="T80" s="106"/>
      <c r="U80" s="107"/>
      <c r="V80" s="107"/>
      <c r="W80" s="107"/>
      <c r="X80" s="107"/>
      <c r="Y80" s="107"/>
      <c r="Z80" s="107"/>
      <c r="AA80" s="107"/>
      <c r="AB80" s="107"/>
      <c r="AC80" s="106"/>
      <c r="AD80" s="106"/>
      <c r="AE80" s="106"/>
      <c r="AF80" s="106"/>
      <c r="AG80" s="106"/>
      <c r="AH80" s="106"/>
      <c r="AI80" s="105">
        <f t="shared" si="2"/>
        <v>0</v>
      </c>
    </row>
    <row r="81" spans="1:35" ht="18.75" x14ac:dyDescent="0.2">
      <c r="A81" s="80">
        <v>79</v>
      </c>
      <c r="B81" s="94" t="s">
        <v>308</v>
      </c>
      <c r="C81" s="86" t="s">
        <v>282</v>
      </c>
      <c r="D81" s="106"/>
      <c r="E81" s="106"/>
      <c r="F81" s="106"/>
      <c r="G81" s="106"/>
      <c r="H81" s="106"/>
      <c r="I81" s="106"/>
      <c r="J81" s="106"/>
      <c r="K81" s="106"/>
      <c r="L81" s="106"/>
      <c r="M81" s="106"/>
      <c r="N81" s="106"/>
      <c r="O81" s="106"/>
      <c r="P81" s="106"/>
      <c r="Q81" s="106"/>
      <c r="R81" s="106"/>
      <c r="S81" s="106"/>
      <c r="T81" s="106"/>
      <c r="U81" s="107"/>
      <c r="V81" s="107"/>
      <c r="W81" s="107"/>
      <c r="X81" s="107"/>
      <c r="Y81" s="107"/>
      <c r="Z81" s="107"/>
      <c r="AA81" s="107"/>
      <c r="AB81" s="107"/>
      <c r="AC81" s="106"/>
      <c r="AD81" s="106"/>
      <c r="AE81" s="106"/>
      <c r="AF81" s="106"/>
      <c r="AG81" s="106"/>
      <c r="AH81" s="106"/>
      <c r="AI81" s="105">
        <f t="shared" si="2"/>
        <v>0</v>
      </c>
    </row>
    <row r="82" spans="1:35" ht="18.75" x14ac:dyDescent="0.2">
      <c r="A82" s="80">
        <v>80</v>
      </c>
      <c r="B82" s="94" t="s">
        <v>309</v>
      </c>
      <c r="C82" s="86" t="s">
        <v>282</v>
      </c>
      <c r="D82" s="106"/>
      <c r="E82" s="106"/>
      <c r="F82" s="106"/>
      <c r="G82" s="106"/>
      <c r="H82" s="106"/>
      <c r="I82" s="106"/>
      <c r="J82" s="106"/>
      <c r="K82" s="106"/>
      <c r="L82" s="106"/>
      <c r="M82" s="106"/>
      <c r="N82" s="106"/>
      <c r="O82" s="106"/>
      <c r="P82" s="106"/>
      <c r="Q82" s="106"/>
      <c r="R82" s="106"/>
      <c r="S82" s="106"/>
      <c r="T82" s="106"/>
      <c r="U82" s="107"/>
      <c r="V82" s="107"/>
      <c r="W82" s="107"/>
      <c r="X82" s="107"/>
      <c r="Y82" s="107"/>
      <c r="Z82" s="107"/>
      <c r="AA82" s="107"/>
      <c r="AB82" s="107"/>
      <c r="AC82" s="106"/>
      <c r="AD82" s="106"/>
      <c r="AE82" s="106"/>
      <c r="AF82" s="106"/>
      <c r="AG82" s="106"/>
      <c r="AH82" s="106"/>
      <c r="AI82" s="105">
        <f t="shared" si="2"/>
        <v>0</v>
      </c>
    </row>
    <row r="83" spans="1:35" ht="18.75" x14ac:dyDescent="0.2">
      <c r="A83" s="80">
        <v>81</v>
      </c>
      <c r="B83" s="94" t="s">
        <v>310</v>
      </c>
      <c r="C83" s="86" t="s">
        <v>282</v>
      </c>
      <c r="D83" s="106"/>
      <c r="E83" s="106"/>
      <c r="F83" s="106"/>
      <c r="G83" s="106"/>
      <c r="H83" s="106"/>
      <c r="I83" s="106"/>
      <c r="J83" s="106"/>
      <c r="K83" s="106"/>
      <c r="L83" s="106"/>
      <c r="M83" s="106"/>
      <c r="N83" s="106"/>
      <c r="O83" s="106"/>
      <c r="P83" s="106"/>
      <c r="Q83" s="106"/>
      <c r="R83" s="106"/>
      <c r="S83" s="106"/>
      <c r="T83" s="106"/>
      <c r="U83" s="107"/>
      <c r="V83" s="107"/>
      <c r="W83" s="107"/>
      <c r="X83" s="107"/>
      <c r="Y83" s="107"/>
      <c r="Z83" s="107"/>
      <c r="AA83" s="107"/>
      <c r="AB83" s="107"/>
      <c r="AC83" s="106"/>
      <c r="AD83" s="106"/>
      <c r="AE83" s="106"/>
      <c r="AF83" s="106"/>
      <c r="AG83" s="106"/>
      <c r="AH83" s="106"/>
      <c r="AI83" s="105">
        <f t="shared" si="2"/>
        <v>0</v>
      </c>
    </row>
    <row r="84" spans="1:35" ht="18.75" x14ac:dyDescent="0.2">
      <c r="A84" s="80">
        <v>82</v>
      </c>
      <c r="B84" s="94" t="s">
        <v>311</v>
      </c>
      <c r="C84" s="86" t="s">
        <v>282</v>
      </c>
      <c r="D84" s="107"/>
      <c r="E84" s="107"/>
      <c r="F84" s="106"/>
      <c r="G84" s="106"/>
      <c r="H84" s="106"/>
      <c r="I84" s="106"/>
      <c r="J84" s="106"/>
      <c r="K84" s="106"/>
      <c r="L84" s="106"/>
      <c r="M84" s="106"/>
      <c r="N84" s="106"/>
      <c r="O84" s="106"/>
      <c r="P84" s="106"/>
      <c r="Q84" s="106"/>
      <c r="R84" s="106"/>
      <c r="S84" s="106"/>
      <c r="T84" s="106"/>
      <c r="U84" s="106"/>
      <c r="V84" s="106"/>
      <c r="W84" s="106"/>
      <c r="X84" s="106"/>
      <c r="Y84" s="106"/>
      <c r="Z84" s="107"/>
      <c r="AA84" s="107"/>
      <c r="AB84" s="107"/>
      <c r="AC84" s="107"/>
      <c r="AD84" s="107"/>
      <c r="AE84" s="107"/>
      <c r="AF84" s="107"/>
      <c r="AG84" s="107"/>
      <c r="AH84" s="107"/>
      <c r="AI84" s="105">
        <f t="shared" si="2"/>
        <v>0</v>
      </c>
    </row>
    <row r="85" spans="1:35" ht="18.75" x14ac:dyDescent="0.2">
      <c r="A85" s="80">
        <v>83</v>
      </c>
      <c r="B85" s="94" t="s">
        <v>312</v>
      </c>
      <c r="C85" s="86" t="s">
        <v>282</v>
      </c>
      <c r="D85" s="106"/>
      <c r="E85" s="106"/>
      <c r="F85" s="106"/>
      <c r="G85" s="106"/>
      <c r="H85" s="106"/>
      <c r="I85" s="106"/>
      <c r="J85" s="106"/>
      <c r="K85" s="106"/>
      <c r="L85" s="106"/>
      <c r="M85" s="106"/>
      <c r="N85" s="106"/>
      <c r="O85" s="106"/>
      <c r="P85" s="106"/>
      <c r="Q85" s="106"/>
      <c r="R85" s="106"/>
      <c r="S85" s="106"/>
      <c r="T85" s="106"/>
      <c r="U85" s="107"/>
      <c r="V85" s="107"/>
      <c r="W85" s="107"/>
      <c r="X85" s="107"/>
      <c r="Y85" s="107"/>
      <c r="Z85" s="107"/>
      <c r="AA85" s="107"/>
      <c r="AB85" s="370"/>
      <c r="AC85" s="106"/>
      <c r="AD85" s="106"/>
      <c r="AE85" s="106"/>
      <c r="AF85" s="106"/>
      <c r="AG85" s="106"/>
      <c r="AH85" s="106"/>
      <c r="AI85" s="105">
        <f t="shared" si="2"/>
        <v>0</v>
      </c>
    </row>
    <row r="86" spans="1:35" ht="18.75" x14ac:dyDescent="0.2">
      <c r="A86" s="80">
        <v>84</v>
      </c>
      <c r="B86" s="94" t="s">
        <v>313</v>
      </c>
      <c r="C86" s="86" t="s">
        <v>282</v>
      </c>
      <c r="D86" s="106"/>
      <c r="E86" s="106"/>
      <c r="F86" s="106"/>
      <c r="G86" s="106"/>
      <c r="H86" s="106"/>
      <c r="I86" s="106"/>
      <c r="J86" s="106"/>
      <c r="K86" s="106"/>
      <c r="L86" s="106"/>
      <c r="M86" s="106"/>
      <c r="N86" s="106"/>
      <c r="O86" s="106"/>
      <c r="P86" s="106"/>
      <c r="Q86" s="106"/>
      <c r="R86" s="106"/>
      <c r="S86" s="106"/>
      <c r="T86" s="106"/>
      <c r="U86" s="107"/>
      <c r="V86" s="107"/>
      <c r="W86" s="107"/>
      <c r="X86" s="107"/>
      <c r="Y86" s="107"/>
      <c r="Z86" s="107"/>
      <c r="AA86" s="107"/>
      <c r="AB86" s="107"/>
      <c r="AC86" s="106"/>
      <c r="AD86" s="106"/>
      <c r="AE86" s="106"/>
      <c r="AF86" s="106"/>
      <c r="AG86" s="106"/>
      <c r="AH86" s="106"/>
      <c r="AI86" s="105">
        <f t="shared" si="2"/>
        <v>0</v>
      </c>
    </row>
    <row r="87" spans="1:35" ht="18.75" x14ac:dyDescent="0.2">
      <c r="A87" s="80">
        <v>85</v>
      </c>
      <c r="B87" s="94" t="s">
        <v>314</v>
      </c>
      <c r="C87" s="86" t="s">
        <v>282</v>
      </c>
      <c r="D87" s="106"/>
      <c r="E87" s="106"/>
      <c r="F87" s="106"/>
      <c r="G87" s="106"/>
      <c r="H87" s="106"/>
      <c r="I87" s="106"/>
      <c r="J87" s="106"/>
      <c r="K87" s="106"/>
      <c r="L87" s="106"/>
      <c r="M87" s="106"/>
      <c r="N87" s="106"/>
      <c r="O87" s="106"/>
      <c r="P87" s="106"/>
      <c r="Q87" s="106"/>
      <c r="R87" s="106"/>
      <c r="S87" s="106"/>
      <c r="T87" s="106"/>
      <c r="U87" s="107"/>
      <c r="V87" s="107"/>
      <c r="W87" s="107"/>
      <c r="X87" s="107"/>
      <c r="Y87" s="107"/>
      <c r="Z87" s="107"/>
      <c r="AA87" s="107"/>
      <c r="AB87" s="107"/>
      <c r="AC87" s="106"/>
      <c r="AD87" s="106"/>
      <c r="AE87" s="106"/>
      <c r="AF87" s="106"/>
      <c r="AG87" s="106"/>
      <c r="AH87" s="106"/>
      <c r="AI87" s="105">
        <f t="shared" si="2"/>
        <v>0</v>
      </c>
    </row>
    <row r="88" spans="1:35" ht="18.75" x14ac:dyDescent="0.2">
      <c r="A88" s="80">
        <v>86</v>
      </c>
      <c r="B88" s="94" t="s">
        <v>315</v>
      </c>
      <c r="C88" s="86" t="s">
        <v>282</v>
      </c>
      <c r="D88" s="106"/>
      <c r="E88" s="106"/>
      <c r="F88" s="106"/>
      <c r="G88" s="106"/>
      <c r="H88" s="106"/>
      <c r="I88" s="106"/>
      <c r="J88" s="106"/>
      <c r="K88" s="106"/>
      <c r="L88" s="106"/>
      <c r="M88" s="106"/>
      <c r="N88" s="106"/>
      <c r="O88" s="106"/>
      <c r="P88" s="106"/>
      <c r="Q88" s="106"/>
      <c r="R88" s="106"/>
      <c r="S88" s="106"/>
      <c r="T88" s="106"/>
      <c r="U88" s="107"/>
      <c r="V88" s="107"/>
      <c r="W88" s="107"/>
      <c r="X88" s="107"/>
      <c r="Y88" s="107"/>
      <c r="Z88" s="107"/>
      <c r="AA88" s="107"/>
      <c r="AB88" s="107"/>
      <c r="AC88" s="106"/>
      <c r="AD88" s="106"/>
      <c r="AE88" s="106"/>
      <c r="AF88" s="106"/>
      <c r="AG88" s="106"/>
      <c r="AH88" s="106"/>
      <c r="AI88" s="105">
        <f t="shared" si="2"/>
        <v>0</v>
      </c>
    </row>
    <row r="89" spans="1:35" ht="18.75" x14ac:dyDescent="0.2">
      <c r="A89" s="80">
        <v>87</v>
      </c>
      <c r="B89" s="94" t="s">
        <v>316</v>
      </c>
      <c r="C89" s="86" t="s">
        <v>282</v>
      </c>
      <c r="D89" s="106"/>
      <c r="E89" s="106"/>
      <c r="F89" s="106"/>
      <c r="G89" s="106"/>
      <c r="H89" s="106"/>
      <c r="I89" s="106"/>
      <c r="J89" s="106"/>
      <c r="K89" s="106"/>
      <c r="L89" s="106"/>
      <c r="M89" s="106"/>
      <c r="N89" s="106"/>
      <c r="O89" s="106"/>
      <c r="P89" s="106"/>
      <c r="Q89" s="106"/>
      <c r="R89" s="106"/>
      <c r="S89" s="106"/>
      <c r="T89" s="106"/>
      <c r="U89" s="107"/>
      <c r="V89" s="107"/>
      <c r="W89" s="107"/>
      <c r="X89" s="107"/>
      <c r="Y89" s="107"/>
      <c r="Z89" s="107"/>
      <c r="AA89" s="107"/>
      <c r="AB89" s="107"/>
      <c r="AC89" s="106"/>
      <c r="AD89" s="106"/>
      <c r="AE89" s="106"/>
      <c r="AF89" s="106"/>
      <c r="AG89" s="106"/>
      <c r="AH89" s="106"/>
      <c r="AI89" s="105">
        <f t="shared" si="2"/>
        <v>0</v>
      </c>
    </row>
    <row r="90" spans="1:35" ht="18.75" x14ac:dyDescent="0.2">
      <c r="A90" s="80">
        <v>88</v>
      </c>
      <c r="B90" s="94" t="s">
        <v>317</v>
      </c>
      <c r="C90" s="86" t="s">
        <v>282</v>
      </c>
      <c r="D90" s="106"/>
      <c r="E90" s="106"/>
      <c r="F90" s="106"/>
      <c r="G90" s="106"/>
      <c r="H90" s="106"/>
      <c r="I90" s="106"/>
      <c r="J90" s="106"/>
      <c r="K90" s="106"/>
      <c r="L90" s="106"/>
      <c r="M90" s="106"/>
      <c r="N90" s="106"/>
      <c r="O90" s="106"/>
      <c r="P90" s="106"/>
      <c r="Q90" s="106"/>
      <c r="R90" s="106"/>
      <c r="S90" s="106"/>
      <c r="T90" s="106"/>
      <c r="U90" s="107"/>
      <c r="V90" s="107"/>
      <c r="W90" s="107"/>
      <c r="X90" s="107"/>
      <c r="Y90" s="107"/>
      <c r="Z90" s="107"/>
      <c r="AA90" s="107"/>
      <c r="AB90" s="107"/>
      <c r="AC90" s="106"/>
      <c r="AD90" s="106"/>
      <c r="AE90" s="106"/>
      <c r="AF90" s="106"/>
      <c r="AG90" s="106"/>
      <c r="AH90" s="106"/>
      <c r="AI90" s="105">
        <f t="shared" si="2"/>
        <v>0</v>
      </c>
    </row>
    <row r="91" spans="1:35" ht="18.75" x14ac:dyDescent="0.2">
      <c r="A91" s="80">
        <v>89</v>
      </c>
      <c r="B91" s="94" t="s">
        <v>318</v>
      </c>
      <c r="C91" s="86" t="s">
        <v>282</v>
      </c>
      <c r="D91" s="106"/>
      <c r="E91" s="106"/>
      <c r="F91" s="106"/>
      <c r="G91" s="106"/>
      <c r="H91" s="106"/>
      <c r="I91" s="106"/>
      <c r="J91" s="106"/>
      <c r="K91" s="106"/>
      <c r="L91" s="106"/>
      <c r="M91" s="106"/>
      <c r="N91" s="106"/>
      <c r="O91" s="106"/>
      <c r="P91" s="106"/>
      <c r="Q91" s="106"/>
      <c r="R91" s="106"/>
      <c r="S91" s="106"/>
      <c r="T91" s="106"/>
      <c r="U91" s="107"/>
      <c r="V91" s="107"/>
      <c r="W91" s="107"/>
      <c r="X91" s="107"/>
      <c r="Y91" s="107"/>
      <c r="Z91" s="107"/>
      <c r="AA91" s="107"/>
      <c r="AB91" s="107"/>
      <c r="AC91" s="106"/>
      <c r="AD91" s="106"/>
      <c r="AE91" s="106"/>
      <c r="AF91" s="106"/>
      <c r="AG91" s="106"/>
      <c r="AH91" s="106"/>
      <c r="AI91" s="105">
        <f t="shared" si="2"/>
        <v>0</v>
      </c>
    </row>
    <row r="92" spans="1:35" ht="18.75" x14ac:dyDescent="0.2">
      <c r="A92" s="80">
        <v>90</v>
      </c>
      <c r="B92" s="94" t="s">
        <v>319</v>
      </c>
      <c r="C92" s="86" t="s">
        <v>282</v>
      </c>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5">
        <f t="shared" si="2"/>
        <v>0</v>
      </c>
    </row>
    <row r="93" spans="1:35" ht="18.75" x14ac:dyDescent="0.2">
      <c r="A93" s="80">
        <v>91</v>
      </c>
      <c r="B93" s="94" t="s">
        <v>320</v>
      </c>
      <c r="C93" s="86" t="s">
        <v>282</v>
      </c>
      <c r="D93" s="106"/>
      <c r="E93" s="106"/>
      <c r="F93" s="106"/>
      <c r="G93" s="106"/>
      <c r="H93" s="106"/>
      <c r="I93" s="106"/>
      <c r="J93" s="106"/>
      <c r="K93" s="106"/>
      <c r="L93" s="106"/>
      <c r="M93" s="106"/>
      <c r="N93" s="106"/>
      <c r="O93" s="106"/>
      <c r="P93" s="106"/>
      <c r="Q93" s="106"/>
      <c r="R93" s="106"/>
      <c r="S93" s="106"/>
      <c r="T93" s="106"/>
      <c r="U93" s="107"/>
      <c r="V93" s="107"/>
      <c r="W93" s="107"/>
      <c r="X93" s="107"/>
      <c r="Y93" s="107"/>
      <c r="Z93" s="107"/>
      <c r="AA93" s="107"/>
      <c r="AB93" s="107"/>
      <c r="AC93" s="106"/>
      <c r="AD93" s="106"/>
      <c r="AE93" s="106"/>
      <c r="AF93" s="106"/>
      <c r="AG93" s="106"/>
      <c r="AH93" s="106"/>
      <c r="AI93" s="105">
        <f t="shared" si="2"/>
        <v>0</v>
      </c>
    </row>
    <row r="94" spans="1:35" ht="18.75" x14ac:dyDescent="0.2">
      <c r="A94" s="80">
        <v>92</v>
      </c>
      <c r="B94" s="94" t="s">
        <v>321</v>
      </c>
      <c r="C94" s="86" t="s">
        <v>282</v>
      </c>
      <c r="D94" s="106"/>
      <c r="E94" s="106"/>
      <c r="F94" s="106"/>
      <c r="G94" s="106"/>
      <c r="H94" s="106"/>
      <c r="I94" s="106"/>
      <c r="J94" s="106"/>
      <c r="K94" s="106"/>
      <c r="L94" s="106"/>
      <c r="M94" s="106"/>
      <c r="N94" s="106"/>
      <c r="O94" s="106"/>
      <c r="P94" s="106"/>
      <c r="Q94" s="106"/>
      <c r="R94" s="106"/>
      <c r="S94" s="106"/>
      <c r="T94" s="106"/>
      <c r="U94" s="107"/>
      <c r="V94" s="107"/>
      <c r="W94" s="107"/>
      <c r="X94" s="107"/>
      <c r="Y94" s="107"/>
      <c r="Z94" s="107"/>
      <c r="AA94" s="107"/>
      <c r="AB94" s="107"/>
      <c r="AC94" s="106"/>
      <c r="AD94" s="106"/>
      <c r="AE94" s="106"/>
      <c r="AF94" s="106"/>
      <c r="AG94" s="106"/>
      <c r="AH94" s="106"/>
      <c r="AI94" s="105">
        <f t="shared" si="2"/>
        <v>0</v>
      </c>
    </row>
    <row r="95" spans="1:35" ht="18.75" x14ac:dyDescent="0.2">
      <c r="A95" s="80">
        <v>93</v>
      </c>
      <c r="B95" s="94" t="s">
        <v>322</v>
      </c>
      <c r="C95" s="86" t="s">
        <v>282</v>
      </c>
      <c r="D95" s="106"/>
      <c r="E95" s="106"/>
      <c r="F95" s="106"/>
      <c r="G95" s="106"/>
      <c r="H95" s="106"/>
      <c r="I95" s="106"/>
      <c r="J95" s="106"/>
      <c r="K95" s="106"/>
      <c r="L95" s="106"/>
      <c r="M95" s="106"/>
      <c r="N95" s="106"/>
      <c r="O95" s="106"/>
      <c r="P95" s="106"/>
      <c r="Q95" s="106"/>
      <c r="R95" s="106"/>
      <c r="S95" s="106"/>
      <c r="T95" s="106"/>
      <c r="U95" s="107"/>
      <c r="V95" s="107"/>
      <c r="W95" s="107"/>
      <c r="X95" s="107"/>
      <c r="Y95" s="107"/>
      <c r="Z95" s="107"/>
      <c r="AA95" s="107"/>
      <c r="AB95" s="107"/>
      <c r="AC95" s="106"/>
      <c r="AD95" s="106"/>
      <c r="AE95" s="106"/>
      <c r="AF95" s="106"/>
      <c r="AG95" s="106"/>
      <c r="AH95" s="106"/>
      <c r="AI95" s="105">
        <f t="shared" si="2"/>
        <v>0</v>
      </c>
    </row>
    <row r="96" spans="1:35" ht="18.75" x14ac:dyDescent="0.2">
      <c r="A96" s="80">
        <v>94</v>
      </c>
      <c r="B96" s="94" t="s">
        <v>323</v>
      </c>
      <c r="C96" s="86" t="s">
        <v>282</v>
      </c>
      <c r="D96" s="106"/>
      <c r="E96" s="106"/>
      <c r="F96" s="106"/>
      <c r="G96" s="107"/>
      <c r="H96" s="106"/>
      <c r="I96" s="107"/>
      <c r="J96" s="107"/>
      <c r="K96" s="107"/>
      <c r="L96" s="106"/>
      <c r="M96" s="107"/>
      <c r="N96" s="106"/>
      <c r="O96" s="107"/>
      <c r="P96" s="106"/>
      <c r="Q96" s="107"/>
      <c r="R96" s="107"/>
      <c r="S96" s="107"/>
      <c r="T96" s="106"/>
      <c r="U96" s="107"/>
      <c r="V96" s="107"/>
      <c r="W96" s="107"/>
      <c r="X96" s="107"/>
      <c r="Y96" s="107"/>
      <c r="Z96" s="107"/>
      <c r="AA96" s="107"/>
      <c r="AB96" s="107"/>
      <c r="AC96" s="106"/>
      <c r="AD96" s="106"/>
      <c r="AE96" s="106"/>
      <c r="AF96" s="106"/>
      <c r="AG96" s="106"/>
      <c r="AH96" s="106"/>
      <c r="AI96" s="105">
        <f t="shared" si="2"/>
        <v>0</v>
      </c>
    </row>
    <row r="97" spans="1:35" ht="18.75" x14ac:dyDescent="0.2">
      <c r="A97" s="80">
        <v>95</v>
      </c>
      <c r="B97" s="94" t="s">
        <v>324</v>
      </c>
      <c r="C97" s="86" t="s">
        <v>282</v>
      </c>
      <c r="D97" s="106"/>
      <c r="E97" s="106"/>
      <c r="F97" s="106"/>
      <c r="G97" s="208"/>
      <c r="H97" s="106"/>
      <c r="I97" s="106"/>
      <c r="J97" s="106"/>
      <c r="K97" s="106"/>
      <c r="L97" s="106"/>
      <c r="M97" s="106"/>
      <c r="N97" s="106"/>
      <c r="O97" s="106"/>
      <c r="P97" s="106"/>
      <c r="Q97" s="106"/>
      <c r="R97" s="106"/>
      <c r="S97" s="106"/>
      <c r="T97" s="106"/>
      <c r="U97" s="106"/>
      <c r="V97" s="106"/>
      <c r="W97" s="107"/>
      <c r="X97" s="107"/>
      <c r="Y97" s="107"/>
      <c r="Z97" s="107"/>
      <c r="AA97" s="370"/>
      <c r="AB97" s="370"/>
      <c r="AC97" s="106"/>
      <c r="AD97" s="106"/>
      <c r="AE97" s="106"/>
      <c r="AF97" s="106"/>
      <c r="AG97" s="106"/>
      <c r="AH97" s="106"/>
      <c r="AI97" s="105">
        <f t="shared" si="2"/>
        <v>0</v>
      </c>
    </row>
    <row r="98" spans="1:35" ht="18.75" x14ac:dyDescent="0.2">
      <c r="A98" s="80">
        <v>96</v>
      </c>
      <c r="B98" s="94" t="s">
        <v>325</v>
      </c>
      <c r="C98" s="86" t="s">
        <v>282</v>
      </c>
      <c r="D98" s="106"/>
      <c r="E98" s="106"/>
      <c r="F98" s="106"/>
      <c r="G98" s="106"/>
      <c r="H98" s="208"/>
      <c r="I98" s="106"/>
      <c r="J98" s="106">
        <v>14</v>
      </c>
      <c r="K98" s="106">
        <v>17.5</v>
      </c>
      <c r="L98" s="106"/>
      <c r="M98" s="106"/>
      <c r="N98" s="106"/>
      <c r="O98" s="106"/>
      <c r="P98" s="106"/>
      <c r="Q98" s="106"/>
      <c r="R98" s="106"/>
      <c r="S98" s="106"/>
      <c r="T98" s="106"/>
      <c r="U98" s="107">
        <v>12</v>
      </c>
      <c r="V98" s="107"/>
      <c r="W98" s="107"/>
      <c r="X98" s="107"/>
      <c r="Y98" s="107"/>
      <c r="Z98" s="107">
        <v>4</v>
      </c>
      <c r="AA98" s="370"/>
      <c r="AB98" s="370"/>
      <c r="AC98" s="106"/>
      <c r="AD98" s="106">
        <v>4</v>
      </c>
      <c r="AE98" s="106"/>
      <c r="AF98" s="106"/>
      <c r="AG98" s="106"/>
      <c r="AH98" s="106"/>
      <c r="AI98" s="105">
        <f t="shared" si="2"/>
        <v>51.5</v>
      </c>
    </row>
    <row r="99" spans="1:35" ht="18.75" x14ac:dyDescent="0.2">
      <c r="A99" s="80">
        <v>97</v>
      </c>
      <c r="B99" s="94" t="s">
        <v>326</v>
      </c>
      <c r="C99" s="86" t="s">
        <v>282</v>
      </c>
      <c r="D99" s="106"/>
      <c r="E99" s="106"/>
      <c r="F99" s="106"/>
      <c r="G99" s="106"/>
      <c r="H99" s="106"/>
      <c r="I99" s="106"/>
      <c r="J99" s="106"/>
      <c r="K99" s="106"/>
      <c r="L99" s="106"/>
      <c r="M99" s="106"/>
      <c r="N99" s="106"/>
      <c r="O99" s="106"/>
      <c r="P99" s="106"/>
      <c r="Q99" s="106"/>
      <c r="R99" s="106"/>
      <c r="S99" s="106"/>
      <c r="T99" s="106"/>
      <c r="U99" s="107"/>
      <c r="V99" s="107"/>
      <c r="W99" s="107"/>
      <c r="X99" s="107"/>
      <c r="Y99" s="107"/>
      <c r="Z99" s="107"/>
      <c r="AA99" s="107"/>
      <c r="AB99" s="107"/>
      <c r="AC99" s="107"/>
      <c r="AD99" s="107"/>
      <c r="AE99" s="106"/>
      <c r="AF99" s="106"/>
      <c r="AG99" s="106"/>
      <c r="AH99" s="106"/>
      <c r="AI99" s="105">
        <f t="shared" ref="AI99:AI148" si="3">SUM(D99:AH99)</f>
        <v>0</v>
      </c>
    </row>
    <row r="100" spans="1:35" ht="18.75" x14ac:dyDescent="0.2">
      <c r="A100" s="80">
        <v>98</v>
      </c>
      <c r="B100" s="94" t="s">
        <v>327</v>
      </c>
      <c r="C100" s="86" t="s">
        <v>282</v>
      </c>
      <c r="D100" s="106"/>
      <c r="E100" s="106"/>
      <c r="F100" s="106"/>
      <c r="G100" s="106"/>
      <c r="H100" s="106"/>
      <c r="I100" s="106"/>
      <c r="J100" s="106"/>
      <c r="K100" s="106"/>
      <c r="L100" s="106"/>
      <c r="M100" s="106"/>
      <c r="N100" s="106"/>
      <c r="O100" s="106"/>
      <c r="P100" s="106"/>
      <c r="Q100" s="106"/>
      <c r="R100" s="106"/>
      <c r="S100" s="106"/>
      <c r="T100" s="106"/>
      <c r="U100" s="106"/>
      <c r="V100" s="106"/>
      <c r="W100" s="107"/>
      <c r="X100" s="107"/>
      <c r="Y100" s="107"/>
      <c r="Z100" s="107"/>
      <c r="AA100" s="107"/>
      <c r="AB100" s="107"/>
      <c r="AC100" s="106"/>
      <c r="AD100" s="106"/>
      <c r="AE100" s="106"/>
      <c r="AF100" s="106"/>
      <c r="AG100" s="106"/>
      <c r="AH100" s="106"/>
      <c r="AI100" s="105">
        <f t="shared" si="3"/>
        <v>0</v>
      </c>
    </row>
    <row r="101" spans="1:35" ht="18.75" x14ac:dyDescent="0.2">
      <c r="A101" s="80">
        <v>99</v>
      </c>
      <c r="B101" s="94" t="s">
        <v>328</v>
      </c>
      <c r="C101" s="86" t="s">
        <v>282</v>
      </c>
      <c r="D101" s="106"/>
      <c r="E101" s="106"/>
      <c r="F101" s="106"/>
      <c r="G101" s="106"/>
      <c r="H101" s="106"/>
      <c r="I101" s="106"/>
      <c r="J101" s="106"/>
      <c r="K101" s="106"/>
      <c r="L101" s="106"/>
      <c r="M101" s="106"/>
      <c r="N101" s="106"/>
      <c r="O101" s="106"/>
      <c r="P101" s="106"/>
      <c r="Q101" s="106"/>
      <c r="R101" s="106"/>
      <c r="S101" s="106"/>
      <c r="T101" s="106"/>
      <c r="U101" s="107"/>
      <c r="V101" s="107"/>
      <c r="W101" s="107"/>
      <c r="X101" s="107"/>
      <c r="Y101" s="107"/>
      <c r="Z101" s="107"/>
      <c r="AA101" s="107"/>
      <c r="AB101" s="107"/>
      <c r="AC101" s="107"/>
      <c r="AD101" s="106"/>
      <c r="AE101" s="106"/>
      <c r="AF101" s="106"/>
      <c r="AG101" s="106"/>
      <c r="AH101" s="106"/>
      <c r="AI101" s="105">
        <f t="shared" si="3"/>
        <v>0</v>
      </c>
    </row>
    <row r="102" spans="1:35" ht="18.75" x14ac:dyDescent="0.2">
      <c r="A102" s="80">
        <v>100</v>
      </c>
      <c r="B102" s="94" t="s">
        <v>329</v>
      </c>
      <c r="C102" s="86" t="s">
        <v>282</v>
      </c>
      <c r="D102" s="106"/>
      <c r="E102" s="106"/>
      <c r="F102" s="106"/>
      <c r="G102" s="106"/>
      <c r="H102" s="106"/>
      <c r="I102" s="106"/>
      <c r="J102" s="106"/>
      <c r="K102" s="106"/>
      <c r="L102" s="106"/>
      <c r="M102" s="106"/>
      <c r="N102" s="106"/>
      <c r="O102" s="106"/>
      <c r="P102" s="106"/>
      <c r="Q102" s="106"/>
      <c r="R102" s="106"/>
      <c r="S102" s="106"/>
      <c r="T102" s="106"/>
      <c r="U102" s="106"/>
      <c r="V102" s="107"/>
      <c r="W102" s="107"/>
      <c r="X102" s="107"/>
      <c r="Y102" s="107"/>
      <c r="Z102" s="107"/>
      <c r="AA102" s="107"/>
      <c r="AB102" s="107"/>
      <c r="AC102" s="106"/>
      <c r="AD102" s="106"/>
      <c r="AE102" s="106"/>
      <c r="AF102" s="106"/>
      <c r="AG102" s="106"/>
      <c r="AH102" s="106"/>
      <c r="AI102" s="105">
        <f t="shared" si="3"/>
        <v>0</v>
      </c>
    </row>
    <row r="103" spans="1:35" ht="18.75" x14ac:dyDescent="0.2">
      <c r="A103" s="80">
        <v>101</v>
      </c>
      <c r="B103" s="94" t="s">
        <v>330</v>
      </c>
      <c r="C103" s="86" t="s">
        <v>282</v>
      </c>
      <c r="D103" s="106"/>
      <c r="E103" s="106"/>
      <c r="F103" s="106">
        <v>6.5</v>
      </c>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5">
        <f t="shared" si="3"/>
        <v>6.5</v>
      </c>
    </row>
    <row r="104" spans="1:35" ht="18.75" x14ac:dyDescent="0.2">
      <c r="A104" s="80">
        <v>102</v>
      </c>
      <c r="B104" s="94" t="s">
        <v>331</v>
      </c>
      <c r="C104" s="86" t="s">
        <v>282</v>
      </c>
      <c r="D104" s="106"/>
      <c r="E104" s="106"/>
      <c r="F104" s="106"/>
      <c r="G104" s="106"/>
      <c r="H104" s="106"/>
      <c r="I104" s="106"/>
      <c r="J104" s="106"/>
      <c r="K104" s="106"/>
      <c r="L104" s="106"/>
      <c r="M104" s="106"/>
      <c r="N104" s="106"/>
      <c r="O104" s="106"/>
      <c r="P104" s="106"/>
      <c r="Q104" s="106"/>
      <c r="R104" s="106"/>
      <c r="S104" s="106"/>
      <c r="T104" s="106"/>
      <c r="U104" s="107"/>
      <c r="V104" s="107"/>
      <c r="W104" s="107"/>
      <c r="X104" s="107"/>
      <c r="Y104" s="107"/>
      <c r="Z104" s="107"/>
      <c r="AA104" s="107"/>
      <c r="AB104" s="107"/>
      <c r="AC104" s="106"/>
      <c r="AD104" s="106"/>
      <c r="AE104" s="106"/>
      <c r="AF104" s="106"/>
      <c r="AG104" s="106"/>
      <c r="AH104" s="106"/>
      <c r="AI104" s="105">
        <f t="shared" si="3"/>
        <v>0</v>
      </c>
    </row>
    <row r="105" spans="1:35" ht="18.75" x14ac:dyDescent="0.2">
      <c r="A105" s="80">
        <v>103</v>
      </c>
      <c r="B105" s="94" t="s">
        <v>332</v>
      </c>
      <c r="C105" s="86" t="s">
        <v>282</v>
      </c>
      <c r="D105" s="106"/>
      <c r="E105" s="106"/>
      <c r="F105" s="106"/>
      <c r="G105" s="106">
        <v>6.5</v>
      </c>
      <c r="H105" s="106"/>
      <c r="I105" s="106"/>
      <c r="J105" s="106"/>
      <c r="K105" s="106"/>
      <c r="L105" s="106"/>
      <c r="M105" s="106"/>
      <c r="N105" s="106"/>
      <c r="O105" s="106"/>
      <c r="P105" s="106"/>
      <c r="Q105" s="106"/>
      <c r="R105" s="106"/>
      <c r="S105" s="106"/>
      <c r="T105" s="106"/>
      <c r="U105" s="107"/>
      <c r="V105" s="107"/>
      <c r="W105" s="107"/>
      <c r="X105" s="107"/>
      <c r="Y105" s="107"/>
      <c r="Z105" s="107"/>
      <c r="AA105" s="107"/>
      <c r="AB105" s="107"/>
      <c r="AC105" s="106"/>
      <c r="AD105" s="106"/>
      <c r="AE105" s="106"/>
      <c r="AF105" s="106"/>
      <c r="AG105" s="106"/>
      <c r="AH105" s="106"/>
      <c r="AI105" s="105">
        <f t="shared" si="3"/>
        <v>6.5</v>
      </c>
    </row>
    <row r="106" spans="1:35" ht="18.75" x14ac:dyDescent="0.2">
      <c r="A106" s="80">
        <v>104</v>
      </c>
      <c r="B106" s="94" t="s">
        <v>333</v>
      </c>
      <c r="C106" s="86" t="s">
        <v>282</v>
      </c>
      <c r="D106" s="106"/>
      <c r="E106" s="106"/>
      <c r="F106" s="106"/>
      <c r="G106" s="106"/>
      <c r="H106" s="106"/>
      <c r="I106" s="106"/>
      <c r="J106" s="106"/>
      <c r="K106" s="106"/>
      <c r="L106" s="106"/>
      <c r="M106" s="106"/>
      <c r="N106" s="106"/>
      <c r="O106" s="106"/>
      <c r="P106" s="106"/>
      <c r="Q106" s="106"/>
      <c r="R106" s="106"/>
      <c r="S106" s="106"/>
      <c r="T106" s="106"/>
      <c r="U106" s="107"/>
      <c r="V106" s="107"/>
      <c r="W106" s="107"/>
      <c r="X106" s="107"/>
      <c r="Y106" s="107"/>
      <c r="Z106" s="107"/>
      <c r="AA106" s="107"/>
      <c r="AB106" s="107"/>
      <c r="AC106" s="106"/>
      <c r="AD106" s="106"/>
      <c r="AE106" s="106"/>
      <c r="AF106" s="106"/>
      <c r="AG106" s="106"/>
      <c r="AH106" s="106"/>
      <c r="AI106" s="105">
        <f t="shared" si="3"/>
        <v>0</v>
      </c>
    </row>
    <row r="107" spans="1:35" ht="18.75" x14ac:dyDescent="0.2">
      <c r="A107" s="80">
        <v>105</v>
      </c>
      <c r="B107" s="94" t="s">
        <v>334</v>
      </c>
      <c r="C107" s="86" t="s">
        <v>282</v>
      </c>
      <c r="D107" s="107"/>
      <c r="E107" s="107"/>
      <c r="F107" s="107">
        <v>6.25</v>
      </c>
      <c r="G107" s="107"/>
      <c r="H107" s="106"/>
      <c r="I107" s="106"/>
      <c r="J107" s="106"/>
      <c r="K107" s="106"/>
      <c r="L107" s="106"/>
      <c r="M107" s="106"/>
      <c r="N107" s="106"/>
      <c r="O107" s="106"/>
      <c r="P107" s="106"/>
      <c r="Q107" s="106"/>
      <c r="R107" s="106"/>
      <c r="S107" s="106"/>
      <c r="T107" s="106"/>
      <c r="U107" s="107"/>
      <c r="V107" s="107"/>
      <c r="W107" s="107"/>
      <c r="X107" s="107"/>
      <c r="Y107" s="107"/>
      <c r="Z107" s="107"/>
      <c r="AA107" s="107"/>
      <c r="AB107" s="107"/>
      <c r="AC107" s="107"/>
      <c r="AD107" s="107"/>
      <c r="AE107" s="107"/>
      <c r="AF107" s="107"/>
      <c r="AG107" s="107"/>
      <c r="AH107" s="107"/>
      <c r="AI107" s="105">
        <f t="shared" si="3"/>
        <v>6.25</v>
      </c>
    </row>
    <row r="108" spans="1:35" ht="18.75" x14ac:dyDescent="0.2">
      <c r="A108" s="80">
        <v>106</v>
      </c>
      <c r="B108" s="94" t="s">
        <v>335</v>
      </c>
      <c r="C108" s="86" t="s">
        <v>282</v>
      </c>
      <c r="D108" s="106"/>
      <c r="E108" s="106"/>
      <c r="F108" s="106"/>
      <c r="G108" s="106"/>
      <c r="H108" s="106"/>
      <c r="I108" s="106"/>
      <c r="J108" s="106"/>
      <c r="K108" s="106"/>
      <c r="L108" s="106"/>
      <c r="M108" s="106"/>
      <c r="N108" s="106"/>
      <c r="O108" s="106"/>
      <c r="P108" s="106"/>
      <c r="Q108" s="106"/>
      <c r="R108" s="106"/>
      <c r="S108" s="106"/>
      <c r="T108" s="106"/>
      <c r="U108" s="107"/>
      <c r="V108" s="107"/>
      <c r="W108" s="107"/>
      <c r="X108" s="107"/>
      <c r="Y108" s="107"/>
      <c r="Z108" s="354"/>
      <c r="AA108" s="107"/>
      <c r="AB108" s="107"/>
      <c r="AC108" s="106"/>
      <c r="AD108" s="106"/>
      <c r="AE108" s="106"/>
      <c r="AF108" s="106"/>
      <c r="AG108" s="106"/>
      <c r="AH108" s="106"/>
      <c r="AI108" s="105">
        <f t="shared" si="3"/>
        <v>0</v>
      </c>
    </row>
    <row r="109" spans="1:35" ht="18.75" x14ac:dyDescent="0.2">
      <c r="A109" s="80">
        <v>107</v>
      </c>
      <c r="B109" s="94" t="s">
        <v>336</v>
      </c>
      <c r="C109" s="86" t="s">
        <v>282</v>
      </c>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5">
        <f t="shared" si="3"/>
        <v>0</v>
      </c>
    </row>
    <row r="110" spans="1:35" ht="18.75" x14ac:dyDescent="0.2">
      <c r="A110" s="80">
        <v>108</v>
      </c>
      <c r="B110" s="94" t="s">
        <v>337</v>
      </c>
      <c r="C110" s="86" t="s">
        <v>282</v>
      </c>
      <c r="D110" s="106"/>
      <c r="E110" s="106"/>
      <c r="F110" s="106"/>
      <c r="G110" s="106"/>
      <c r="H110" s="106"/>
      <c r="I110" s="106"/>
      <c r="J110" s="106"/>
      <c r="K110" s="106"/>
      <c r="L110" s="106"/>
      <c r="M110" s="106"/>
      <c r="N110" s="106"/>
      <c r="O110" s="106"/>
      <c r="P110" s="106"/>
      <c r="Q110" s="106"/>
      <c r="R110" s="106"/>
      <c r="S110" s="106"/>
      <c r="T110" s="106"/>
      <c r="U110" s="106"/>
      <c r="V110" s="107"/>
      <c r="W110" s="107"/>
      <c r="X110" s="107"/>
      <c r="Y110" s="107"/>
      <c r="Z110" s="107"/>
      <c r="AA110" s="107"/>
      <c r="AB110" s="107"/>
      <c r="AC110" s="107"/>
      <c r="AD110" s="106"/>
      <c r="AE110" s="106"/>
      <c r="AF110" s="106"/>
      <c r="AG110" s="106"/>
      <c r="AH110" s="106"/>
      <c r="AI110" s="105">
        <f t="shared" si="3"/>
        <v>0</v>
      </c>
    </row>
    <row r="111" spans="1:35" ht="18.75" x14ac:dyDescent="0.2">
      <c r="A111" s="80">
        <v>109</v>
      </c>
      <c r="B111" s="94" t="s">
        <v>338</v>
      </c>
      <c r="C111" s="86" t="s">
        <v>282</v>
      </c>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5">
        <f t="shared" si="3"/>
        <v>0</v>
      </c>
    </row>
    <row r="112" spans="1:35" ht="18.75" x14ac:dyDescent="0.2">
      <c r="A112" s="80">
        <v>110</v>
      </c>
      <c r="B112" s="94" t="s">
        <v>339</v>
      </c>
      <c r="C112" s="86" t="s">
        <v>282</v>
      </c>
      <c r="D112" s="106"/>
      <c r="E112" s="107"/>
      <c r="F112" s="107"/>
      <c r="G112" s="107"/>
      <c r="H112" s="107"/>
      <c r="I112" s="107"/>
      <c r="J112" s="107"/>
      <c r="K112" s="107"/>
      <c r="L112" s="107"/>
      <c r="M112" s="107"/>
      <c r="N112" s="107"/>
      <c r="O112" s="107"/>
      <c r="P112" s="107"/>
      <c r="Q112" s="107"/>
      <c r="R112" s="107"/>
      <c r="S112" s="107"/>
      <c r="T112" s="107"/>
      <c r="U112" s="106"/>
      <c r="V112" s="106"/>
      <c r="W112" s="106"/>
      <c r="X112" s="106"/>
      <c r="Y112" s="106"/>
      <c r="Z112" s="106"/>
      <c r="AA112" s="106"/>
      <c r="AB112" s="106"/>
      <c r="AC112" s="106"/>
      <c r="AD112" s="106"/>
      <c r="AE112" s="106"/>
      <c r="AF112" s="106"/>
      <c r="AG112" s="106"/>
      <c r="AH112" s="106"/>
      <c r="AI112" s="105">
        <f t="shared" si="3"/>
        <v>0</v>
      </c>
    </row>
    <row r="113" spans="1:35" ht="18.75" x14ac:dyDescent="0.2">
      <c r="A113" s="80">
        <v>111</v>
      </c>
      <c r="B113" s="94" t="s">
        <v>340</v>
      </c>
      <c r="C113" s="86" t="s">
        <v>282</v>
      </c>
      <c r="D113" s="106"/>
      <c r="E113" s="106"/>
      <c r="F113" s="106"/>
      <c r="G113" s="106"/>
      <c r="H113" s="106"/>
      <c r="I113" s="106"/>
      <c r="J113" s="106"/>
      <c r="K113" s="106"/>
      <c r="L113" s="106"/>
      <c r="M113" s="106"/>
      <c r="N113" s="106"/>
      <c r="O113" s="106"/>
      <c r="P113" s="106"/>
      <c r="Q113" s="106"/>
      <c r="R113" s="106"/>
      <c r="S113" s="106"/>
      <c r="T113" s="106"/>
      <c r="U113" s="107"/>
      <c r="V113" s="107"/>
      <c r="W113" s="107"/>
      <c r="X113" s="107"/>
      <c r="Y113" s="107"/>
      <c r="Z113" s="107"/>
      <c r="AA113" s="107"/>
      <c r="AB113" s="107"/>
      <c r="AC113" s="106"/>
      <c r="AD113" s="106"/>
      <c r="AE113" s="106"/>
      <c r="AF113" s="106"/>
      <c r="AG113" s="106"/>
      <c r="AH113" s="106"/>
      <c r="AI113" s="105">
        <f t="shared" si="3"/>
        <v>0</v>
      </c>
    </row>
    <row r="114" spans="1:35" ht="18.75" x14ac:dyDescent="0.2">
      <c r="A114" s="80">
        <v>112</v>
      </c>
      <c r="B114" s="94" t="s">
        <v>341</v>
      </c>
      <c r="C114" s="86" t="s">
        <v>282</v>
      </c>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v>6.5</v>
      </c>
      <c r="AB114" s="106">
        <v>24</v>
      </c>
      <c r="AC114" s="106">
        <v>24</v>
      </c>
      <c r="AD114" s="106">
        <v>24</v>
      </c>
      <c r="AE114" s="106">
        <v>24</v>
      </c>
      <c r="AF114" s="106">
        <v>24</v>
      </c>
      <c r="AG114" s="106">
        <v>24</v>
      </c>
      <c r="AH114" s="106">
        <v>18</v>
      </c>
      <c r="AI114" s="105">
        <f t="shared" si="3"/>
        <v>168.5</v>
      </c>
    </row>
    <row r="115" spans="1:35" ht="18.75" x14ac:dyDescent="0.2">
      <c r="A115" s="80">
        <v>113</v>
      </c>
      <c r="B115" s="94" t="s">
        <v>342</v>
      </c>
      <c r="C115" s="86" t="s">
        <v>282</v>
      </c>
      <c r="D115" s="106"/>
      <c r="E115" s="106"/>
      <c r="F115" s="106"/>
      <c r="G115" s="106"/>
      <c r="H115" s="106"/>
      <c r="I115" s="106"/>
      <c r="J115" s="106"/>
      <c r="K115" s="106"/>
      <c r="L115" s="106"/>
      <c r="M115" s="106"/>
      <c r="N115" s="106"/>
      <c r="O115" s="106"/>
      <c r="P115" s="106"/>
      <c r="Q115" s="106"/>
      <c r="R115" s="106"/>
      <c r="S115" s="106"/>
      <c r="T115" s="106"/>
      <c r="U115" s="107"/>
      <c r="V115" s="107"/>
      <c r="W115" s="107"/>
      <c r="X115" s="107"/>
      <c r="Y115" s="107"/>
      <c r="Z115" s="107"/>
      <c r="AA115" s="107"/>
      <c r="AB115" s="107"/>
      <c r="AC115" s="106"/>
      <c r="AD115" s="106"/>
      <c r="AE115" s="106"/>
      <c r="AF115" s="106"/>
      <c r="AG115" s="106"/>
      <c r="AH115" s="106"/>
      <c r="AI115" s="105">
        <f t="shared" si="3"/>
        <v>0</v>
      </c>
    </row>
    <row r="116" spans="1:35" ht="18.75" x14ac:dyDescent="0.2">
      <c r="A116" s="80">
        <v>114</v>
      </c>
      <c r="B116" s="94" t="s">
        <v>343</v>
      </c>
      <c r="C116" s="86" t="s">
        <v>282</v>
      </c>
      <c r="D116" s="106">
        <v>24</v>
      </c>
      <c r="E116" s="106">
        <v>24</v>
      </c>
      <c r="F116" s="106">
        <v>24</v>
      </c>
      <c r="G116" s="106">
        <v>24</v>
      </c>
      <c r="H116" s="106">
        <v>18</v>
      </c>
      <c r="I116" s="106"/>
      <c r="J116" s="106"/>
      <c r="K116" s="106"/>
      <c r="L116" s="106"/>
      <c r="M116" s="106"/>
      <c r="N116" s="106"/>
      <c r="O116" s="106"/>
      <c r="P116" s="106"/>
      <c r="Q116" s="106"/>
      <c r="R116" s="106"/>
      <c r="S116" s="106"/>
      <c r="T116" s="106"/>
      <c r="U116" s="107"/>
      <c r="V116" s="107"/>
      <c r="W116" s="107"/>
      <c r="X116" s="107"/>
      <c r="Y116" s="107"/>
      <c r="Z116" s="107"/>
      <c r="AA116" s="107"/>
      <c r="AB116" s="107"/>
      <c r="AC116" s="107"/>
      <c r="AD116" s="107"/>
      <c r="AE116" s="106"/>
      <c r="AF116" s="106"/>
      <c r="AG116" s="106"/>
      <c r="AH116" s="106"/>
      <c r="AI116" s="105">
        <f t="shared" si="3"/>
        <v>114</v>
      </c>
    </row>
    <row r="117" spans="1:35" ht="18.75" x14ac:dyDescent="0.2">
      <c r="A117" s="80">
        <v>115</v>
      </c>
      <c r="B117" s="94" t="s">
        <v>344</v>
      </c>
      <c r="C117" s="86" t="s">
        <v>282</v>
      </c>
      <c r="D117" s="106"/>
      <c r="E117" s="106"/>
      <c r="F117" s="106"/>
      <c r="G117" s="106"/>
      <c r="H117" s="106"/>
      <c r="I117" s="106"/>
      <c r="J117" s="106"/>
      <c r="K117" s="106"/>
      <c r="L117" s="106"/>
      <c r="M117" s="106"/>
      <c r="N117" s="106"/>
      <c r="O117" s="106"/>
      <c r="P117" s="106"/>
      <c r="Q117" s="106"/>
      <c r="R117" s="106"/>
      <c r="S117" s="106"/>
      <c r="T117" s="106"/>
      <c r="U117" s="107"/>
      <c r="V117" s="107"/>
      <c r="W117" s="107"/>
      <c r="X117" s="107"/>
      <c r="Y117" s="107"/>
      <c r="Z117" s="107"/>
      <c r="AA117" s="107"/>
      <c r="AB117" s="107"/>
      <c r="AC117" s="106"/>
      <c r="AD117" s="106"/>
      <c r="AE117" s="106"/>
      <c r="AF117" s="106"/>
      <c r="AG117" s="106"/>
      <c r="AH117" s="106"/>
      <c r="AI117" s="105">
        <f t="shared" si="3"/>
        <v>0</v>
      </c>
    </row>
    <row r="118" spans="1:35" ht="18.75" x14ac:dyDescent="0.2">
      <c r="A118" s="80">
        <v>116</v>
      </c>
      <c r="B118" s="94" t="s">
        <v>345</v>
      </c>
      <c r="C118" s="86" t="s">
        <v>282</v>
      </c>
      <c r="D118" s="106"/>
      <c r="E118" s="106"/>
      <c r="F118" s="106"/>
      <c r="G118" s="106"/>
      <c r="H118" s="106"/>
      <c r="I118" s="106"/>
      <c r="J118" s="106"/>
      <c r="K118" s="106"/>
      <c r="L118" s="106"/>
      <c r="M118" s="106"/>
      <c r="N118" s="106"/>
      <c r="O118" s="106"/>
      <c r="P118" s="106"/>
      <c r="Q118" s="106"/>
      <c r="R118" s="106"/>
      <c r="S118" s="106"/>
      <c r="T118" s="106"/>
      <c r="U118" s="107"/>
      <c r="V118" s="107"/>
      <c r="W118" s="107"/>
      <c r="X118" s="107"/>
      <c r="Y118" s="107"/>
      <c r="Z118" s="107"/>
      <c r="AA118" s="107"/>
      <c r="AB118" s="107"/>
      <c r="AC118" s="106"/>
      <c r="AD118" s="106"/>
      <c r="AE118" s="106"/>
      <c r="AF118" s="106"/>
      <c r="AG118" s="106"/>
      <c r="AH118" s="106"/>
      <c r="AI118" s="105">
        <f t="shared" si="3"/>
        <v>0</v>
      </c>
    </row>
    <row r="119" spans="1:35" ht="18.75" x14ac:dyDescent="0.2">
      <c r="A119" s="80">
        <v>117</v>
      </c>
      <c r="B119" s="94" t="s">
        <v>346</v>
      </c>
      <c r="C119" s="86" t="s">
        <v>282</v>
      </c>
      <c r="D119" s="106"/>
      <c r="E119" s="106"/>
      <c r="F119" s="106"/>
      <c r="G119" s="106"/>
      <c r="H119" s="106"/>
      <c r="I119" s="106"/>
      <c r="J119" s="106"/>
      <c r="K119" s="106"/>
      <c r="L119" s="106"/>
      <c r="M119" s="106"/>
      <c r="N119" s="106"/>
      <c r="O119" s="106"/>
      <c r="P119" s="106"/>
      <c r="Q119" s="106"/>
      <c r="R119" s="106"/>
      <c r="S119" s="106"/>
      <c r="T119" s="106"/>
      <c r="U119" s="107"/>
      <c r="V119" s="107"/>
      <c r="W119" s="107"/>
      <c r="X119" s="107"/>
      <c r="Y119" s="107"/>
      <c r="Z119" s="107"/>
      <c r="AA119" s="107"/>
      <c r="AB119" s="107"/>
      <c r="AC119" s="106"/>
      <c r="AD119" s="106"/>
      <c r="AE119" s="106"/>
      <c r="AF119" s="106"/>
      <c r="AG119" s="106"/>
      <c r="AH119" s="106"/>
      <c r="AI119" s="105">
        <f t="shared" si="3"/>
        <v>0</v>
      </c>
    </row>
    <row r="120" spans="1:35" ht="18.75" x14ac:dyDescent="0.2">
      <c r="A120" s="80">
        <v>118</v>
      </c>
      <c r="B120" s="94" t="s">
        <v>347</v>
      </c>
      <c r="C120" s="86" t="s">
        <v>282</v>
      </c>
      <c r="D120" s="106"/>
      <c r="E120" s="106"/>
      <c r="F120" s="106"/>
      <c r="G120" s="106"/>
      <c r="H120" s="106"/>
      <c r="I120" s="106"/>
      <c r="J120" s="106"/>
      <c r="K120" s="106"/>
      <c r="L120" s="106"/>
      <c r="M120" s="106"/>
      <c r="N120" s="106"/>
      <c r="O120" s="106"/>
      <c r="P120" s="106"/>
      <c r="Q120" s="106"/>
      <c r="R120" s="106"/>
      <c r="S120" s="106"/>
      <c r="T120" s="106"/>
      <c r="U120" s="107"/>
      <c r="V120" s="107"/>
      <c r="W120" s="107"/>
      <c r="X120" s="107"/>
      <c r="Y120" s="107"/>
      <c r="Z120" s="107"/>
      <c r="AA120" s="107"/>
      <c r="AB120" s="107"/>
      <c r="AC120" s="106"/>
      <c r="AD120" s="106"/>
      <c r="AE120" s="106"/>
      <c r="AF120" s="106"/>
      <c r="AG120" s="106"/>
      <c r="AH120" s="106"/>
      <c r="AI120" s="105">
        <f t="shared" si="3"/>
        <v>0</v>
      </c>
    </row>
    <row r="121" spans="1:35" ht="18.75" x14ac:dyDescent="0.2">
      <c r="A121" s="80">
        <v>119</v>
      </c>
      <c r="B121" s="94" t="s">
        <v>348</v>
      </c>
      <c r="C121" s="86" t="s">
        <v>282</v>
      </c>
      <c r="D121" s="106"/>
      <c r="E121" s="106"/>
      <c r="F121" s="106"/>
      <c r="G121" s="106"/>
      <c r="H121" s="106"/>
      <c r="I121" s="106"/>
      <c r="J121" s="106"/>
      <c r="K121" s="106"/>
      <c r="L121" s="106"/>
      <c r="M121" s="106"/>
      <c r="N121" s="106"/>
      <c r="O121" s="106"/>
      <c r="P121" s="106"/>
      <c r="Q121" s="106"/>
      <c r="R121" s="106"/>
      <c r="S121" s="106"/>
      <c r="T121" s="106"/>
      <c r="U121" s="107"/>
      <c r="V121" s="107"/>
      <c r="W121" s="107"/>
      <c r="X121" s="107"/>
      <c r="Y121" s="107"/>
      <c r="Z121" s="107"/>
      <c r="AA121" s="107"/>
      <c r="AB121" s="107"/>
      <c r="AC121" s="106"/>
      <c r="AD121" s="106"/>
      <c r="AE121" s="106"/>
      <c r="AF121" s="106"/>
      <c r="AG121" s="106"/>
      <c r="AH121" s="106"/>
      <c r="AI121" s="105">
        <f t="shared" si="3"/>
        <v>0</v>
      </c>
    </row>
    <row r="122" spans="1:35" ht="18.75" x14ac:dyDescent="0.2">
      <c r="A122" s="80">
        <v>120</v>
      </c>
      <c r="B122" s="94" t="s">
        <v>349</v>
      </c>
      <c r="C122" s="86" t="s">
        <v>282</v>
      </c>
      <c r="D122" s="106"/>
      <c r="E122" s="106"/>
      <c r="F122" s="106"/>
      <c r="G122" s="106"/>
      <c r="H122" s="106"/>
      <c r="I122" s="106"/>
      <c r="J122" s="106"/>
      <c r="K122" s="106"/>
      <c r="L122" s="106"/>
      <c r="M122" s="106"/>
      <c r="N122" s="106"/>
      <c r="O122" s="106"/>
      <c r="P122" s="106"/>
      <c r="Q122" s="106"/>
      <c r="R122" s="106"/>
      <c r="S122" s="106"/>
      <c r="T122" s="106"/>
      <c r="U122" s="107"/>
      <c r="V122" s="107"/>
      <c r="W122" s="107"/>
      <c r="X122" s="107"/>
      <c r="Y122" s="107"/>
      <c r="Z122" s="107"/>
      <c r="AA122" s="107"/>
      <c r="AB122" s="107"/>
      <c r="AC122" s="106"/>
      <c r="AD122" s="106"/>
      <c r="AE122" s="106"/>
      <c r="AF122" s="106"/>
      <c r="AG122" s="106"/>
      <c r="AH122" s="106"/>
      <c r="AI122" s="105">
        <f t="shared" si="3"/>
        <v>0</v>
      </c>
    </row>
    <row r="123" spans="1:35" ht="18.75" x14ac:dyDescent="0.2">
      <c r="A123" s="80">
        <v>121</v>
      </c>
      <c r="B123" s="94" t="s">
        <v>350</v>
      </c>
      <c r="C123" s="86" t="s">
        <v>282</v>
      </c>
      <c r="D123" s="106"/>
      <c r="E123" s="106"/>
      <c r="F123" s="106"/>
      <c r="G123" s="106"/>
      <c r="H123" s="106"/>
      <c r="I123" s="106"/>
      <c r="J123" s="106"/>
      <c r="K123" s="106"/>
      <c r="L123" s="106"/>
      <c r="M123" s="106"/>
      <c r="N123" s="106"/>
      <c r="O123" s="106"/>
      <c r="P123" s="106"/>
      <c r="Q123" s="106"/>
      <c r="R123" s="106"/>
      <c r="S123" s="106"/>
      <c r="T123" s="106"/>
      <c r="U123" s="107"/>
      <c r="V123" s="107"/>
      <c r="W123" s="107"/>
      <c r="X123" s="107"/>
      <c r="Y123" s="107"/>
      <c r="Z123" s="107"/>
      <c r="AA123" s="107"/>
      <c r="AB123" s="107"/>
      <c r="AC123" s="106"/>
      <c r="AD123" s="106"/>
      <c r="AE123" s="106"/>
      <c r="AF123" s="106"/>
      <c r="AG123" s="106"/>
      <c r="AH123" s="106"/>
      <c r="AI123" s="105">
        <f t="shared" si="3"/>
        <v>0</v>
      </c>
    </row>
    <row r="124" spans="1:35" ht="18.75" x14ac:dyDescent="0.2">
      <c r="A124" s="80">
        <v>122</v>
      </c>
      <c r="B124" s="94" t="s">
        <v>351</v>
      </c>
      <c r="C124" s="86" t="s">
        <v>282</v>
      </c>
      <c r="D124" s="106"/>
      <c r="E124" s="106"/>
      <c r="F124" s="106"/>
      <c r="G124" s="106"/>
      <c r="H124" s="106"/>
      <c r="I124" s="106"/>
      <c r="J124" s="106"/>
      <c r="K124" s="106"/>
      <c r="L124" s="106"/>
      <c r="M124" s="106"/>
      <c r="N124" s="106"/>
      <c r="O124" s="106"/>
      <c r="P124" s="106"/>
      <c r="Q124" s="106"/>
      <c r="R124" s="106"/>
      <c r="S124" s="106"/>
      <c r="T124" s="106"/>
      <c r="U124" s="107"/>
      <c r="V124" s="107"/>
      <c r="W124" s="107"/>
      <c r="X124" s="107"/>
      <c r="Y124" s="107"/>
      <c r="Z124" s="107"/>
      <c r="AA124" s="107"/>
      <c r="AB124" s="107"/>
      <c r="AC124" s="106"/>
      <c r="AD124" s="106"/>
      <c r="AE124" s="106"/>
      <c r="AF124" s="106"/>
      <c r="AG124" s="106"/>
      <c r="AH124" s="106"/>
      <c r="AI124" s="105">
        <f t="shared" si="3"/>
        <v>0</v>
      </c>
    </row>
    <row r="125" spans="1:35" ht="18.75" x14ac:dyDescent="0.2">
      <c r="A125" s="80">
        <v>123</v>
      </c>
      <c r="B125" s="94" t="s">
        <v>352</v>
      </c>
      <c r="C125" s="86" t="s">
        <v>282</v>
      </c>
      <c r="D125" s="106"/>
      <c r="E125" s="106"/>
      <c r="F125" s="106"/>
      <c r="G125" s="106"/>
      <c r="H125" s="106"/>
      <c r="I125" s="106"/>
      <c r="J125" s="106"/>
      <c r="K125" s="106"/>
      <c r="L125" s="106"/>
      <c r="M125" s="106"/>
      <c r="N125" s="106"/>
      <c r="O125" s="106"/>
      <c r="P125" s="106"/>
      <c r="Q125" s="106"/>
      <c r="R125" s="106"/>
      <c r="S125" s="106"/>
      <c r="T125" s="106"/>
      <c r="U125" s="107"/>
      <c r="V125" s="107"/>
      <c r="W125" s="107"/>
      <c r="X125" s="107"/>
      <c r="Y125" s="107"/>
      <c r="Z125" s="107"/>
      <c r="AA125" s="107"/>
      <c r="AB125" s="107"/>
      <c r="AC125" s="106"/>
      <c r="AD125" s="106"/>
      <c r="AE125" s="106"/>
      <c r="AF125" s="106"/>
      <c r="AG125" s="106"/>
      <c r="AH125" s="106"/>
      <c r="AI125" s="105">
        <f t="shared" si="3"/>
        <v>0</v>
      </c>
    </row>
    <row r="126" spans="1:35" ht="18.75" x14ac:dyDescent="0.2">
      <c r="A126" s="80">
        <v>124</v>
      </c>
      <c r="B126" s="94" t="s">
        <v>353</v>
      </c>
      <c r="C126" s="86" t="s">
        <v>282</v>
      </c>
      <c r="D126" s="106"/>
      <c r="E126" s="106"/>
      <c r="F126" s="106"/>
      <c r="G126" s="106"/>
      <c r="H126" s="106"/>
      <c r="I126" s="106"/>
      <c r="J126" s="106"/>
      <c r="K126" s="106"/>
      <c r="L126" s="106"/>
      <c r="M126" s="106"/>
      <c r="N126" s="106"/>
      <c r="O126" s="106"/>
      <c r="P126" s="106"/>
      <c r="Q126" s="106"/>
      <c r="R126" s="106"/>
      <c r="S126" s="106"/>
      <c r="T126" s="106"/>
      <c r="U126" s="107"/>
      <c r="V126" s="107"/>
      <c r="W126" s="107"/>
      <c r="X126" s="107"/>
      <c r="Y126" s="107"/>
      <c r="Z126" s="107"/>
      <c r="AA126" s="107"/>
      <c r="AB126" s="107"/>
      <c r="AC126" s="106"/>
      <c r="AD126" s="106"/>
      <c r="AE126" s="106"/>
      <c r="AF126" s="106"/>
      <c r="AG126" s="106"/>
      <c r="AH126" s="106"/>
      <c r="AI126" s="105">
        <f t="shared" si="3"/>
        <v>0</v>
      </c>
    </row>
    <row r="127" spans="1:35" ht="18.75" x14ac:dyDescent="0.25">
      <c r="A127" s="80">
        <v>125</v>
      </c>
      <c r="B127" s="95" t="s">
        <v>354</v>
      </c>
      <c r="C127" s="86" t="s">
        <v>282</v>
      </c>
      <c r="D127" s="106"/>
      <c r="E127" s="106"/>
      <c r="F127" s="106"/>
      <c r="G127" s="106"/>
      <c r="H127" s="106"/>
      <c r="I127" s="106"/>
      <c r="J127" s="106"/>
      <c r="K127" s="106"/>
      <c r="L127" s="106"/>
      <c r="M127" s="106"/>
      <c r="N127" s="106"/>
      <c r="O127" s="106"/>
      <c r="P127" s="106"/>
      <c r="Q127" s="106"/>
      <c r="R127" s="106"/>
      <c r="S127" s="106"/>
      <c r="T127" s="106"/>
      <c r="U127" s="107"/>
      <c r="V127" s="107"/>
      <c r="W127" s="107"/>
      <c r="X127" s="107"/>
      <c r="Y127" s="107"/>
      <c r="Z127" s="107"/>
      <c r="AA127" s="107"/>
      <c r="AB127" s="107"/>
      <c r="AC127" s="106"/>
      <c r="AD127" s="106"/>
      <c r="AE127" s="106"/>
      <c r="AF127" s="106"/>
      <c r="AG127" s="106"/>
      <c r="AH127" s="106"/>
      <c r="AI127" s="105">
        <f t="shared" si="3"/>
        <v>0</v>
      </c>
    </row>
    <row r="128" spans="1:35" ht="18.75" x14ac:dyDescent="0.25">
      <c r="A128" s="80">
        <v>126</v>
      </c>
      <c r="B128" s="95" t="s">
        <v>355</v>
      </c>
      <c r="C128" s="86" t="s">
        <v>282</v>
      </c>
      <c r="D128" s="106"/>
      <c r="E128" s="106"/>
      <c r="F128" s="106"/>
      <c r="G128" s="106"/>
      <c r="H128" s="106"/>
      <c r="I128" s="106"/>
      <c r="J128" s="106"/>
      <c r="K128" s="106"/>
      <c r="L128" s="106"/>
      <c r="M128" s="106"/>
      <c r="N128" s="106"/>
      <c r="O128" s="106"/>
      <c r="P128" s="106"/>
      <c r="Q128" s="106"/>
      <c r="R128" s="106"/>
      <c r="S128" s="106"/>
      <c r="T128" s="106"/>
      <c r="U128" s="107"/>
      <c r="V128" s="107"/>
      <c r="W128" s="107"/>
      <c r="X128" s="107"/>
      <c r="Y128" s="107"/>
      <c r="Z128" s="107"/>
      <c r="AA128" s="107"/>
      <c r="AB128" s="107"/>
      <c r="AC128" s="106"/>
      <c r="AD128" s="106"/>
      <c r="AE128" s="106"/>
      <c r="AF128" s="106"/>
      <c r="AG128" s="106"/>
      <c r="AH128" s="106"/>
      <c r="AI128" s="105">
        <f t="shared" si="3"/>
        <v>0</v>
      </c>
    </row>
    <row r="129" spans="1:35" ht="18.75" x14ac:dyDescent="0.2">
      <c r="A129" s="80">
        <v>127</v>
      </c>
      <c r="B129" s="94" t="s">
        <v>356</v>
      </c>
      <c r="C129" s="86" t="s">
        <v>282</v>
      </c>
      <c r="D129" s="106"/>
      <c r="E129" s="106"/>
      <c r="F129" s="106"/>
      <c r="G129" s="106"/>
      <c r="H129" s="106"/>
      <c r="I129" s="106"/>
      <c r="J129" s="106"/>
      <c r="K129" s="106"/>
      <c r="L129" s="106"/>
      <c r="M129" s="106"/>
      <c r="N129" s="106"/>
      <c r="O129" s="106"/>
      <c r="P129" s="106"/>
      <c r="Q129" s="106"/>
      <c r="R129" s="106"/>
      <c r="S129" s="106"/>
      <c r="T129" s="106"/>
      <c r="U129" s="107"/>
      <c r="V129" s="107"/>
      <c r="W129" s="107"/>
      <c r="X129" s="107"/>
      <c r="Y129" s="107"/>
      <c r="Z129" s="107"/>
      <c r="AA129" s="107"/>
      <c r="AB129" s="107"/>
      <c r="AC129" s="106"/>
      <c r="AD129" s="106"/>
      <c r="AE129" s="106"/>
      <c r="AF129" s="106"/>
      <c r="AG129" s="106"/>
      <c r="AH129" s="106"/>
      <c r="AI129" s="105">
        <f t="shared" si="3"/>
        <v>0</v>
      </c>
    </row>
    <row r="130" spans="1:35" ht="18.75" x14ac:dyDescent="0.2">
      <c r="A130" s="80">
        <v>128</v>
      </c>
      <c r="B130" s="94" t="s">
        <v>357</v>
      </c>
      <c r="C130" s="86" t="s">
        <v>282</v>
      </c>
      <c r="D130" s="106"/>
      <c r="E130" s="106"/>
      <c r="F130" s="106"/>
      <c r="G130" s="106"/>
      <c r="H130" s="106"/>
      <c r="I130" s="106"/>
      <c r="J130" s="106"/>
      <c r="K130" s="106"/>
      <c r="L130" s="106"/>
      <c r="M130" s="106"/>
      <c r="N130" s="106"/>
      <c r="O130" s="106"/>
      <c r="P130" s="106"/>
      <c r="Q130" s="106"/>
      <c r="R130" s="106"/>
      <c r="S130" s="106"/>
      <c r="T130" s="106"/>
      <c r="U130" s="107"/>
      <c r="V130" s="107"/>
      <c r="W130" s="107"/>
      <c r="X130" s="107"/>
      <c r="Y130" s="107"/>
      <c r="Z130" s="107"/>
      <c r="AA130" s="107"/>
      <c r="AB130" s="107"/>
      <c r="AC130" s="106"/>
      <c r="AD130" s="106"/>
      <c r="AE130" s="106"/>
      <c r="AF130" s="106"/>
      <c r="AG130" s="106"/>
      <c r="AH130" s="106"/>
      <c r="AI130" s="105">
        <f t="shared" si="3"/>
        <v>0</v>
      </c>
    </row>
    <row r="131" spans="1:35" ht="18.75" x14ac:dyDescent="0.2">
      <c r="A131" s="80">
        <v>129</v>
      </c>
      <c r="B131" s="94" t="s">
        <v>358</v>
      </c>
      <c r="C131" s="86" t="s">
        <v>282</v>
      </c>
      <c r="D131" s="107"/>
      <c r="E131" s="107"/>
      <c r="F131" s="106"/>
      <c r="G131" s="106"/>
      <c r="H131" s="106"/>
      <c r="I131" s="106"/>
      <c r="J131" s="106"/>
      <c r="K131" s="106"/>
      <c r="L131" s="106"/>
      <c r="M131" s="106"/>
      <c r="N131" s="106"/>
      <c r="O131" s="106"/>
      <c r="P131" s="106"/>
      <c r="Q131" s="106"/>
      <c r="R131" s="106"/>
      <c r="S131" s="106"/>
      <c r="T131" s="106"/>
      <c r="U131" s="106"/>
      <c r="V131" s="106"/>
      <c r="W131" s="107"/>
      <c r="X131" s="107"/>
      <c r="Y131" s="107"/>
      <c r="Z131" s="107"/>
      <c r="AA131" s="107"/>
      <c r="AB131" s="107"/>
      <c r="AC131" s="107"/>
      <c r="AD131" s="107"/>
      <c r="AE131" s="107"/>
      <c r="AF131" s="107"/>
      <c r="AG131" s="107"/>
      <c r="AH131" s="107"/>
      <c r="AI131" s="105">
        <f t="shared" si="3"/>
        <v>0</v>
      </c>
    </row>
    <row r="132" spans="1:35" ht="18.75" x14ac:dyDescent="0.2">
      <c r="A132" s="80">
        <v>130</v>
      </c>
      <c r="B132" s="94" t="s">
        <v>359</v>
      </c>
      <c r="C132" s="86" t="s">
        <v>282</v>
      </c>
      <c r="D132" s="106"/>
      <c r="E132" s="106"/>
      <c r="F132" s="106"/>
      <c r="G132" s="106"/>
      <c r="H132" s="106"/>
      <c r="I132" s="106"/>
      <c r="J132" s="106"/>
      <c r="K132" s="106"/>
      <c r="L132" s="106"/>
      <c r="M132" s="106"/>
      <c r="N132" s="106"/>
      <c r="O132" s="106"/>
      <c r="P132" s="106"/>
      <c r="Q132" s="106"/>
      <c r="R132" s="106"/>
      <c r="S132" s="106"/>
      <c r="T132" s="106"/>
      <c r="U132" s="107"/>
      <c r="V132" s="107"/>
      <c r="W132" s="107"/>
      <c r="X132" s="107"/>
      <c r="Y132" s="107"/>
      <c r="Z132" s="107"/>
      <c r="AA132" s="107"/>
      <c r="AB132" s="107"/>
      <c r="AC132" s="106"/>
      <c r="AD132" s="106"/>
      <c r="AE132" s="106"/>
      <c r="AF132" s="106"/>
      <c r="AG132" s="106"/>
      <c r="AH132" s="106"/>
      <c r="AI132" s="105">
        <f t="shared" si="3"/>
        <v>0</v>
      </c>
    </row>
    <row r="133" spans="1:35" ht="18.75" x14ac:dyDescent="0.2">
      <c r="A133" s="80">
        <v>131</v>
      </c>
      <c r="B133" s="94" t="s">
        <v>360</v>
      </c>
      <c r="C133" s="86" t="s">
        <v>282</v>
      </c>
      <c r="D133" s="106"/>
      <c r="E133" s="106"/>
      <c r="F133" s="106"/>
      <c r="G133" s="106"/>
      <c r="H133" s="106"/>
      <c r="I133" s="106"/>
      <c r="J133" s="106"/>
      <c r="K133" s="106"/>
      <c r="L133" s="106"/>
      <c r="M133" s="106"/>
      <c r="N133" s="106"/>
      <c r="O133" s="106"/>
      <c r="P133" s="106"/>
      <c r="Q133" s="106"/>
      <c r="R133" s="106"/>
      <c r="S133" s="106"/>
      <c r="T133" s="106"/>
      <c r="U133" s="107"/>
      <c r="V133" s="107"/>
      <c r="W133" s="107"/>
      <c r="X133" s="107"/>
      <c r="Y133" s="107"/>
      <c r="Z133" s="107"/>
      <c r="AA133" s="107"/>
      <c r="AB133" s="107"/>
      <c r="AC133" s="106"/>
      <c r="AD133" s="106"/>
      <c r="AE133" s="106"/>
      <c r="AF133" s="106"/>
      <c r="AG133" s="106"/>
      <c r="AH133" s="106"/>
      <c r="AI133" s="105">
        <f t="shared" si="3"/>
        <v>0</v>
      </c>
    </row>
    <row r="134" spans="1:35" ht="18.75" x14ac:dyDescent="0.2">
      <c r="A134" s="80">
        <v>132</v>
      </c>
      <c r="B134" s="94" t="s">
        <v>361</v>
      </c>
      <c r="C134" s="86" t="s">
        <v>282</v>
      </c>
      <c r="D134" s="107"/>
      <c r="E134" s="106"/>
      <c r="F134" s="106"/>
      <c r="G134" s="106"/>
      <c r="H134" s="106"/>
      <c r="I134" s="106"/>
      <c r="J134" s="106"/>
      <c r="K134" s="106"/>
      <c r="L134" s="106"/>
      <c r="M134" s="106"/>
      <c r="N134" s="106"/>
      <c r="O134" s="106"/>
      <c r="P134" s="106"/>
      <c r="Q134" s="106"/>
      <c r="R134" s="106"/>
      <c r="S134" s="106"/>
      <c r="T134" s="106"/>
      <c r="U134" s="107"/>
      <c r="V134" s="107"/>
      <c r="W134" s="107"/>
      <c r="X134" s="107"/>
      <c r="Y134" s="107"/>
      <c r="Z134" s="107"/>
      <c r="AA134" s="107"/>
      <c r="AB134" s="107"/>
      <c r="AC134" s="107"/>
      <c r="AD134" s="107"/>
      <c r="AE134" s="107"/>
      <c r="AF134" s="107"/>
      <c r="AG134" s="107"/>
      <c r="AH134" s="107"/>
      <c r="AI134" s="105">
        <f t="shared" si="3"/>
        <v>0</v>
      </c>
    </row>
    <row r="135" spans="1:35" ht="18.75" x14ac:dyDescent="0.2">
      <c r="A135" s="80">
        <v>133</v>
      </c>
      <c r="B135" s="96" t="s">
        <v>362</v>
      </c>
      <c r="C135" s="86" t="s">
        <v>363</v>
      </c>
      <c r="D135" s="106"/>
      <c r="E135" s="106"/>
      <c r="F135" s="106"/>
      <c r="G135" s="106"/>
      <c r="H135" s="106"/>
      <c r="I135" s="106"/>
      <c r="J135" s="106"/>
      <c r="K135" s="106"/>
      <c r="L135" s="106"/>
      <c r="M135" s="106"/>
      <c r="N135" s="106"/>
      <c r="O135" s="106"/>
      <c r="P135" s="106"/>
      <c r="Q135" s="106"/>
      <c r="R135" s="106"/>
      <c r="S135" s="106"/>
      <c r="T135" s="106"/>
      <c r="U135" s="107"/>
      <c r="V135" s="107"/>
      <c r="W135" s="107"/>
      <c r="X135" s="107"/>
      <c r="Y135" s="107"/>
      <c r="Z135" s="107"/>
      <c r="AA135" s="107"/>
      <c r="AB135" s="107"/>
      <c r="AC135" s="106"/>
      <c r="AD135" s="106"/>
      <c r="AE135" s="106"/>
      <c r="AF135" s="106"/>
      <c r="AG135" s="106"/>
      <c r="AH135" s="106"/>
      <c r="AI135" s="105">
        <f t="shared" si="3"/>
        <v>0</v>
      </c>
    </row>
    <row r="136" spans="1:35" ht="18.75" x14ac:dyDescent="0.2">
      <c r="A136" s="80">
        <v>134</v>
      </c>
      <c r="B136" s="96" t="s">
        <v>364</v>
      </c>
      <c r="C136" s="86" t="s">
        <v>363</v>
      </c>
      <c r="D136" s="106"/>
      <c r="E136" s="106"/>
      <c r="F136" s="106"/>
      <c r="G136" s="106"/>
      <c r="H136" s="106"/>
      <c r="I136" s="106"/>
      <c r="J136" s="106"/>
      <c r="K136" s="106"/>
      <c r="L136" s="106"/>
      <c r="M136" s="106"/>
      <c r="N136" s="106"/>
      <c r="O136" s="106"/>
      <c r="P136" s="106"/>
      <c r="Q136" s="106"/>
      <c r="R136" s="106"/>
      <c r="S136" s="106"/>
      <c r="T136" s="106"/>
      <c r="U136" s="107"/>
      <c r="V136" s="107"/>
      <c r="W136" s="107"/>
      <c r="X136" s="107"/>
      <c r="Y136" s="107"/>
      <c r="Z136" s="107"/>
      <c r="AA136" s="107"/>
      <c r="AB136" s="107"/>
      <c r="AC136" s="106"/>
      <c r="AD136" s="106"/>
      <c r="AE136" s="106"/>
      <c r="AF136" s="106"/>
      <c r="AG136" s="106"/>
      <c r="AH136" s="106"/>
      <c r="AI136" s="105">
        <f t="shared" si="3"/>
        <v>0</v>
      </c>
    </row>
    <row r="137" spans="1:35" ht="18.75" x14ac:dyDescent="0.2">
      <c r="A137" s="80">
        <v>135</v>
      </c>
      <c r="B137" s="96" t="s">
        <v>365</v>
      </c>
      <c r="C137" s="86" t="s">
        <v>363</v>
      </c>
      <c r="D137" s="106"/>
      <c r="E137" s="106"/>
      <c r="F137" s="106"/>
      <c r="G137" s="106"/>
      <c r="H137" s="106"/>
      <c r="I137" s="106"/>
      <c r="J137" s="106"/>
      <c r="K137" s="106"/>
      <c r="L137" s="106"/>
      <c r="M137" s="106"/>
      <c r="N137" s="106"/>
      <c r="O137" s="106"/>
      <c r="P137" s="106"/>
      <c r="Q137" s="106"/>
      <c r="R137" s="106"/>
      <c r="S137" s="106"/>
      <c r="T137" s="106"/>
      <c r="U137" s="107"/>
      <c r="V137" s="107"/>
      <c r="W137" s="107"/>
      <c r="X137" s="107"/>
      <c r="Y137" s="107"/>
      <c r="Z137" s="107"/>
      <c r="AA137" s="107"/>
      <c r="AB137" s="107"/>
      <c r="AC137" s="106"/>
      <c r="AD137" s="106"/>
      <c r="AE137" s="106"/>
      <c r="AF137" s="106"/>
      <c r="AG137" s="106"/>
      <c r="AH137" s="106"/>
      <c r="AI137" s="105">
        <f t="shared" si="3"/>
        <v>0</v>
      </c>
    </row>
    <row r="138" spans="1:35" ht="18.75" x14ac:dyDescent="0.2">
      <c r="A138" s="80">
        <v>136</v>
      </c>
      <c r="B138" s="97" t="s">
        <v>366</v>
      </c>
      <c r="C138" s="86" t="s">
        <v>363</v>
      </c>
      <c r="D138" s="106">
        <v>24</v>
      </c>
      <c r="E138" s="106">
        <v>24</v>
      </c>
      <c r="F138" s="106">
        <v>24</v>
      </c>
      <c r="G138" s="106">
        <v>24</v>
      </c>
      <c r="H138" s="106">
        <v>24</v>
      </c>
      <c r="I138" s="106">
        <v>24</v>
      </c>
      <c r="J138" s="106">
        <v>24</v>
      </c>
      <c r="K138" s="106">
        <v>24</v>
      </c>
      <c r="L138" s="106">
        <v>24</v>
      </c>
      <c r="M138" s="106">
        <v>24</v>
      </c>
      <c r="N138" s="106">
        <v>24</v>
      </c>
      <c r="O138" s="106">
        <v>24</v>
      </c>
      <c r="P138" s="106">
        <v>16</v>
      </c>
      <c r="Q138" s="106"/>
      <c r="R138" s="106"/>
      <c r="S138" s="106"/>
      <c r="T138" s="106"/>
      <c r="U138" s="106"/>
      <c r="V138" s="106"/>
      <c r="W138" s="106"/>
      <c r="X138" s="106"/>
      <c r="Y138" s="106"/>
      <c r="Z138" s="106"/>
      <c r="AA138" s="106"/>
      <c r="AB138" s="106"/>
      <c r="AC138" s="106"/>
      <c r="AD138" s="106"/>
      <c r="AE138" s="106"/>
      <c r="AF138" s="106"/>
      <c r="AG138" s="106"/>
      <c r="AH138" s="106"/>
      <c r="AI138" s="105">
        <f t="shared" si="3"/>
        <v>304</v>
      </c>
    </row>
    <row r="139" spans="1:35" ht="18.75" x14ac:dyDescent="0.2">
      <c r="A139" s="80">
        <v>137</v>
      </c>
      <c r="B139" s="96" t="s">
        <v>367</v>
      </c>
      <c r="C139" s="86" t="s">
        <v>363</v>
      </c>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5">
        <f t="shared" si="3"/>
        <v>0</v>
      </c>
    </row>
    <row r="140" spans="1:35" ht="18.75" x14ac:dyDescent="0.2">
      <c r="A140" s="80">
        <v>138</v>
      </c>
      <c r="B140" s="96" t="s">
        <v>368</v>
      </c>
      <c r="C140" s="86" t="s">
        <v>363</v>
      </c>
      <c r="D140" s="106"/>
      <c r="E140" s="106"/>
      <c r="F140" s="106"/>
      <c r="G140" s="106"/>
      <c r="H140" s="106"/>
      <c r="I140" s="106"/>
      <c r="J140" s="106"/>
      <c r="K140" s="106"/>
      <c r="L140" s="106"/>
      <c r="M140" s="106"/>
      <c r="N140" s="106"/>
      <c r="O140" s="106"/>
      <c r="P140" s="106"/>
      <c r="Q140" s="106"/>
      <c r="R140" s="106"/>
      <c r="S140" s="106"/>
      <c r="T140" s="106"/>
      <c r="U140" s="106"/>
      <c r="V140" s="107"/>
      <c r="W140" s="107"/>
      <c r="X140" s="107"/>
      <c r="Y140" s="107"/>
      <c r="Z140" s="107"/>
      <c r="AA140" s="107"/>
      <c r="AB140" s="107"/>
      <c r="AC140" s="106"/>
      <c r="AD140" s="106"/>
      <c r="AE140" s="106"/>
      <c r="AF140" s="106"/>
      <c r="AG140" s="106"/>
      <c r="AH140" s="106"/>
      <c r="AI140" s="105">
        <f t="shared" si="3"/>
        <v>0</v>
      </c>
    </row>
    <row r="141" spans="1:35" ht="18.75" x14ac:dyDescent="0.2">
      <c r="A141" s="80">
        <v>139</v>
      </c>
      <c r="B141" s="96" t="s">
        <v>369</v>
      </c>
      <c r="C141" s="86" t="s">
        <v>363</v>
      </c>
      <c r="D141" s="106"/>
      <c r="E141" s="106"/>
      <c r="F141" s="106"/>
      <c r="G141" s="106"/>
      <c r="H141" s="106"/>
      <c r="I141" s="106"/>
      <c r="J141" s="106"/>
      <c r="K141" s="106"/>
      <c r="L141" s="106"/>
      <c r="M141" s="106"/>
      <c r="N141" s="106"/>
      <c r="O141" s="106"/>
      <c r="P141" s="106"/>
      <c r="Q141" s="106"/>
      <c r="R141" s="106"/>
      <c r="S141" s="106"/>
      <c r="T141" s="106"/>
      <c r="U141" s="106"/>
      <c r="V141" s="107"/>
      <c r="W141" s="107"/>
      <c r="X141" s="107"/>
      <c r="Y141" s="107"/>
      <c r="Z141" s="107"/>
      <c r="AA141" s="107"/>
      <c r="AB141" s="107"/>
      <c r="AC141" s="106"/>
      <c r="AD141" s="106"/>
      <c r="AE141" s="106"/>
      <c r="AF141" s="106"/>
      <c r="AG141" s="106"/>
      <c r="AH141" s="106"/>
      <c r="AI141" s="105">
        <f t="shared" si="3"/>
        <v>0</v>
      </c>
    </row>
    <row r="142" spans="1:35" ht="18.75" x14ac:dyDescent="0.2">
      <c r="A142" s="80">
        <v>140</v>
      </c>
      <c r="B142" s="96" t="s">
        <v>370</v>
      </c>
      <c r="C142" s="86" t="s">
        <v>363</v>
      </c>
      <c r="D142" s="106"/>
      <c r="E142" s="106"/>
      <c r="F142" s="106"/>
      <c r="G142" s="106"/>
      <c r="H142" s="106"/>
      <c r="I142" s="106"/>
      <c r="J142" s="106"/>
      <c r="K142" s="106"/>
      <c r="L142" s="106"/>
      <c r="M142" s="106"/>
      <c r="N142" s="106"/>
      <c r="O142" s="106"/>
      <c r="P142" s="106"/>
      <c r="Q142" s="106"/>
      <c r="R142" s="106"/>
      <c r="S142" s="106"/>
      <c r="T142" s="106"/>
      <c r="U142" s="107"/>
      <c r="V142" s="107"/>
      <c r="W142" s="107"/>
      <c r="X142" s="107"/>
      <c r="Y142" s="107"/>
      <c r="Z142" s="107"/>
      <c r="AA142" s="107"/>
      <c r="AB142" s="107"/>
      <c r="AC142" s="106"/>
      <c r="AD142" s="106"/>
      <c r="AE142" s="106"/>
      <c r="AF142" s="106"/>
      <c r="AG142" s="106"/>
      <c r="AH142" s="106"/>
      <c r="AI142" s="105">
        <f t="shared" si="3"/>
        <v>0</v>
      </c>
    </row>
    <row r="143" spans="1:35" ht="18.75" x14ac:dyDescent="0.2">
      <c r="A143" s="80">
        <v>141</v>
      </c>
      <c r="B143" s="96" t="s">
        <v>371</v>
      </c>
      <c r="C143" s="86" t="s">
        <v>363</v>
      </c>
      <c r="D143" s="106"/>
      <c r="E143" s="106"/>
      <c r="F143" s="106"/>
      <c r="G143" s="106"/>
      <c r="H143" s="106"/>
      <c r="I143" s="106"/>
      <c r="J143" s="106"/>
      <c r="K143" s="106"/>
      <c r="L143" s="106"/>
      <c r="M143" s="106"/>
      <c r="N143" s="106"/>
      <c r="O143" s="106"/>
      <c r="P143" s="106"/>
      <c r="Q143" s="106"/>
      <c r="R143" s="106"/>
      <c r="S143" s="106"/>
      <c r="T143" s="106"/>
      <c r="U143" s="107"/>
      <c r="V143" s="107"/>
      <c r="W143" s="107"/>
      <c r="X143" s="107"/>
      <c r="Y143" s="107"/>
      <c r="Z143" s="107"/>
      <c r="AA143" s="107"/>
      <c r="AB143" s="107"/>
      <c r="AC143" s="106"/>
      <c r="AD143" s="106"/>
      <c r="AE143" s="106"/>
      <c r="AF143" s="106"/>
      <c r="AG143" s="106"/>
      <c r="AH143" s="106"/>
      <c r="AI143" s="105">
        <f t="shared" si="3"/>
        <v>0</v>
      </c>
    </row>
    <row r="144" spans="1:35" ht="18.75" x14ac:dyDescent="0.2">
      <c r="A144" s="80">
        <v>142</v>
      </c>
      <c r="B144" s="96" t="s">
        <v>372</v>
      </c>
      <c r="C144" s="86" t="s">
        <v>363</v>
      </c>
      <c r="D144" s="106"/>
      <c r="E144" s="106"/>
      <c r="F144" s="106"/>
      <c r="G144" s="106"/>
      <c r="H144" s="106"/>
      <c r="I144" s="106"/>
      <c r="J144" s="106"/>
      <c r="K144" s="106"/>
      <c r="L144" s="106"/>
      <c r="M144" s="106"/>
      <c r="N144" s="106"/>
      <c r="O144" s="106"/>
      <c r="P144" s="106"/>
      <c r="Q144" s="106"/>
      <c r="R144" s="106"/>
      <c r="S144" s="106"/>
      <c r="T144" s="106"/>
      <c r="U144" s="107"/>
      <c r="V144" s="107"/>
      <c r="W144" s="107"/>
      <c r="X144" s="107"/>
      <c r="Y144" s="107"/>
      <c r="Z144" s="107"/>
      <c r="AA144" s="107"/>
      <c r="AB144" s="107"/>
      <c r="AC144" s="106"/>
      <c r="AD144" s="106"/>
      <c r="AE144" s="106"/>
      <c r="AF144" s="106"/>
      <c r="AG144" s="106"/>
      <c r="AH144" s="106"/>
      <c r="AI144" s="105">
        <f t="shared" si="3"/>
        <v>0</v>
      </c>
    </row>
    <row r="145" spans="1:35" ht="18.75" x14ac:dyDescent="0.2">
      <c r="A145" s="80">
        <v>143</v>
      </c>
      <c r="B145" s="96" t="s">
        <v>373</v>
      </c>
      <c r="C145" s="86" t="s">
        <v>363</v>
      </c>
      <c r="D145" s="106"/>
      <c r="E145" s="106"/>
      <c r="F145" s="106"/>
      <c r="G145" s="208"/>
      <c r="H145" s="106"/>
      <c r="I145" s="106"/>
      <c r="J145" s="106"/>
      <c r="K145" s="106"/>
      <c r="L145" s="106"/>
      <c r="M145" s="106"/>
      <c r="N145" s="106"/>
      <c r="O145" s="106"/>
      <c r="P145" s="106"/>
      <c r="Q145" s="106"/>
      <c r="R145" s="106"/>
      <c r="S145" s="106"/>
      <c r="T145" s="106"/>
      <c r="U145" s="107"/>
      <c r="V145" s="107"/>
      <c r="W145" s="107"/>
      <c r="X145" s="107"/>
      <c r="Y145" s="107"/>
      <c r="Z145" s="107"/>
      <c r="AA145" s="107"/>
      <c r="AB145" s="107"/>
      <c r="AC145" s="106"/>
      <c r="AD145" s="106"/>
      <c r="AE145" s="106"/>
      <c r="AF145" s="106"/>
      <c r="AG145" s="106"/>
      <c r="AH145" s="106"/>
      <c r="AI145" s="105">
        <f t="shared" si="3"/>
        <v>0</v>
      </c>
    </row>
    <row r="146" spans="1:35" ht="18.75" x14ac:dyDescent="0.2">
      <c r="A146" s="80">
        <v>144</v>
      </c>
      <c r="B146" s="96" t="s">
        <v>374</v>
      </c>
      <c r="C146" s="86" t="s">
        <v>363</v>
      </c>
      <c r="D146" s="106"/>
      <c r="E146" s="106"/>
      <c r="F146" s="106"/>
      <c r="G146" s="106"/>
      <c r="H146" s="106"/>
      <c r="I146" s="106"/>
      <c r="J146" s="106"/>
      <c r="K146" s="106"/>
      <c r="L146" s="106"/>
      <c r="M146" s="106"/>
      <c r="N146" s="106"/>
      <c r="O146" s="106"/>
      <c r="P146" s="106"/>
      <c r="Q146" s="106"/>
      <c r="R146" s="106"/>
      <c r="S146" s="106"/>
      <c r="T146" s="106"/>
      <c r="U146" s="106"/>
      <c r="V146" s="107"/>
      <c r="W146" s="107"/>
      <c r="X146" s="107"/>
      <c r="Y146" s="107"/>
      <c r="Z146" s="107"/>
      <c r="AA146" s="107"/>
      <c r="AB146" s="107"/>
      <c r="AC146" s="106"/>
      <c r="AD146" s="106"/>
      <c r="AE146" s="106"/>
      <c r="AF146" s="106"/>
      <c r="AG146" s="106"/>
      <c r="AH146" s="106"/>
      <c r="AI146" s="105">
        <f t="shared" si="3"/>
        <v>0</v>
      </c>
    </row>
    <row r="147" spans="1:35" ht="18.75" x14ac:dyDescent="0.2">
      <c r="A147" s="80">
        <v>145</v>
      </c>
      <c r="B147" s="96" t="s">
        <v>375</v>
      </c>
      <c r="C147" s="86" t="s">
        <v>363</v>
      </c>
      <c r="D147" s="107"/>
      <c r="E147" s="107"/>
      <c r="F147" s="106"/>
      <c r="G147" s="106"/>
      <c r="H147" s="106"/>
      <c r="I147" s="106"/>
      <c r="J147" s="106"/>
      <c r="K147" s="106"/>
      <c r="L147" s="106"/>
      <c r="M147" s="106"/>
      <c r="N147" s="106"/>
      <c r="O147" s="106"/>
      <c r="P147" s="106"/>
      <c r="Q147" s="106"/>
      <c r="R147" s="106"/>
      <c r="S147" s="106"/>
      <c r="T147" s="106"/>
      <c r="U147" s="106"/>
      <c r="V147" s="106"/>
      <c r="W147" s="106"/>
      <c r="X147" s="106"/>
      <c r="Y147" s="106"/>
      <c r="Z147" s="107"/>
      <c r="AA147" s="107"/>
      <c r="AB147" s="107"/>
      <c r="AC147" s="107"/>
      <c r="AD147" s="107"/>
      <c r="AE147" s="107"/>
      <c r="AF147" s="107"/>
      <c r="AG147" s="107"/>
      <c r="AH147" s="107"/>
      <c r="AI147" s="105">
        <f t="shared" si="3"/>
        <v>0</v>
      </c>
    </row>
    <row r="148" spans="1:35" ht="18.75" x14ac:dyDescent="0.2">
      <c r="A148" s="80">
        <v>146</v>
      </c>
      <c r="B148" s="96" t="s">
        <v>376</v>
      </c>
      <c r="C148" s="86" t="s">
        <v>363</v>
      </c>
      <c r="D148" s="106"/>
      <c r="E148" s="106"/>
      <c r="F148" s="106"/>
      <c r="G148" s="106"/>
      <c r="H148" s="106"/>
      <c r="I148" s="106"/>
      <c r="J148" s="106"/>
      <c r="K148" s="106"/>
      <c r="L148" s="106"/>
      <c r="M148" s="106"/>
      <c r="N148" s="106"/>
      <c r="O148" s="106"/>
      <c r="P148" s="106"/>
      <c r="Q148" s="106"/>
      <c r="R148" s="106"/>
      <c r="S148" s="106"/>
      <c r="T148" s="106"/>
      <c r="U148" s="107"/>
      <c r="V148" s="107"/>
      <c r="W148" s="107"/>
      <c r="X148" s="107"/>
      <c r="Y148" s="107"/>
      <c r="Z148" s="107"/>
      <c r="AA148" s="107"/>
      <c r="AB148" s="107"/>
      <c r="AC148" s="106"/>
      <c r="AD148" s="106"/>
      <c r="AE148" s="106"/>
      <c r="AF148" s="106"/>
      <c r="AG148" s="106"/>
      <c r="AH148" s="106"/>
      <c r="AI148" s="105">
        <f t="shared" si="3"/>
        <v>0</v>
      </c>
    </row>
    <row r="149" spans="1:35" x14ac:dyDescent="0.2">
      <c r="D149" s="526"/>
      <c r="E149" s="526"/>
      <c r="F149" s="526"/>
      <c r="G149" s="526"/>
      <c r="H149" s="526"/>
      <c r="I149" s="526"/>
      <c r="J149" s="526"/>
      <c r="K149" s="526"/>
      <c r="L149" s="526"/>
      <c r="M149" s="526"/>
      <c r="N149" s="526"/>
      <c r="O149" s="526"/>
      <c r="P149" s="526"/>
      <c r="Q149" s="526"/>
      <c r="R149" s="526"/>
      <c r="S149" s="526"/>
      <c r="T149" s="526"/>
      <c r="U149" s="526"/>
      <c r="V149" s="526"/>
      <c r="W149" s="526"/>
      <c r="X149" s="526"/>
      <c r="Y149" s="526"/>
      <c r="Z149" s="526"/>
      <c r="AA149" s="526"/>
      <c r="AB149" s="526"/>
      <c r="AC149" s="526"/>
      <c r="AD149" s="526"/>
      <c r="AE149" s="526"/>
      <c r="AF149" s="526"/>
      <c r="AG149" s="526"/>
      <c r="AH149" s="526"/>
      <c r="AI149" s="526"/>
    </row>
    <row r="150" spans="1:35" ht="18.75" x14ac:dyDescent="0.3">
      <c r="A150" s="275" t="s">
        <v>377</v>
      </c>
      <c r="B150" s="275"/>
      <c r="C150" s="82">
        <v>45323</v>
      </c>
      <c r="D150" s="527"/>
      <c r="E150" s="527"/>
      <c r="F150" s="527"/>
      <c r="G150" s="527"/>
      <c r="H150" s="527"/>
      <c r="I150" s="527"/>
      <c r="J150" s="527"/>
      <c r="K150" s="527"/>
      <c r="L150" s="527"/>
      <c r="M150" s="527"/>
      <c r="N150" s="527"/>
      <c r="O150" s="527"/>
      <c r="P150" s="527"/>
      <c r="Q150" s="527"/>
      <c r="R150" s="527"/>
      <c r="S150" s="527"/>
      <c r="T150" s="527"/>
      <c r="U150" s="527"/>
      <c r="V150" s="527"/>
      <c r="W150" s="527"/>
      <c r="X150" s="527"/>
      <c r="Y150" s="527"/>
      <c r="Z150" s="527"/>
      <c r="AA150" s="527"/>
      <c r="AB150" s="527"/>
      <c r="AC150" s="527"/>
      <c r="AD150" s="527"/>
      <c r="AE150" s="527"/>
      <c r="AF150" s="527"/>
      <c r="AG150" s="527"/>
      <c r="AH150" s="527"/>
      <c r="AI150" s="527"/>
    </row>
    <row r="151" spans="1:35" x14ac:dyDescent="0.2">
      <c r="D151" s="528"/>
      <c r="E151" s="528"/>
      <c r="F151" s="528"/>
      <c r="G151" s="528"/>
      <c r="H151" s="528"/>
      <c r="I151" s="528"/>
      <c r="J151" s="528"/>
      <c r="K151" s="528"/>
      <c r="L151" s="528"/>
      <c r="M151" s="528"/>
      <c r="N151" s="528"/>
      <c r="O151" s="528"/>
      <c r="P151" s="528"/>
      <c r="Q151" s="528"/>
      <c r="R151" s="528"/>
      <c r="S151" s="528"/>
      <c r="T151" s="528"/>
      <c r="U151" s="528"/>
      <c r="V151" s="528"/>
      <c r="W151" s="528"/>
      <c r="X151" s="528"/>
      <c r="Y151" s="528"/>
      <c r="Z151" s="528"/>
      <c r="AA151" s="528"/>
      <c r="AB151" s="528"/>
      <c r="AC151" s="528"/>
      <c r="AD151" s="528"/>
      <c r="AE151" s="528"/>
      <c r="AF151" s="528"/>
      <c r="AG151" s="528"/>
      <c r="AH151" s="528"/>
      <c r="AI151" s="528"/>
    </row>
    <row r="152" spans="1:35" ht="18.75" x14ac:dyDescent="0.2">
      <c r="A152" s="235">
        <v>1</v>
      </c>
      <c r="B152" s="236" t="s">
        <v>378</v>
      </c>
      <c r="C152" s="234" t="s">
        <v>363</v>
      </c>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5">
        <f t="shared" ref="AI152:AI160" si="4">SUM(D152:AH152)</f>
        <v>0</v>
      </c>
    </row>
    <row r="153" spans="1:35" ht="18.75" x14ac:dyDescent="0.2">
      <c r="A153" s="235">
        <v>2</v>
      </c>
      <c r="B153" s="236" t="s">
        <v>379</v>
      </c>
      <c r="C153" s="234" t="s">
        <v>363</v>
      </c>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5">
        <f t="shared" si="4"/>
        <v>0</v>
      </c>
    </row>
    <row r="154" spans="1:35" ht="18.75" x14ac:dyDescent="0.2">
      <c r="A154" s="235">
        <v>3</v>
      </c>
      <c r="B154" s="236" t="s">
        <v>380</v>
      </c>
      <c r="C154" s="234" t="s">
        <v>363</v>
      </c>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5">
        <f t="shared" si="4"/>
        <v>0</v>
      </c>
    </row>
    <row r="155" spans="1:35" ht="18.75" x14ac:dyDescent="0.2">
      <c r="A155" s="235">
        <v>4</v>
      </c>
      <c r="B155" s="236" t="s">
        <v>381</v>
      </c>
      <c r="C155" s="234" t="s">
        <v>363</v>
      </c>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5">
        <f t="shared" si="4"/>
        <v>0</v>
      </c>
    </row>
    <row r="156" spans="1:35" ht="18.75" x14ac:dyDescent="0.2">
      <c r="A156" s="235">
        <v>5</v>
      </c>
      <c r="B156" s="280" t="s">
        <v>382</v>
      </c>
      <c r="C156" s="234" t="s">
        <v>229</v>
      </c>
      <c r="D156" s="106">
        <v>24</v>
      </c>
      <c r="E156" s="106">
        <v>24</v>
      </c>
      <c r="F156" s="106">
        <v>24</v>
      </c>
      <c r="G156" s="106">
        <v>24</v>
      </c>
      <c r="H156" s="106">
        <v>24</v>
      </c>
      <c r="I156" s="106">
        <v>24</v>
      </c>
      <c r="J156" s="106">
        <v>24</v>
      </c>
      <c r="K156" s="106">
        <v>24</v>
      </c>
      <c r="L156" s="106">
        <v>24</v>
      </c>
      <c r="M156" s="106">
        <v>24</v>
      </c>
      <c r="N156" s="106">
        <v>24</v>
      </c>
      <c r="O156" s="106">
        <v>24</v>
      </c>
      <c r="P156" s="106">
        <v>24</v>
      </c>
      <c r="Q156" s="106">
        <v>24</v>
      </c>
      <c r="R156" s="106">
        <v>24</v>
      </c>
      <c r="S156" s="106">
        <v>24</v>
      </c>
      <c r="T156" s="106">
        <v>24</v>
      </c>
      <c r="U156" s="106">
        <v>24</v>
      </c>
      <c r="V156" s="106">
        <v>24</v>
      </c>
      <c r="W156" s="106">
        <v>24</v>
      </c>
      <c r="X156" s="106">
        <v>24</v>
      </c>
      <c r="Y156" s="106">
        <v>24</v>
      </c>
      <c r="Z156" s="106">
        <v>24</v>
      </c>
      <c r="AA156" s="106">
        <v>24</v>
      </c>
      <c r="AB156" s="106">
        <v>24</v>
      </c>
      <c r="AC156" s="106">
        <v>24</v>
      </c>
      <c r="AD156" s="106">
        <v>24</v>
      </c>
      <c r="AE156" s="106">
        <v>24</v>
      </c>
      <c r="AF156" s="106">
        <v>24</v>
      </c>
      <c r="AG156" s="106">
        <v>24</v>
      </c>
      <c r="AH156" s="106">
        <v>24</v>
      </c>
      <c r="AI156" s="105">
        <f t="shared" si="4"/>
        <v>744</v>
      </c>
    </row>
    <row r="157" spans="1:35" ht="18.75" x14ac:dyDescent="0.2">
      <c r="A157" s="235"/>
      <c r="B157" s="280" t="s">
        <v>383</v>
      </c>
      <c r="C157" s="234" t="s">
        <v>229</v>
      </c>
      <c r="D157" s="106">
        <v>24</v>
      </c>
      <c r="E157" s="106">
        <v>24</v>
      </c>
      <c r="F157" s="106">
        <v>24</v>
      </c>
      <c r="G157" s="106">
        <v>24</v>
      </c>
      <c r="H157" s="106">
        <v>24</v>
      </c>
      <c r="I157" s="106">
        <v>24</v>
      </c>
      <c r="J157" s="106">
        <v>24</v>
      </c>
      <c r="K157" s="106">
        <v>24</v>
      </c>
      <c r="L157" s="106">
        <v>24</v>
      </c>
      <c r="M157" s="106">
        <v>24</v>
      </c>
      <c r="N157" s="106">
        <v>24</v>
      </c>
      <c r="O157" s="106">
        <v>24</v>
      </c>
      <c r="P157" s="106">
        <v>24</v>
      </c>
      <c r="Q157" s="106">
        <v>24</v>
      </c>
      <c r="R157" s="106">
        <v>24</v>
      </c>
      <c r="S157" s="106">
        <v>24</v>
      </c>
      <c r="T157" s="106">
        <v>24</v>
      </c>
      <c r="U157" s="106">
        <v>24</v>
      </c>
      <c r="V157" s="106">
        <v>24</v>
      </c>
      <c r="W157" s="106">
        <v>24</v>
      </c>
      <c r="X157" s="106">
        <v>24</v>
      </c>
      <c r="Y157" s="106">
        <v>24</v>
      </c>
      <c r="Z157" s="106">
        <v>24</v>
      </c>
      <c r="AA157" s="106">
        <v>24</v>
      </c>
      <c r="AB157" s="106">
        <v>24</v>
      </c>
      <c r="AC157" s="106">
        <v>24</v>
      </c>
      <c r="AD157" s="106">
        <v>24</v>
      </c>
      <c r="AE157" s="106">
        <v>24</v>
      </c>
      <c r="AF157" s="106">
        <v>24</v>
      </c>
      <c r="AG157" s="106">
        <v>24</v>
      </c>
      <c r="AH157" s="106">
        <v>24</v>
      </c>
      <c r="AI157" s="105">
        <f t="shared" si="4"/>
        <v>744</v>
      </c>
    </row>
    <row r="158" spans="1:35" ht="18.75" x14ac:dyDescent="0.2">
      <c r="A158" s="235"/>
      <c r="B158" s="280" t="s">
        <v>384</v>
      </c>
      <c r="C158" s="234" t="s">
        <v>229</v>
      </c>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5">
        <f t="shared" si="4"/>
        <v>0</v>
      </c>
    </row>
    <row r="159" spans="1:35" ht="18.75" x14ac:dyDescent="0.2">
      <c r="A159" s="235"/>
      <c r="B159" s="280" t="s">
        <v>385</v>
      </c>
      <c r="C159" s="234" t="s">
        <v>229</v>
      </c>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5">
        <f t="shared" si="4"/>
        <v>0</v>
      </c>
    </row>
    <row r="160" spans="1:35" ht="18.75" x14ac:dyDescent="0.2">
      <c r="A160" s="235">
        <v>6</v>
      </c>
      <c r="B160" s="280" t="s">
        <v>386</v>
      </c>
      <c r="C160" s="234" t="s">
        <v>229</v>
      </c>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5">
        <f t="shared" si="4"/>
        <v>0</v>
      </c>
    </row>
    <row r="161" spans="1:35" ht="18.75" x14ac:dyDescent="0.2">
      <c r="A161" s="235">
        <v>7</v>
      </c>
      <c r="B161" s="236" t="s">
        <v>387</v>
      </c>
      <c r="C161" s="234" t="s">
        <v>363</v>
      </c>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5">
        <f>SUM(D161:AH161)</f>
        <v>0</v>
      </c>
    </row>
    <row r="162" spans="1:35" ht="18.75" x14ac:dyDescent="0.2">
      <c r="A162" s="235">
        <v>8</v>
      </c>
      <c r="B162" s="236" t="s">
        <v>388</v>
      </c>
      <c r="C162" s="234" t="s">
        <v>363</v>
      </c>
      <c r="D162" s="106"/>
      <c r="E162" s="106">
        <v>10</v>
      </c>
      <c r="F162" s="106">
        <v>24</v>
      </c>
      <c r="G162" s="106">
        <v>24</v>
      </c>
      <c r="H162" s="106">
        <v>24</v>
      </c>
      <c r="I162" s="106">
        <v>24</v>
      </c>
      <c r="J162" s="106">
        <v>24</v>
      </c>
      <c r="K162" s="106">
        <v>24</v>
      </c>
      <c r="L162" s="106">
        <v>12</v>
      </c>
      <c r="M162" s="106"/>
      <c r="N162" s="106"/>
      <c r="O162" s="208"/>
      <c r="P162" s="106"/>
      <c r="Q162" s="106"/>
      <c r="R162" s="106"/>
      <c r="S162" s="106"/>
      <c r="T162" s="106"/>
      <c r="U162" s="106"/>
      <c r="V162" s="106"/>
      <c r="W162" s="106"/>
      <c r="X162" s="106"/>
      <c r="Y162" s="106"/>
      <c r="Z162" s="106"/>
      <c r="AA162" s="106"/>
      <c r="AB162" s="106"/>
      <c r="AC162" s="106"/>
      <c r="AD162" s="106"/>
      <c r="AE162" s="106"/>
      <c r="AF162" s="106"/>
      <c r="AG162" s="106"/>
      <c r="AH162" s="106"/>
      <c r="AI162" s="105">
        <f>SUM(D162:AH162)</f>
        <v>166</v>
      </c>
    </row>
    <row r="163" spans="1:35" x14ac:dyDescent="0.2">
      <c r="P163" s="111"/>
      <c r="AI163"/>
    </row>
    <row r="164" spans="1:35" x14ac:dyDescent="0.2">
      <c r="P164" s="111"/>
      <c r="AI164"/>
    </row>
    <row r="165" spans="1:35" x14ac:dyDescent="0.2">
      <c r="P165" s="111"/>
      <c r="AI165"/>
    </row>
    <row r="166" spans="1:35" x14ac:dyDescent="0.2">
      <c r="P166" s="111"/>
      <c r="AI166"/>
    </row>
    <row r="167" spans="1:35" x14ac:dyDescent="0.2">
      <c r="P167" s="111"/>
      <c r="AI167"/>
    </row>
    <row r="168" spans="1:35" x14ac:dyDescent="0.2">
      <c r="P168" s="111"/>
      <c r="AI168"/>
    </row>
    <row r="169" spans="1:35" x14ac:dyDescent="0.2">
      <c r="P169" s="111"/>
      <c r="AI169"/>
    </row>
    <row r="170" spans="1:35" x14ac:dyDescent="0.2">
      <c r="P170" s="111"/>
      <c r="AI170"/>
    </row>
    <row r="171" spans="1:35" x14ac:dyDescent="0.2">
      <c r="P171" s="111"/>
      <c r="AI171"/>
    </row>
    <row r="172" spans="1:35" x14ac:dyDescent="0.2">
      <c r="P172" s="111"/>
      <c r="AI172"/>
    </row>
    <row r="173" spans="1:35" x14ac:dyDescent="0.2">
      <c r="P173" s="111"/>
      <c r="AI173"/>
    </row>
    <row r="174" spans="1:35" x14ac:dyDescent="0.2">
      <c r="P174" s="111"/>
      <c r="AI174"/>
    </row>
    <row r="175" spans="1:35" x14ac:dyDescent="0.2">
      <c r="P175" s="111"/>
      <c r="AI175"/>
    </row>
    <row r="176" spans="1:35" x14ac:dyDescent="0.2">
      <c r="P176" s="111"/>
      <c r="AI176"/>
    </row>
    <row r="177" spans="16:35" x14ac:dyDescent="0.2">
      <c r="P177" s="111"/>
      <c r="AI177"/>
    </row>
    <row r="178" spans="16:35" x14ac:dyDescent="0.2">
      <c r="P178" s="111"/>
      <c r="AI178"/>
    </row>
    <row r="179" spans="16:35" x14ac:dyDescent="0.2">
      <c r="P179" s="111"/>
      <c r="AI179"/>
    </row>
    <row r="180" spans="16:35" x14ac:dyDescent="0.2">
      <c r="P180" s="111"/>
      <c r="AI180"/>
    </row>
    <row r="181" spans="16:35" x14ac:dyDescent="0.2">
      <c r="P181" s="111"/>
      <c r="AI181"/>
    </row>
    <row r="182" spans="16:35" x14ac:dyDescent="0.2">
      <c r="P182" s="111"/>
      <c r="AI182"/>
    </row>
    <row r="183" spans="16:35" x14ac:dyDescent="0.2">
      <c r="P183" s="111"/>
      <c r="AI183"/>
    </row>
    <row r="184" spans="16:35" x14ac:dyDescent="0.2">
      <c r="P184" s="111"/>
      <c r="AI184"/>
    </row>
    <row r="185" spans="16:35" x14ac:dyDescent="0.2">
      <c r="P185" s="111"/>
      <c r="AI185"/>
    </row>
    <row r="186" spans="16:35" x14ac:dyDescent="0.2">
      <c r="P186" s="111"/>
      <c r="AI186"/>
    </row>
    <row r="187" spans="16:35" x14ac:dyDescent="0.2">
      <c r="P187" s="111"/>
      <c r="AI187"/>
    </row>
    <row r="188" spans="16:35" x14ac:dyDescent="0.2">
      <c r="P188" s="111"/>
      <c r="AI188"/>
    </row>
    <row r="189" spans="16:35" x14ac:dyDescent="0.2">
      <c r="P189" s="111"/>
      <c r="AI189"/>
    </row>
    <row r="190" spans="16:35" x14ac:dyDescent="0.2">
      <c r="P190" s="111"/>
      <c r="AI190"/>
    </row>
    <row r="191" spans="16:35" x14ac:dyDescent="0.2">
      <c r="P191" s="111"/>
      <c r="AI191"/>
    </row>
    <row r="192" spans="16:35" x14ac:dyDescent="0.2">
      <c r="P192" s="111"/>
      <c r="AI192"/>
    </row>
    <row r="193" spans="16:35" x14ac:dyDescent="0.2">
      <c r="P193" s="111"/>
      <c r="AI193"/>
    </row>
    <row r="194" spans="16:35" x14ac:dyDescent="0.2">
      <c r="P194" s="111"/>
      <c r="AI194"/>
    </row>
    <row r="195" spans="16:35" x14ac:dyDescent="0.2">
      <c r="P195" s="111"/>
      <c r="AI195"/>
    </row>
    <row r="196" spans="16:35" x14ac:dyDescent="0.2">
      <c r="P196" s="111"/>
      <c r="AI196"/>
    </row>
    <row r="197" spans="16:35" x14ac:dyDescent="0.2">
      <c r="P197" s="111"/>
      <c r="AI197"/>
    </row>
    <row r="198" spans="16:35" x14ac:dyDescent="0.2">
      <c r="P198" s="111"/>
      <c r="AI198"/>
    </row>
    <row r="199" spans="16:35" x14ac:dyDescent="0.2">
      <c r="P199" s="111"/>
      <c r="AI199"/>
    </row>
    <row r="200" spans="16:35" x14ac:dyDescent="0.2">
      <c r="P200" s="111"/>
      <c r="AI200"/>
    </row>
    <row r="201" spans="16:35" x14ac:dyDescent="0.2">
      <c r="P201" s="111"/>
      <c r="AI201"/>
    </row>
    <row r="202" spans="16:35" x14ac:dyDescent="0.2">
      <c r="P202" s="111"/>
      <c r="AI202"/>
    </row>
    <row r="203" spans="16:35" x14ac:dyDescent="0.2">
      <c r="P203" s="111"/>
      <c r="AI203"/>
    </row>
    <row r="204" spans="16:35" x14ac:dyDescent="0.2">
      <c r="P204" s="111"/>
      <c r="AI204"/>
    </row>
    <row r="205" spans="16:35" x14ac:dyDescent="0.2">
      <c r="P205" s="111"/>
      <c r="AI205"/>
    </row>
    <row r="206" spans="16:35" x14ac:dyDescent="0.2">
      <c r="P206" s="111"/>
      <c r="AI206"/>
    </row>
    <row r="207" spans="16:35" x14ac:dyDescent="0.2">
      <c r="P207" s="111"/>
      <c r="AI207"/>
    </row>
    <row r="208" spans="16:35" x14ac:dyDescent="0.2">
      <c r="P208" s="111"/>
      <c r="AI208"/>
    </row>
    <row r="209" spans="4:35" x14ac:dyDescent="0.2">
      <c r="P209" s="111"/>
      <c r="AI209"/>
    </row>
    <row r="210" spans="4:35" x14ac:dyDescent="0.2">
      <c r="P210" s="111"/>
      <c r="AI210"/>
    </row>
    <row r="211" spans="4:35" x14ac:dyDescent="0.2">
      <c r="P211" s="111"/>
      <c r="AI211"/>
    </row>
    <row r="212" spans="4:35" x14ac:dyDescent="0.2">
      <c r="P212" s="111"/>
      <c r="AI212"/>
    </row>
    <row r="213" spans="4:35" x14ac:dyDescent="0.2">
      <c r="P213" s="111"/>
      <c r="AI213"/>
    </row>
    <row r="214" spans="4:35" x14ac:dyDescent="0.2">
      <c r="P214" s="111"/>
      <c r="AI214"/>
    </row>
    <row r="216" spans="4:35" x14ac:dyDescent="0.2">
      <c r="D216" s="31">
        <v>24</v>
      </c>
    </row>
  </sheetData>
  <mergeCells count="3">
    <mergeCell ref="A1:B1"/>
    <mergeCell ref="D1:AH1"/>
    <mergeCell ref="D149:AI15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2:X108"/>
  <sheetViews>
    <sheetView topLeftCell="D1" zoomScaleNormal="100" workbookViewId="0">
      <selection activeCell="I25" sqref="I25"/>
    </sheetView>
  </sheetViews>
  <sheetFormatPr defaultColWidth="9.140625" defaultRowHeight="12.75" x14ac:dyDescent="0.2"/>
  <cols>
    <col min="1" max="16384" width="9.140625" style="29"/>
  </cols>
  <sheetData>
    <row r="2" spans="2:21" ht="21" customHeight="1" x14ac:dyDescent="0.2">
      <c r="B2" s="529" t="s">
        <v>389</v>
      </c>
      <c r="C2" s="529"/>
      <c r="D2" s="529"/>
      <c r="E2" s="529"/>
      <c r="F2" s="529"/>
      <c r="G2" s="529"/>
      <c r="H2" s="529"/>
      <c r="I2" s="529"/>
      <c r="J2" s="529"/>
      <c r="K2" s="529"/>
      <c r="L2" s="529"/>
      <c r="M2" s="529"/>
      <c r="N2" s="529"/>
      <c r="O2" s="529"/>
      <c r="P2" s="529"/>
      <c r="Q2" s="529"/>
      <c r="R2" s="529"/>
      <c r="S2" s="529"/>
      <c r="T2" s="529"/>
      <c r="U2" s="529"/>
    </row>
    <row r="48" ht="21" customHeight="1" x14ac:dyDescent="0.2"/>
    <row r="50" spans="2:21" ht="18" x14ac:dyDescent="0.2">
      <c r="B50" s="529" t="s">
        <v>390</v>
      </c>
      <c r="C50" s="529"/>
      <c r="D50" s="529"/>
      <c r="E50" s="529"/>
      <c r="F50" s="529"/>
      <c r="G50" s="529"/>
      <c r="H50" s="529"/>
      <c r="I50" s="529"/>
      <c r="J50" s="529"/>
      <c r="K50" s="529"/>
      <c r="L50" s="529"/>
      <c r="M50" s="529"/>
      <c r="N50" s="529"/>
      <c r="O50" s="529"/>
      <c r="P50" s="529"/>
      <c r="Q50" s="529"/>
      <c r="R50" s="529"/>
      <c r="S50" s="529"/>
      <c r="T50" s="529"/>
      <c r="U50" s="529"/>
    </row>
    <row r="93" spans="2:21" ht="21" customHeight="1" x14ac:dyDescent="0.2"/>
    <row r="94" spans="2:21" ht="18" x14ac:dyDescent="0.2">
      <c r="B94" s="530"/>
      <c r="C94" s="530"/>
      <c r="D94" s="530"/>
      <c r="E94" s="530"/>
      <c r="F94" s="530"/>
      <c r="G94" s="530"/>
      <c r="H94" s="530"/>
      <c r="I94" s="530"/>
      <c r="J94" s="530"/>
      <c r="K94" s="530"/>
      <c r="L94" s="530"/>
      <c r="M94" s="530"/>
      <c r="N94" s="530"/>
      <c r="O94" s="530"/>
      <c r="P94" s="530"/>
      <c r="Q94" s="530"/>
      <c r="R94" s="530"/>
      <c r="S94" s="530"/>
      <c r="T94" s="530"/>
      <c r="U94" s="530"/>
    </row>
    <row r="105" spans="5:24" ht="18" x14ac:dyDescent="0.2">
      <c r="E105" s="529" t="s">
        <v>391</v>
      </c>
      <c r="F105" s="529"/>
      <c r="G105" s="529"/>
      <c r="H105" s="529"/>
      <c r="I105" s="529"/>
      <c r="J105" s="529"/>
      <c r="K105" s="529"/>
      <c r="L105" s="529"/>
      <c r="M105" s="529"/>
      <c r="N105" s="529"/>
      <c r="O105" s="529"/>
      <c r="P105" s="529"/>
      <c r="Q105" s="529"/>
      <c r="R105" s="529"/>
      <c r="S105" s="529"/>
      <c r="T105" s="529"/>
      <c r="U105" s="529"/>
      <c r="V105" s="529"/>
      <c r="W105" s="529"/>
      <c r="X105" s="529"/>
    </row>
    <row r="108" spans="5:24" x14ac:dyDescent="0.2">
      <c r="I108" s="99"/>
    </row>
  </sheetData>
  <mergeCells count="4">
    <mergeCell ref="B2:U2"/>
    <mergeCell ref="B50:U50"/>
    <mergeCell ref="B94:U94"/>
    <mergeCell ref="E105:X105"/>
  </mergeCells>
  <phoneticPr fontId="24" type="noConversion"/>
  <printOptions horizontalCentered="1" verticalCentered="1"/>
  <pageMargins left="0.25" right="0.25" top="0.25" bottom="0.25" header="0.25" footer="0.25"/>
  <pageSetup scale="43" orientation="portrait"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F659F9DE55821499A113E757D649075" ma:contentTypeVersion="11" ma:contentTypeDescription="Create a new document." ma:contentTypeScope="" ma:versionID="c0890b4e2f32cce2d1da8ac3d50d21a7">
  <xsd:schema xmlns:xsd="http://www.w3.org/2001/XMLSchema" xmlns:xs="http://www.w3.org/2001/XMLSchema" xmlns:p="http://schemas.microsoft.com/office/2006/metadata/properties" xmlns:ns3="0d96cb44-41ba-42be-948d-6bc05d514bf8" xmlns:ns4="53a6ba30-a323-406b-a0d3-ffdc4a13edfc" targetNamespace="http://schemas.microsoft.com/office/2006/metadata/properties" ma:root="true" ma:fieldsID="aa6736283ee6d91d5e538a6b1f58ba31" ns3:_="" ns4:_="">
    <xsd:import namespace="0d96cb44-41ba-42be-948d-6bc05d514bf8"/>
    <xsd:import namespace="53a6ba30-a323-406b-a0d3-ffdc4a13edf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96cb44-41ba-42be-948d-6bc05d514b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a6ba30-a323-406b-a0d3-ffdc4a13edf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96BC5-5FFF-4B8D-889B-9586FB4658D9}">
  <ds:schemaRefs>
    <ds:schemaRef ds:uri="53a6ba30-a323-406b-a0d3-ffdc4a13edf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d96cb44-41ba-42be-948d-6bc05d514bf8"/>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CD33B72-3275-4518-8697-47BC9ADE9F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96cb44-41ba-42be-948d-6bc05d514bf8"/>
    <ds:schemaRef ds:uri="53a6ba30-a323-406b-a0d3-ffdc4a13e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29E2EA-EF9F-4CDB-B4B4-182F08F6C6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STATION</vt:lpstr>
      <vt:lpstr>UNITS</vt:lpstr>
      <vt:lpstr>Totalizer</vt:lpstr>
      <vt:lpstr>BOILERS</vt:lpstr>
      <vt:lpstr>Variance</vt:lpstr>
      <vt:lpstr>EQUIPMENT outage</vt:lpstr>
      <vt:lpstr>ASSET outage</vt:lpstr>
      <vt:lpstr>Equipment Status</vt:lpstr>
      <vt:lpstr>GRAPHS</vt:lpstr>
      <vt:lpstr>KPI tracker</vt:lpstr>
      <vt:lpstr>Remarks</vt:lpstr>
      <vt:lpstr>KPI analysis</vt:lpstr>
      <vt:lpstr>Best Achievments</vt:lpstr>
      <vt:lpstr>BOILERS!Print_Titles</vt:lpstr>
      <vt:lpstr>STATION!Print_Titles</vt:lpstr>
      <vt:lpstr>UNITS!Print_Titles</vt:lpstr>
    </vt:vector>
  </TitlesOfParts>
  <Manager/>
  <Company>The Tata Power Company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PxxxEmpnumCxxxx</dc:creator>
  <cp:keywords/>
  <dc:description/>
  <cp:lastModifiedBy>Ray Subha</cp:lastModifiedBy>
  <cp:revision/>
  <dcterms:created xsi:type="dcterms:W3CDTF">2008-11-01T17:13:50Z</dcterms:created>
  <dcterms:modified xsi:type="dcterms:W3CDTF">2024-09-28T02:01:34Z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b8ed580-7b07-4de3-bcfc-baf51b37f0d5_Enabled">
    <vt:lpwstr>True</vt:lpwstr>
  </property>
  <property fmtid="{D5CDD505-2E9C-101B-9397-08002B2CF9AE}" pid="3" name="MSIP_Label_9b8ed580-7b07-4de3-bcfc-baf51b37f0d5_SiteId">
    <vt:lpwstr>04ea39e3-ac5b-4971-937c-8344c97a4509</vt:lpwstr>
  </property>
  <property fmtid="{D5CDD505-2E9C-101B-9397-08002B2CF9AE}" pid="4" name="MSIP_Label_9b8ed580-7b07-4de3-bcfc-baf51b37f0d5_Owner">
    <vt:lpwstr>amitsadhukhan@tatapower.com</vt:lpwstr>
  </property>
  <property fmtid="{D5CDD505-2E9C-101B-9397-08002B2CF9AE}" pid="5" name="MSIP_Label_9b8ed580-7b07-4de3-bcfc-baf51b37f0d5_SetDate">
    <vt:lpwstr>2019-02-15T18:04:24.7963772Z</vt:lpwstr>
  </property>
  <property fmtid="{D5CDD505-2E9C-101B-9397-08002B2CF9AE}" pid="6" name="MSIP_Label_9b8ed580-7b07-4de3-bcfc-baf51b37f0d5_Name">
    <vt:lpwstr>Public</vt:lpwstr>
  </property>
  <property fmtid="{D5CDD505-2E9C-101B-9397-08002B2CF9AE}" pid="7" name="MSIP_Label_9b8ed580-7b07-4de3-bcfc-baf51b37f0d5_Application">
    <vt:lpwstr>Microsoft Azure Information Protection</vt:lpwstr>
  </property>
  <property fmtid="{D5CDD505-2E9C-101B-9397-08002B2CF9AE}" pid="8" name="MSIP_Label_9b8ed580-7b07-4de3-bcfc-baf51b37f0d5_Extended_MSFT_Method">
    <vt:lpwstr>Automatic</vt:lpwstr>
  </property>
  <property fmtid="{D5CDD505-2E9C-101B-9397-08002B2CF9AE}" pid="9" name="Sensitivity">
    <vt:lpwstr>Public</vt:lpwstr>
  </property>
  <property fmtid="{D5CDD505-2E9C-101B-9397-08002B2CF9AE}" pid="10" name="ContentTypeId">
    <vt:lpwstr>0x0101003F659F9DE55821499A113E757D649075</vt:lpwstr>
  </property>
</Properties>
</file>