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plab.chakraborty\Desktop\"/>
    </mc:Choice>
  </mc:AlternateContent>
  <xr:revisionPtr revIDLastSave="0" documentId="13_ncr:1_{FF89CCB7-EB73-4314-875C-149482E95F78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STATION" sheetId="12" r:id="rId1"/>
    <sheet name="UNITS" sheetId="10" r:id="rId2"/>
    <sheet name="Totalizer" sheetId="16" r:id="rId3"/>
    <sheet name="BOILERS" sheetId="1" r:id="rId4"/>
    <sheet name="GRAPHS" sheetId="4" r:id="rId5"/>
  </sheets>
  <externalReferences>
    <externalReference r:id="rId6"/>
    <externalReference r:id="rId7"/>
  </externalReferences>
  <definedNames>
    <definedName name="_xlnm._FilterDatabase" localSheetId="1" hidden="1">UNITS!$A$1:$AH$29</definedName>
    <definedName name="_xlnm.Print_Titles" localSheetId="3">BOILERS!$A:$B</definedName>
    <definedName name="_xlnm.Print_Titles" localSheetId="0">STATION!$A:$A</definedName>
    <definedName name="_xlnm.Print_Titles" localSheetId="1">UNITS!$A:$A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" i="16" l="1"/>
  <c r="N64" i="16"/>
  <c r="N54" i="16"/>
  <c r="N55" i="16"/>
  <c r="N56" i="16"/>
  <c r="N58" i="16"/>
  <c r="N59" i="16"/>
  <c r="N60" i="16"/>
  <c r="N61" i="16"/>
  <c r="N62" i="16"/>
  <c r="N63" i="16"/>
  <c r="N74" i="16" s="1"/>
  <c r="N65" i="16"/>
  <c r="N66" i="16"/>
  <c r="N67" i="16"/>
  <c r="N68" i="16"/>
  <c r="N69" i="16"/>
  <c r="N70" i="16"/>
  <c r="N71" i="16" s="1"/>
  <c r="N80" i="16"/>
  <c r="N85" i="16"/>
  <c r="N57" i="16" l="1"/>
  <c r="N83" i="16" s="1"/>
  <c r="N75" i="16"/>
  <c r="N84" i="16" l="1"/>
  <c r="N78" i="16"/>
  <c r="N79" i="16"/>
  <c r="N77" i="16" s="1"/>
  <c r="M49" i="1"/>
  <c r="M46" i="1"/>
  <c r="M43" i="1"/>
  <c r="M40" i="1"/>
  <c r="M37" i="1"/>
  <c r="M34" i="1"/>
  <c r="M31" i="1"/>
  <c r="M28" i="1"/>
  <c r="M25" i="1"/>
  <c r="M22" i="1"/>
  <c r="M19" i="1"/>
  <c r="M16" i="1"/>
  <c r="M13" i="1"/>
  <c r="M10" i="1"/>
  <c r="M7" i="1"/>
  <c r="M4" i="1"/>
  <c r="M29" i="16"/>
  <c r="M30" i="16"/>
  <c r="M31" i="16"/>
  <c r="M32" i="16"/>
  <c r="M39" i="16" s="1"/>
  <c r="M33" i="16"/>
  <c r="M34" i="16"/>
  <c r="M35" i="16"/>
  <c r="M36" i="16"/>
  <c r="M37" i="16"/>
  <c r="M38" i="16"/>
  <c r="N81" i="16" l="1"/>
  <c r="N76" i="16"/>
  <c r="N72" i="16"/>
  <c r="N73" i="16"/>
  <c r="L79" i="10"/>
  <c r="L80" i="10"/>
  <c r="L81" i="10" s="1"/>
  <c r="L82" i="10"/>
  <c r="L83" i="10" s="1"/>
  <c r="L68" i="10"/>
  <c r="L69" i="10"/>
  <c r="L72" i="10"/>
  <c r="L73" i="10" s="1"/>
  <c r="L62" i="10"/>
  <c r="L63" i="10" s="1"/>
  <c r="L70" i="10" s="1"/>
  <c r="L66" i="10"/>
  <c r="L52" i="10"/>
  <c r="L53" i="10"/>
  <c r="L54" i="10"/>
  <c r="L55" i="10"/>
  <c r="L56" i="10" s="1"/>
  <c r="L41" i="10"/>
  <c r="L45" i="10"/>
  <c r="L46" i="10" s="1"/>
  <c r="L35" i="10"/>
  <c r="L42" i="10" s="1"/>
  <c r="L39" i="10"/>
  <c r="L25" i="10"/>
  <c r="L26" i="10"/>
  <c r="L27" i="10" s="1"/>
  <c r="L28" i="10"/>
  <c r="L29" i="10" s="1"/>
  <c r="L14" i="10"/>
  <c r="L18" i="10"/>
  <c r="L19" i="10" s="1"/>
  <c r="L8" i="10"/>
  <c r="L15" i="10" s="1"/>
  <c r="L9" i="10"/>
  <c r="L16" i="10" s="1"/>
  <c r="L12" i="10"/>
  <c r="L65" i="12"/>
  <c r="L66" i="12" s="1"/>
  <c r="L69" i="12"/>
  <c r="L70" i="12" s="1"/>
  <c r="L57" i="12"/>
  <c r="L49" i="12"/>
  <c r="L50" i="12" s="1"/>
  <c r="L46" i="12"/>
  <c r="L47" i="12" s="1"/>
  <c r="L41" i="12"/>
  <c r="L42" i="12" s="1"/>
  <c r="L43" i="12"/>
  <c r="L44" i="12"/>
  <c r="L31" i="12"/>
  <c r="L22" i="12"/>
  <c r="L5" i="12"/>
  <c r="L9" i="12" s="1"/>
  <c r="L6" i="12"/>
  <c r="L23" i="12" s="1"/>
  <c r="M54" i="16"/>
  <c r="M55" i="16"/>
  <c r="M80" i="16" s="1"/>
  <c r="M56" i="16"/>
  <c r="M58" i="16"/>
  <c r="M59" i="16"/>
  <c r="M70" i="16" s="1"/>
  <c r="M60" i="16"/>
  <c r="M61" i="16"/>
  <c r="M62" i="16"/>
  <c r="M63" i="16"/>
  <c r="M64" i="16"/>
  <c r="M65" i="16"/>
  <c r="M66" i="16"/>
  <c r="M67" i="16"/>
  <c r="M68" i="16"/>
  <c r="M69" i="16"/>
  <c r="M74" i="16"/>
  <c r="M75" i="16"/>
  <c r="M85" i="16"/>
  <c r="L36" i="10" l="1"/>
  <c r="L43" i="10" s="1"/>
  <c r="L21" i="12"/>
  <c r="L15" i="12"/>
  <c r="L58" i="12"/>
  <c r="L7" i="12"/>
  <c r="L32" i="12"/>
  <c r="L33" i="12" s="1"/>
  <c r="L51" i="12"/>
  <c r="M71" i="16"/>
  <c r="M57" i="16"/>
  <c r="M82" i="16" s="1"/>
  <c r="L12" i="12" l="1"/>
  <c r="L24" i="12"/>
  <c r="L8" i="12"/>
  <c r="L16" i="12"/>
  <c r="M78" i="16"/>
  <c r="M83" i="16"/>
  <c r="M72" i="16"/>
  <c r="M84" i="16"/>
  <c r="L25" i="12" l="1"/>
  <c r="L17" i="12"/>
  <c r="M79" i="16"/>
  <c r="M77" i="16" s="1"/>
  <c r="M81" i="16"/>
  <c r="M76" i="16"/>
  <c r="M73" i="16" l="1"/>
  <c r="L49" i="1" l="1"/>
  <c r="L46" i="1"/>
  <c r="L43" i="1"/>
  <c r="L40" i="1"/>
  <c r="L37" i="1"/>
  <c r="L34" i="1"/>
  <c r="L31" i="1"/>
  <c r="L28" i="1"/>
  <c r="L25" i="1"/>
  <c r="L22" i="1"/>
  <c r="L19" i="1"/>
  <c r="L16" i="1"/>
  <c r="L13" i="1"/>
  <c r="L10" i="1"/>
  <c r="L7" i="1"/>
  <c r="L4" i="1"/>
  <c r="L29" i="16"/>
  <c r="L30" i="16"/>
  <c r="L31" i="16"/>
  <c r="L32" i="16"/>
  <c r="L33" i="16"/>
  <c r="L34" i="16"/>
  <c r="L35" i="16"/>
  <c r="L36" i="16"/>
  <c r="L37" i="16"/>
  <c r="L38" i="16"/>
  <c r="L39" i="16" s="1"/>
  <c r="K79" i="10" l="1"/>
  <c r="K80" i="10" s="1"/>
  <c r="K81" i="10" s="1"/>
  <c r="K82" i="10"/>
  <c r="K83" i="10" s="1"/>
  <c r="K75" i="10"/>
  <c r="K76" i="10" s="1"/>
  <c r="K77" i="10" s="1"/>
  <c r="K68" i="10"/>
  <c r="K72" i="10"/>
  <c r="K73" i="10" s="1"/>
  <c r="K62" i="10"/>
  <c r="K63" i="10" s="1"/>
  <c r="K70" i="10" s="1"/>
  <c r="K66" i="10"/>
  <c r="K52" i="10"/>
  <c r="K53" i="10"/>
  <c r="K54" i="10"/>
  <c r="K55" i="10"/>
  <c r="K56" i="10" s="1"/>
  <c r="K48" i="10"/>
  <c r="K49" i="10"/>
  <c r="K50" i="10"/>
  <c r="K41" i="10"/>
  <c r="K45" i="10"/>
  <c r="K46" i="10" s="1"/>
  <c r="K35" i="10"/>
  <c r="K36" i="10" s="1"/>
  <c r="K43" i="10" s="1"/>
  <c r="K39" i="10"/>
  <c r="K25" i="10"/>
  <c r="K26" i="10"/>
  <c r="K27" i="10" s="1"/>
  <c r="K28" i="10"/>
  <c r="K29" i="10" s="1"/>
  <c r="K21" i="10"/>
  <c r="K22" i="10" s="1"/>
  <c r="K23" i="10" s="1"/>
  <c r="K14" i="10"/>
  <c r="K18" i="10"/>
  <c r="K19" i="10" s="1"/>
  <c r="K8" i="10"/>
  <c r="K9" i="10" s="1"/>
  <c r="K16" i="10" s="1"/>
  <c r="K12" i="10"/>
  <c r="K65" i="12"/>
  <c r="K66" i="12"/>
  <c r="K69" i="12"/>
  <c r="K70" i="12"/>
  <c r="K57" i="12"/>
  <c r="K49" i="12"/>
  <c r="K50" i="12" s="1"/>
  <c r="K46" i="12"/>
  <c r="K47" i="12" s="1"/>
  <c r="K41" i="12"/>
  <c r="K42" i="12" s="1"/>
  <c r="K43" i="12"/>
  <c r="K44" i="12" s="1"/>
  <c r="K35" i="12"/>
  <c r="K36" i="12" s="1"/>
  <c r="K37" i="12" s="1"/>
  <c r="K31" i="12"/>
  <c r="K27" i="12" s="1"/>
  <c r="K28" i="12" s="1"/>
  <c r="K29" i="12" s="1"/>
  <c r="K32" i="12"/>
  <c r="K33" i="12" s="1"/>
  <c r="K22" i="12"/>
  <c r="K5" i="12"/>
  <c r="K7" i="12" s="1"/>
  <c r="K6" i="12"/>
  <c r="K23" i="12" s="1"/>
  <c r="L54" i="16"/>
  <c r="L55" i="16"/>
  <c r="L56" i="16"/>
  <c r="L57" i="16"/>
  <c r="L58" i="16"/>
  <c r="L59" i="16"/>
  <c r="L60" i="16"/>
  <c r="L61" i="16"/>
  <c r="L62" i="16"/>
  <c r="L63" i="16"/>
  <c r="L74" i="16" s="1"/>
  <c r="L64" i="16"/>
  <c r="L65" i="16"/>
  <c r="L66" i="16"/>
  <c r="L67" i="16"/>
  <c r="L82" i="16" s="1"/>
  <c r="L68" i="16"/>
  <c r="L69" i="16"/>
  <c r="L70" i="16"/>
  <c r="L71" i="16" s="1"/>
  <c r="L80" i="16"/>
  <c r="L85" i="16"/>
  <c r="K69" i="10" l="1"/>
  <c r="K42" i="10"/>
  <c r="K12" i="12"/>
  <c r="K8" i="12"/>
  <c r="K17" i="12" s="1"/>
  <c r="K16" i="12"/>
  <c r="K15" i="10"/>
  <c r="K9" i="12"/>
  <c r="K15" i="12"/>
  <c r="K21" i="12"/>
  <c r="K58" i="12"/>
  <c r="K24" i="12"/>
  <c r="K51" i="12"/>
  <c r="L75" i="16"/>
  <c r="L78" i="16"/>
  <c r="L81" i="16" s="1"/>
  <c r="L83" i="16"/>
  <c r="L84" i="16"/>
  <c r="K25" i="12" l="1"/>
  <c r="L73" i="16"/>
  <c r="L72" i="16"/>
  <c r="L76" i="16"/>
  <c r="L79" i="16"/>
  <c r="L77" i="16"/>
  <c r="J69" i="12" l="1"/>
  <c r="J70" i="12" s="1"/>
  <c r="J65" i="12"/>
  <c r="J66" i="12" s="1"/>
  <c r="J57" i="12"/>
  <c r="J58" i="12" s="1"/>
  <c r="J49" i="12"/>
  <c r="J50" i="12" s="1"/>
  <c r="J41" i="12"/>
  <c r="J42" i="12" s="1"/>
  <c r="J43" i="12"/>
  <c r="J44" i="12" s="1"/>
  <c r="J46" i="12"/>
  <c r="J47" i="12" s="1"/>
  <c r="J35" i="12"/>
  <c r="J36" i="12"/>
  <c r="J37" i="12" s="1"/>
  <c r="J31" i="12"/>
  <c r="J27" i="12" s="1"/>
  <c r="J28" i="12" s="1"/>
  <c r="J29" i="12" s="1"/>
  <c r="J21" i="12"/>
  <c r="J22" i="12"/>
  <c r="J24" i="12" s="1"/>
  <c r="J23" i="12"/>
  <c r="J15" i="12"/>
  <c r="J16" i="12"/>
  <c r="J17" i="12"/>
  <c r="J12" i="12"/>
  <c r="J5" i="12"/>
  <c r="J7" i="12" s="1"/>
  <c r="J8" i="12" s="1"/>
  <c r="J6" i="12"/>
  <c r="J79" i="10"/>
  <c r="J80" i="10"/>
  <c r="J81" i="10" s="1"/>
  <c r="J82" i="10"/>
  <c r="J83" i="10" s="1"/>
  <c r="J75" i="10"/>
  <c r="J76" i="10" s="1"/>
  <c r="J77" i="10" s="1"/>
  <c r="J68" i="10"/>
  <c r="J69" i="10"/>
  <c r="J70" i="10"/>
  <c r="J72" i="10"/>
  <c r="J73" i="10" s="1"/>
  <c r="J62" i="10"/>
  <c r="J63" i="10" s="1"/>
  <c r="J66" i="10"/>
  <c r="J52" i="10"/>
  <c r="J53" i="10"/>
  <c r="J54" i="10" s="1"/>
  <c r="J55" i="10"/>
  <c r="J56" i="10"/>
  <c r="J48" i="10"/>
  <c r="J49" i="10" s="1"/>
  <c r="J50" i="10" s="1"/>
  <c r="J41" i="10"/>
  <c r="J42" i="10"/>
  <c r="J43" i="10"/>
  <c r="J45" i="10"/>
  <c r="J46" i="10" s="1"/>
  <c r="J35" i="10"/>
  <c r="J36" i="10" s="1"/>
  <c r="J39" i="10"/>
  <c r="K49" i="1"/>
  <c r="K46" i="1"/>
  <c r="K43" i="1"/>
  <c r="K40" i="1"/>
  <c r="K37" i="1"/>
  <c r="K34" i="1"/>
  <c r="K31" i="1"/>
  <c r="K28" i="1"/>
  <c r="K25" i="1"/>
  <c r="K22" i="1"/>
  <c r="K19" i="1"/>
  <c r="K16" i="1"/>
  <c r="K13" i="1"/>
  <c r="K10" i="1"/>
  <c r="K7" i="1"/>
  <c r="K4" i="1"/>
  <c r="J25" i="10"/>
  <c r="J26" i="10" s="1"/>
  <c r="J27" i="10" s="1"/>
  <c r="J28" i="10"/>
  <c r="J29" i="10" s="1"/>
  <c r="J14" i="10"/>
  <c r="J15" i="10"/>
  <c r="J16" i="10"/>
  <c r="J18" i="10"/>
  <c r="J19" i="10" s="1"/>
  <c r="J8" i="10"/>
  <c r="J9" i="10" s="1"/>
  <c r="J12" i="10"/>
  <c r="K29" i="16"/>
  <c r="K30" i="16"/>
  <c r="K31" i="16"/>
  <c r="K32" i="16"/>
  <c r="K33" i="16"/>
  <c r="K34" i="16"/>
  <c r="K35" i="16"/>
  <c r="K36" i="16"/>
  <c r="K37" i="16"/>
  <c r="K38" i="16"/>
  <c r="K39" i="16"/>
  <c r="J51" i="12" l="1"/>
  <c r="J32" i="12"/>
  <c r="J33" i="12" s="1"/>
  <c r="J25" i="12"/>
  <c r="J9" i="12"/>
  <c r="K54" i="16" l="1"/>
  <c r="K55" i="16"/>
  <c r="K80" i="16" s="1"/>
  <c r="K56" i="16"/>
  <c r="K57" i="16"/>
  <c r="K58" i="16"/>
  <c r="K59" i="16"/>
  <c r="K60" i="16"/>
  <c r="K62" i="16"/>
  <c r="K63" i="16"/>
  <c r="K74" i="16" s="1"/>
  <c r="K64" i="16"/>
  <c r="K65" i="16"/>
  <c r="K66" i="16"/>
  <c r="K67" i="16"/>
  <c r="K82" i="16" s="1"/>
  <c r="K68" i="16"/>
  <c r="K69" i="16"/>
  <c r="K70" i="16"/>
  <c r="K84" i="16" s="1"/>
  <c r="K71" i="16"/>
  <c r="K85" i="16"/>
  <c r="J49" i="1"/>
  <c r="J46" i="1"/>
  <c r="J43" i="1"/>
  <c r="J40" i="1"/>
  <c r="J37" i="1"/>
  <c r="J34" i="1"/>
  <c r="J31" i="1"/>
  <c r="J28" i="1"/>
  <c r="J25" i="1"/>
  <c r="J22" i="1"/>
  <c r="J19" i="1"/>
  <c r="J16" i="1"/>
  <c r="J13" i="1"/>
  <c r="J10" i="1"/>
  <c r="J7" i="1"/>
  <c r="J4" i="1"/>
  <c r="K83" i="16" l="1"/>
  <c r="K78" i="16"/>
  <c r="K81" i="16" s="1"/>
  <c r="K75" i="16"/>
  <c r="K76" i="16"/>
  <c r="K61" i="16"/>
  <c r="J71" i="1"/>
  <c r="I35" i="12" s="1"/>
  <c r="I36" i="12" s="1"/>
  <c r="I37" i="12" s="1"/>
  <c r="J66" i="1"/>
  <c r="J61" i="1"/>
  <c r="J56" i="1"/>
  <c r="J29" i="16"/>
  <c r="I28" i="10" s="1"/>
  <c r="I29" i="10" s="1"/>
  <c r="J30" i="16"/>
  <c r="I55" i="10" s="1"/>
  <c r="I56" i="10" s="1"/>
  <c r="J31" i="16"/>
  <c r="I82" i="10" s="1"/>
  <c r="I83" i="10" s="1"/>
  <c r="J32" i="16"/>
  <c r="J33" i="16"/>
  <c r="J34" i="16"/>
  <c r="J35" i="16"/>
  <c r="J36" i="16"/>
  <c r="J37" i="16"/>
  <c r="J38" i="16"/>
  <c r="I79" i="10"/>
  <c r="I80" i="10"/>
  <c r="I81" i="10"/>
  <c r="I75" i="10"/>
  <c r="I76" i="10" s="1"/>
  <c r="I77" i="10" s="1"/>
  <c r="I68" i="10"/>
  <c r="I69" i="10"/>
  <c r="I70" i="10"/>
  <c r="I72" i="10"/>
  <c r="I73" i="10"/>
  <c r="I62" i="10"/>
  <c r="I63" i="10"/>
  <c r="I66" i="10"/>
  <c r="I52" i="10"/>
  <c r="I53" i="10"/>
  <c r="I54" i="10"/>
  <c r="I41" i="10"/>
  <c r="I42" i="10"/>
  <c r="I45" i="10"/>
  <c r="I46" i="10"/>
  <c r="I35" i="10"/>
  <c r="I36" i="10" s="1"/>
  <c r="I43" i="10" s="1"/>
  <c r="I39" i="10"/>
  <c r="I25" i="10"/>
  <c r="I21" i="10" s="1"/>
  <c r="I22" i="10" s="1"/>
  <c r="I23" i="10" s="1"/>
  <c r="I26" i="10"/>
  <c r="I27" i="10" s="1"/>
  <c r="I14" i="10"/>
  <c r="I18" i="10"/>
  <c r="I19" i="10"/>
  <c r="I8" i="10"/>
  <c r="I15" i="10" s="1"/>
  <c r="I9" i="10"/>
  <c r="I16" i="10" s="1"/>
  <c r="I12" i="10"/>
  <c r="I69" i="12"/>
  <c r="I70" i="12"/>
  <c r="I65" i="12"/>
  <c r="I66" i="12" s="1"/>
  <c r="I57" i="12"/>
  <c r="I49" i="12"/>
  <c r="I50" i="12" s="1"/>
  <c r="I46" i="12"/>
  <c r="I47" i="12" s="1"/>
  <c r="I41" i="12"/>
  <c r="I42" i="12"/>
  <c r="I43" i="12"/>
  <c r="I44" i="12"/>
  <c r="I31" i="12"/>
  <c r="I32" i="12" s="1"/>
  <c r="I33" i="12" s="1"/>
  <c r="I22" i="12"/>
  <c r="I5" i="12"/>
  <c r="I9" i="12" s="1"/>
  <c r="I6" i="12"/>
  <c r="I23" i="12" s="1"/>
  <c r="J54" i="16"/>
  <c r="J55" i="16"/>
  <c r="J80" i="16" s="1"/>
  <c r="J56" i="16"/>
  <c r="J58" i="16"/>
  <c r="J59" i="16"/>
  <c r="J57" i="16" s="1"/>
  <c r="J60" i="16"/>
  <c r="J62" i="16"/>
  <c r="J63" i="16"/>
  <c r="J74" i="16" s="1"/>
  <c r="J64" i="16"/>
  <c r="J65" i="16"/>
  <c r="J66" i="16"/>
  <c r="J67" i="16"/>
  <c r="J68" i="16"/>
  <c r="J69" i="16"/>
  <c r="J70" i="16"/>
  <c r="J71" i="16"/>
  <c r="J85" i="16"/>
  <c r="I49" i="1"/>
  <c r="I46" i="1"/>
  <c r="I43" i="1"/>
  <c r="I40" i="1"/>
  <c r="I37" i="1"/>
  <c r="I34" i="1"/>
  <c r="I31" i="1"/>
  <c r="I28" i="1"/>
  <c r="I25" i="1"/>
  <c r="I22" i="1"/>
  <c r="I19" i="1"/>
  <c r="I16" i="1"/>
  <c r="I13" i="1"/>
  <c r="I10" i="1"/>
  <c r="I7" i="1"/>
  <c r="I4" i="1"/>
  <c r="K79" i="16" l="1"/>
  <c r="K77" i="16" s="1"/>
  <c r="K73" i="16"/>
  <c r="K72" i="16"/>
  <c r="J39" i="16"/>
  <c r="I21" i="12"/>
  <c r="I7" i="12"/>
  <c r="I58" i="12"/>
  <c r="I15" i="12"/>
  <c r="I48" i="10"/>
  <c r="I49" i="10" s="1"/>
  <c r="I50" i="10" s="1"/>
  <c r="I51" i="12"/>
  <c r="I27" i="12"/>
  <c r="I28" i="12" s="1"/>
  <c r="I29" i="12" s="1"/>
  <c r="J75" i="16"/>
  <c r="J82" i="16"/>
  <c r="J61" i="16"/>
  <c r="I71" i="1"/>
  <c r="H35" i="12" s="1"/>
  <c r="H36" i="12" s="1"/>
  <c r="H37" i="12" s="1"/>
  <c r="I66" i="1"/>
  <c r="I61" i="1"/>
  <c r="I56" i="1"/>
  <c r="I29" i="16"/>
  <c r="H28" i="10" s="1"/>
  <c r="I30" i="16"/>
  <c r="H55" i="10" s="1"/>
  <c r="H56" i="10" s="1"/>
  <c r="I31" i="16"/>
  <c r="H82" i="10" s="1"/>
  <c r="H83" i="10" s="1"/>
  <c r="I32" i="16"/>
  <c r="I33" i="16"/>
  <c r="I34" i="16"/>
  <c r="I35" i="16"/>
  <c r="I36" i="16"/>
  <c r="I37" i="16"/>
  <c r="I38" i="16"/>
  <c r="H79" i="10"/>
  <c r="H80" i="10" s="1"/>
  <c r="H81" i="10" s="1"/>
  <c r="H75" i="10"/>
  <c r="H76" i="10" s="1"/>
  <c r="H77" i="10" s="1"/>
  <c r="H68" i="10"/>
  <c r="H72" i="10"/>
  <c r="H73" i="10"/>
  <c r="H62" i="10"/>
  <c r="H69" i="10" s="1"/>
  <c r="H63" i="10"/>
  <c r="H70" i="10" s="1"/>
  <c r="H66" i="10"/>
  <c r="H52" i="10"/>
  <c r="H53" i="10" s="1"/>
  <c r="H54" i="10" s="1"/>
  <c r="H48" i="10"/>
  <c r="H49" i="10" s="1"/>
  <c r="H50" i="10" s="1"/>
  <c r="H41" i="10"/>
  <c r="H42" i="10"/>
  <c r="H45" i="10"/>
  <c r="H46" i="10"/>
  <c r="H35" i="10"/>
  <c r="H36" i="10" s="1"/>
  <c r="H43" i="10" s="1"/>
  <c r="H39" i="10"/>
  <c r="H25" i="10"/>
  <c r="H26" i="10"/>
  <c r="H27" i="10"/>
  <c r="H21" i="10"/>
  <c r="H22" i="10" s="1"/>
  <c r="H23" i="10" s="1"/>
  <c r="H14" i="10"/>
  <c r="H18" i="10"/>
  <c r="H19" i="10"/>
  <c r="H8" i="10"/>
  <c r="H15" i="10" s="1"/>
  <c r="H12" i="10"/>
  <c r="H69" i="12"/>
  <c r="H70" i="12" s="1"/>
  <c r="H65" i="12"/>
  <c r="H66" i="12"/>
  <c r="H49" i="12"/>
  <c r="H50" i="12" s="1"/>
  <c r="H46" i="12"/>
  <c r="H47" i="12" s="1"/>
  <c r="H41" i="12"/>
  <c r="H42" i="12"/>
  <c r="H43" i="12"/>
  <c r="H44" i="12"/>
  <c r="H31" i="12"/>
  <c r="H32" i="12" s="1"/>
  <c r="H33" i="12" s="1"/>
  <c r="H22" i="12"/>
  <c r="H5" i="12"/>
  <c r="H7" i="12" s="1"/>
  <c r="H6" i="12"/>
  <c r="H23" i="12" s="1"/>
  <c r="I8" i="12" l="1"/>
  <c r="I16" i="12"/>
  <c r="I24" i="12"/>
  <c r="I12" i="12"/>
  <c r="J72" i="16"/>
  <c r="J83" i="16"/>
  <c r="J78" i="16"/>
  <c r="J84" i="16"/>
  <c r="H57" i="12"/>
  <c r="J79" i="16"/>
  <c r="J77" i="16" s="1"/>
  <c r="I39" i="16"/>
  <c r="H15" i="12"/>
  <c r="H21" i="12"/>
  <c r="H16" i="12"/>
  <c r="H12" i="12"/>
  <c r="H8" i="12"/>
  <c r="H17" i="12" s="1"/>
  <c r="H9" i="12"/>
  <c r="H25" i="12"/>
  <c r="H58" i="12"/>
  <c r="H9" i="10"/>
  <c r="H16" i="10" s="1"/>
  <c r="H29" i="10"/>
  <c r="H51" i="12"/>
  <c r="H27" i="12"/>
  <c r="H28" i="12" s="1"/>
  <c r="H29" i="12" s="1"/>
  <c r="H24" i="12"/>
  <c r="I54" i="16"/>
  <c r="I55" i="16"/>
  <c r="I56" i="16"/>
  <c r="I57" i="16"/>
  <c r="I82" i="16" s="1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4" i="16"/>
  <c r="I75" i="16"/>
  <c r="I80" i="16"/>
  <c r="I85" i="16"/>
  <c r="I17" i="12" l="1"/>
  <c r="I25" i="12"/>
  <c r="J81" i="16"/>
  <c r="J76" i="16"/>
  <c r="J73" i="16"/>
  <c r="I78" i="16"/>
  <c r="I72" i="16" s="1"/>
  <c r="I84" i="16"/>
  <c r="I83" i="16"/>
  <c r="I79" i="16" l="1"/>
  <c r="I77" i="16" s="1"/>
  <c r="I81" i="16"/>
  <c r="I76" i="16"/>
  <c r="I73" i="16" l="1"/>
  <c r="H49" i="1" l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  <c r="G12" i="10"/>
  <c r="H71" i="1" l="1"/>
  <c r="G35" i="12" s="1"/>
  <c r="G36" i="12" s="1"/>
  <c r="G37" i="12" s="1"/>
  <c r="H66" i="1"/>
  <c r="H61" i="1"/>
  <c r="H56" i="1"/>
  <c r="G21" i="10" s="1"/>
  <c r="G22" i="10" s="1"/>
  <c r="G23" i="10" s="1"/>
  <c r="H29" i="16"/>
  <c r="G28" i="10" s="1"/>
  <c r="H30" i="16"/>
  <c r="G55" i="10" s="1"/>
  <c r="G56" i="10" s="1"/>
  <c r="H31" i="16"/>
  <c r="G82" i="10" s="1"/>
  <c r="G83" i="10" s="1"/>
  <c r="H32" i="16"/>
  <c r="H33" i="16"/>
  <c r="H34" i="16"/>
  <c r="H35" i="16"/>
  <c r="H36" i="16"/>
  <c r="H37" i="16"/>
  <c r="H38" i="16"/>
  <c r="H39" i="16"/>
  <c r="G79" i="10"/>
  <c r="G80" i="10" s="1"/>
  <c r="G81" i="10" s="1"/>
  <c r="G68" i="10"/>
  <c r="G72" i="10"/>
  <c r="G73" i="10" s="1"/>
  <c r="G62" i="10"/>
  <c r="G63" i="10" s="1"/>
  <c r="G70" i="10" s="1"/>
  <c r="G66" i="10"/>
  <c r="G52" i="10"/>
  <c r="G53" i="10" s="1"/>
  <c r="G54" i="10" s="1"/>
  <c r="G41" i="10"/>
  <c r="G42" i="10"/>
  <c r="G43" i="10"/>
  <c r="G45" i="10"/>
  <c r="G46" i="10"/>
  <c r="G35" i="10"/>
  <c r="G36" i="10" s="1"/>
  <c r="G39" i="10"/>
  <c r="G25" i="10"/>
  <c r="G26" i="10" s="1"/>
  <c r="G27" i="10" s="1"/>
  <c r="G14" i="10"/>
  <c r="G18" i="10"/>
  <c r="G19" i="10" s="1"/>
  <c r="G8" i="10"/>
  <c r="G9" i="10" s="1"/>
  <c r="G16" i="10" s="1"/>
  <c r="G69" i="12"/>
  <c r="G70" i="12" s="1"/>
  <c r="G65" i="12"/>
  <c r="G66" i="12"/>
  <c r="G57" i="12"/>
  <c r="G49" i="12"/>
  <c r="G50" i="12" s="1"/>
  <c r="G46" i="12"/>
  <c r="G47" i="12" s="1"/>
  <c r="G41" i="12"/>
  <c r="G42" i="12" s="1"/>
  <c r="G43" i="12"/>
  <c r="G44" i="12" s="1"/>
  <c r="G31" i="12"/>
  <c r="G32" i="12" s="1"/>
  <c r="G33" i="12" s="1"/>
  <c r="G22" i="12"/>
  <c r="G5" i="12"/>
  <c r="G7" i="12" s="1"/>
  <c r="G16" i="12" s="1"/>
  <c r="G6" i="12"/>
  <c r="G23" i="12" s="1"/>
  <c r="H54" i="16"/>
  <c r="H55" i="16"/>
  <c r="H56" i="16"/>
  <c r="H80" i="16" s="1"/>
  <c r="H57" i="16"/>
  <c r="H58" i="16"/>
  <c r="H59" i="16"/>
  <c r="H60" i="16"/>
  <c r="H82" i="16" s="1"/>
  <c r="H62" i="16"/>
  <c r="H63" i="16"/>
  <c r="H74" i="16" s="1"/>
  <c r="H64" i="16"/>
  <c r="H65" i="16"/>
  <c r="H66" i="16"/>
  <c r="H67" i="16"/>
  <c r="H68" i="16"/>
  <c r="H69" i="16"/>
  <c r="G51" i="12" l="1"/>
  <c r="G69" i="10"/>
  <c r="G15" i="12"/>
  <c r="G21" i="12"/>
  <c r="G9" i="12"/>
  <c r="G24" i="12"/>
  <c r="G58" i="12"/>
  <c r="G15" i="10"/>
  <c r="G75" i="10"/>
  <c r="G76" i="10" s="1"/>
  <c r="G77" i="10" s="1"/>
  <c r="G48" i="10"/>
  <c r="G49" i="10" s="1"/>
  <c r="G50" i="10" s="1"/>
  <c r="G29" i="10"/>
  <c r="G27" i="12"/>
  <c r="G28" i="12" s="1"/>
  <c r="G29" i="12" s="1"/>
  <c r="G8" i="12"/>
  <c r="G17" i="12" s="1"/>
  <c r="G12" i="12"/>
  <c r="H75" i="16"/>
  <c r="H76" i="16"/>
  <c r="H83" i="16"/>
  <c r="H78" i="16"/>
  <c r="H81" i="16" s="1"/>
  <c r="H72" i="16"/>
  <c r="H61" i="16"/>
  <c r="H85" i="16"/>
  <c r="H70" i="16"/>
  <c r="G25" i="12" l="1"/>
  <c r="H84" i="16"/>
  <c r="H71" i="16"/>
  <c r="H73" i="16"/>
  <c r="H79" i="16"/>
  <c r="H77" i="16"/>
  <c r="F69" i="12" l="1"/>
  <c r="F70" i="12" s="1"/>
  <c r="F65" i="12"/>
  <c r="F66" i="12" s="1"/>
  <c r="F57" i="12"/>
  <c r="F58" i="12" s="1"/>
  <c r="F49" i="12"/>
  <c r="F50" i="12" s="1"/>
  <c r="F46" i="12"/>
  <c r="F47" i="12" s="1"/>
  <c r="F41" i="12"/>
  <c r="F42" i="12" s="1"/>
  <c r="F43" i="12"/>
  <c r="F44" i="12" s="1"/>
  <c r="F35" i="12"/>
  <c r="F36" i="12" s="1"/>
  <c r="F37" i="12" s="1"/>
  <c r="F31" i="12"/>
  <c r="F32" i="12" s="1"/>
  <c r="F33" i="12" s="1"/>
  <c r="F21" i="12"/>
  <c r="F22" i="12"/>
  <c r="F24" i="12" s="1"/>
  <c r="F23" i="12"/>
  <c r="F15" i="12"/>
  <c r="F16" i="12"/>
  <c r="F17" i="12"/>
  <c r="F12" i="12"/>
  <c r="F5" i="12"/>
  <c r="F7" i="12" s="1"/>
  <c r="F8" i="12" s="1"/>
  <c r="F6" i="12"/>
  <c r="F9" i="12"/>
  <c r="F79" i="10"/>
  <c r="F80" i="10"/>
  <c r="F81" i="10" s="1"/>
  <c r="F82" i="10"/>
  <c r="F83" i="10"/>
  <c r="F75" i="10"/>
  <c r="F76" i="10" s="1"/>
  <c r="F77" i="10" s="1"/>
  <c r="F68" i="10"/>
  <c r="F69" i="10"/>
  <c r="F70" i="10"/>
  <c r="F72" i="10"/>
  <c r="F73" i="10"/>
  <c r="F62" i="10"/>
  <c r="F63" i="10"/>
  <c r="F66" i="10"/>
  <c r="F52" i="10"/>
  <c r="F53" i="10" s="1"/>
  <c r="F54" i="10" s="1"/>
  <c r="F55" i="10"/>
  <c r="F56" i="10"/>
  <c r="F48" i="10"/>
  <c r="F49" i="10" s="1"/>
  <c r="F50" i="10" s="1"/>
  <c r="F41" i="10"/>
  <c r="F42" i="10"/>
  <c r="F43" i="10"/>
  <c r="F45" i="10"/>
  <c r="F46" i="10" s="1"/>
  <c r="F35" i="10"/>
  <c r="F36" i="10" s="1"/>
  <c r="F39" i="10"/>
  <c r="F25" i="10"/>
  <c r="F26" i="10"/>
  <c r="F27" i="10" s="1"/>
  <c r="F28" i="10"/>
  <c r="F51" i="12" s="1"/>
  <c r="F29" i="10"/>
  <c r="F21" i="10"/>
  <c r="F22" i="10" s="1"/>
  <c r="F23" i="10" s="1"/>
  <c r="F14" i="10"/>
  <c r="F15" i="10"/>
  <c r="F16" i="10"/>
  <c r="F18" i="10"/>
  <c r="F19" i="10"/>
  <c r="F8" i="10"/>
  <c r="F9" i="10"/>
  <c r="F12" i="10"/>
  <c r="G49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G4" i="1"/>
  <c r="G29" i="16"/>
  <c r="G30" i="16"/>
  <c r="G31" i="16"/>
  <c r="G32" i="16"/>
  <c r="G33" i="16"/>
  <c r="G34" i="16"/>
  <c r="G35" i="16"/>
  <c r="G36" i="16"/>
  <c r="G37" i="16"/>
  <c r="G38" i="16"/>
  <c r="G39" i="16" s="1"/>
  <c r="F27" i="12" l="1"/>
  <c r="F28" i="12" s="1"/>
  <c r="F29" i="12" s="1"/>
  <c r="F25" i="12"/>
  <c r="G54" i="16" l="1"/>
  <c r="G55" i="16"/>
  <c r="G56" i="16"/>
  <c r="G61" i="16" s="1"/>
  <c r="G58" i="16"/>
  <c r="G59" i="16"/>
  <c r="G57" i="16" s="1"/>
  <c r="G60" i="16"/>
  <c r="G62" i="16"/>
  <c r="G63" i="16"/>
  <c r="G64" i="16"/>
  <c r="G65" i="16"/>
  <c r="G66" i="16"/>
  <c r="G67" i="16"/>
  <c r="G68" i="16"/>
  <c r="G69" i="16"/>
  <c r="G70" i="16"/>
  <c r="G71" i="16" s="1"/>
  <c r="G74" i="16"/>
  <c r="G75" i="16"/>
  <c r="G85" i="16"/>
  <c r="G80" i="16" l="1"/>
  <c r="G82" i="16"/>
  <c r="G84" i="16"/>
  <c r="G83" i="16" l="1"/>
  <c r="G78" i="16"/>
  <c r="G72" i="16" s="1"/>
  <c r="G81" i="16" l="1"/>
  <c r="G76" i="16"/>
  <c r="G79" i="16"/>
  <c r="G77" i="16" s="1"/>
  <c r="G73" i="16" l="1"/>
  <c r="F49" i="1" l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  <c r="F66" i="1"/>
  <c r="F61" i="1"/>
  <c r="F56" i="1"/>
  <c r="F68" i="1"/>
  <c r="F69" i="1"/>
  <c r="F29" i="16"/>
  <c r="E28" i="10" s="1"/>
  <c r="F30" i="16"/>
  <c r="E55" i="10" s="1"/>
  <c r="E56" i="10" s="1"/>
  <c r="F31" i="16"/>
  <c r="E82" i="10" s="1"/>
  <c r="E83" i="10" s="1"/>
  <c r="F32" i="16"/>
  <c r="F33" i="16"/>
  <c r="F34" i="16"/>
  <c r="F35" i="16"/>
  <c r="F36" i="16"/>
  <c r="F37" i="16"/>
  <c r="F38" i="16"/>
  <c r="E79" i="10"/>
  <c r="E80" i="10" s="1"/>
  <c r="E81" i="10" s="1"/>
  <c r="E68" i="10"/>
  <c r="E72" i="10"/>
  <c r="E73" i="10"/>
  <c r="E62" i="10"/>
  <c r="E69" i="10" s="1"/>
  <c r="E66" i="10"/>
  <c r="E52" i="10"/>
  <c r="E53" i="10" s="1"/>
  <c r="E54" i="10" s="1"/>
  <c r="E41" i="10"/>
  <c r="E45" i="10"/>
  <c r="E46" i="10"/>
  <c r="E35" i="10"/>
  <c r="E36" i="10" s="1"/>
  <c r="E43" i="10" s="1"/>
  <c r="E39" i="10"/>
  <c r="E25" i="10"/>
  <c r="E26" i="10" s="1"/>
  <c r="E27" i="10" s="1"/>
  <c r="E14" i="10"/>
  <c r="E15" i="10"/>
  <c r="E18" i="10"/>
  <c r="E19" i="10" s="1"/>
  <c r="E8" i="10"/>
  <c r="E9" i="10" s="1"/>
  <c r="E16" i="10" s="1"/>
  <c r="E12" i="10"/>
  <c r="E69" i="12"/>
  <c r="E70" i="12"/>
  <c r="E65" i="12"/>
  <c r="E66" i="12"/>
  <c r="E57" i="12"/>
  <c r="E49" i="12"/>
  <c r="E50" i="12" s="1"/>
  <c r="E46" i="12"/>
  <c r="E47" i="12"/>
  <c r="E41" i="12"/>
  <c r="E42" i="12"/>
  <c r="E43" i="12"/>
  <c r="E44" i="12"/>
  <c r="E31" i="12"/>
  <c r="E32" i="12" s="1"/>
  <c r="E33" i="12" s="1"/>
  <c r="E22" i="12"/>
  <c r="E5" i="12"/>
  <c r="E9" i="12" s="1"/>
  <c r="E6" i="12"/>
  <c r="E23" i="12" s="1"/>
  <c r="F39" i="16" l="1"/>
  <c r="E63" i="10"/>
  <c r="E70" i="10" s="1"/>
  <c r="E42" i="10"/>
  <c r="E7" i="12"/>
  <c r="E12" i="12" s="1"/>
  <c r="E58" i="12"/>
  <c r="E15" i="12"/>
  <c r="E24" i="12"/>
  <c r="E21" i="12"/>
  <c r="F71" i="1"/>
  <c r="E35" i="12" s="1"/>
  <c r="E29" i="10"/>
  <c r="E51" i="12"/>
  <c r="E75" i="10"/>
  <c r="E76" i="10" s="1"/>
  <c r="E77" i="10" s="1"/>
  <c r="E48" i="10"/>
  <c r="E49" i="10" s="1"/>
  <c r="E50" i="10" s="1"/>
  <c r="E21" i="10"/>
  <c r="E22" i="10" s="1"/>
  <c r="E23" i="10" s="1"/>
  <c r="E8" i="12"/>
  <c r="E17" i="12" s="1"/>
  <c r="D62" i="10"/>
  <c r="D35" i="10"/>
  <c r="D8" i="10"/>
  <c r="D7" i="12"/>
  <c r="F54" i="16"/>
  <c r="F55" i="16"/>
  <c r="F56" i="16"/>
  <c r="F61" i="16" s="1"/>
  <c r="F57" i="16"/>
  <c r="F58" i="16"/>
  <c r="F59" i="16"/>
  <c r="F60" i="16"/>
  <c r="F62" i="16"/>
  <c r="F63" i="16"/>
  <c r="F64" i="16"/>
  <c r="F65" i="16"/>
  <c r="F66" i="16"/>
  <c r="F67" i="16"/>
  <c r="F68" i="16"/>
  <c r="F69" i="16"/>
  <c r="F70" i="16"/>
  <c r="F71" i="16"/>
  <c r="F74" i="16"/>
  <c r="F75" i="16" s="1"/>
  <c r="F78" i="16"/>
  <c r="F72" i="16" s="1"/>
  <c r="F82" i="16"/>
  <c r="F84" i="16" s="1"/>
  <c r="F83" i="16"/>
  <c r="F85" i="16"/>
  <c r="E70" i="1"/>
  <c r="E71" i="1"/>
  <c r="E16" i="12" l="1"/>
  <c r="E25" i="12"/>
  <c r="E36" i="12"/>
  <c r="E37" i="12" s="1"/>
  <c r="E27" i="12"/>
  <c r="E28" i="12" s="1"/>
  <c r="E29" i="12" s="1"/>
  <c r="F80" i="16"/>
  <c r="F79" i="16"/>
  <c r="F73" i="16" s="1"/>
  <c r="F81" i="16"/>
  <c r="F76" i="16"/>
  <c r="F77" i="16" l="1"/>
  <c r="E60" i="1" l="1"/>
  <c r="E55" i="1"/>
  <c r="E29" i="16"/>
  <c r="E30" i="16"/>
  <c r="E31" i="16"/>
  <c r="E32" i="16"/>
  <c r="E39" i="16" s="1"/>
  <c r="E33" i="16"/>
  <c r="E34" i="16"/>
  <c r="E35" i="16"/>
  <c r="E36" i="16"/>
  <c r="E37" i="16"/>
  <c r="E38" i="16"/>
  <c r="E69" i="16"/>
  <c r="E68" i="16"/>
  <c r="E67" i="16"/>
  <c r="E66" i="16"/>
  <c r="E65" i="16"/>
  <c r="E64" i="16"/>
  <c r="E63" i="16"/>
  <c r="E74" i="16" s="1"/>
  <c r="E62" i="16"/>
  <c r="E61" i="16"/>
  <c r="E60" i="16"/>
  <c r="E85" i="16" s="1"/>
  <c r="E59" i="16"/>
  <c r="E57" i="16" s="1"/>
  <c r="E58" i="16"/>
  <c r="E56" i="16"/>
  <c r="E55" i="16"/>
  <c r="E54" i="16"/>
  <c r="E75" i="16" l="1"/>
  <c r="E82" i="16"/>
  <c r="E70" i="16"/>
  <c r="E80" i="16"/>
  <c r="E84" i="16" l="1"/>
  <c r="E71" i="16"/>
  <c r="E83" i="16"/>
  <c r="E78" i="16"/>
  <c r="E79" i="16"/>
  <c r="E77" i="16" s="1"/>
  <c r="E76" i="16" l="1"/>
  <c r="E81" i="16"/>
  <c r="E72" i="16"/>
  <c r="E73" i="16"/>
  <c r="D78" i="16" l="1"/>
  <c r="D71" i="16"/>
  <c r="D77" i="16" l="1"/>
  <c r="D70" i="1" l="1"/>
  <c r="D65" i="1"/>
  <c r="D60" i="1"/>
  <c r="D70" i="12" l="1"/>
  <c r="C70" i="12"/>
  <c r="D33" i="12"/>
  <c r="C33" i="12"/>
  <c r="D81" i="10"/>
  <c r="C81" i="10"/>
  <c r="D73" i="10"/>
  <c r="C73" i="10"/>
  <c r="D54" i="10"/>
  <c r="C54" i="10"/>
  <c r="D46" i="10"/>
  <c r="C46" i="10"/>
  <c r="D27" i="10"/>
  <c r="C27" i="10"/>
  <c r="D19" i="10" l="1"/>
  <c r="C19" i="10"/>
  <c r="AG71" i="1" l="1"/>
  <c r="AG66" i="1"/>
  <c r="AG61" i="1"/>
  <c r="AG56" i="1"/>
  <c r="AF71" i="1" l="1"/>
  <c r="AF66" i="1"/>
  <c r="AF61" i="1"/>
  <c r="AF56" i="1"/>
  <c r="AB71" i="1" l="1"/>
  <c r="AB66" i="1"/>
  <c r="AB61" i="1"/>
  <c r="AB56" i="1"/>
  <c r="AA71" i="1" l="1"/>
  <c r="AA66" i="1"/>
  <c r="AA61" i="1"/>
  <c r="AA56" i="1"/>
  <c r="R66" i="1" l="1"/>
  <c r="R61" i="1"/>
  <c r="R56" i="1"/>
  <c r="R71" i="1" l="1"/>
  <c r="L66" i="1" l="1"/>
  <c r="L61" i="1"/>
  <c r="L56" i="1"/>
  <c r="L71" i="1" l="1"/>
  <c r="K66" i="1" l="1"/>
  <c r="K61" i="1"/>
  <c r="K56" i="1"/>
  <c r="J21" i="10" s="1"/>
  <c r="J22" i="10" s="1"/>
  <c r="J23" i="10" s="1"/>
  <c r="K71" i="1" l="1"/>
  <c r="E49" i="1" l="1"/>
  <c r="E46" i="1"/>
  <c r="E43" i="1"/>
  <c r="E40" i="1"/>
  <c r="E37" i="1"/>
  <c r="E34" i="1"/>
  <c r="E31" i="1"/>
  <c r="E28" i="1"/>
  <c r="E25" i="1"/>
  <c r="E22" i="1"/>
  <c r="E19" i="1"/>
  <c r="E16" i="1"/>
  <c r="E13" i="1"/>
  <c r="E10" i="1"/>
  <c r="E7" i="1"/>
  <c r="E4" i="1"/>
  <c r="E68" i="1" l="1"/>
  <c r="E69" i="1"/>
  <c r="E66" i="1" l="1"/>
  <c r="E61" i="1"/>
  <c r="E56" i="1"/>
  <c r="D29" i="16" l="1"/>
  <c r="D55" i="16" l="1"/>
  <c r="C8" i="10" l="1"/>
  <c r="C9" i="10" s="1"/>
  <c r="C16" i="10" s="1"/>
  <c r="D9" i="10" l="1"/>
  <c r="D16" i="10" s="1"/>
  <c r="AD66" i="1" l="1"/>
  <c r="AD61" i="1"/>
  <c r="AD56" i="1"/>
  <c r="AD71" i="1" l="1"/>
  <c r="AC66" i="1"/>
  <c r="AC61" i="1"/>
  <c r="AC71" i="1" l="1"/>
  <c r="U71" i="1" l="1"/>
  <c r="S66" i="1" l="1"/>
  <c r="S61" i="1"/>
  <c r="S56" i="1"/>
  <c r="S71" i="1" l="1"/>
  <c r="O71" i="1" l="1"/>
  <c r="O66" i="1"/>
  <c r="O61" i="1"/>
  <c r="O56" i="1"/>
  <c r="N66" i="1" l="1"/>
  <c r="N61" i="1"/>
  <c r="N56" i="1"/>
  <c r="N71" i="1" l="1"/>
  <c r="G56" i="1" l="1"/>
  <c r="M56" i="1"/>
  <c r="L21" i="10" s="1"/>
  <c r="L22" i="10" s="1"/>
  <c r="L23" i="10" s="1"/>
  <c r="P56" i="1"/>
  <c r="Q56" i="1"/>
  <c r="T56" i="1"/>
  <c r="U56" i="1"/>
  <c r="V56" i="1"/>
  <c r="W56" i="1"/>
  <c r="X56" i="1"/>
  <c r="Y56" i="1"/>
  <c r="Z56" i="1"/>
  <c r="AC56" i="1"/>
  <c r="AE56" i="1"/>
  <c r="AH56" i="1"/>
  <c r="AI87" i="16" l="1"/>
  <c r="AH71" i="1" l="1"/>
  <c r="AH66" i="1"/>
  <c r="AH61" i="1"/>
  <c r="AE71" i="1" l="1"/>
  <c r="AE66" i="1"/>
  <c r="AE61" i="1"/>
  <c r="Z71" i="1" l="1"/>
  <c r="Z66" i="1"/>
  <c r="Z61" i="1"/>
  <c r="Y71" i="1" l="1"/>
  <c r="Y66" i="1"/>
  <c r="Y61" i="1"/>
  <c r="X71" i="1" l="1"/>
  <c r="X66" i="1"/>
  <c r="X61" i="1"/>
  <c r="W71" i="1" l="1"/>
  <c r="W66" i="1"/>
  <c r="W61" i="1"/>
  <c r="V71" i="1" l="1"/>
  <c r="V66" i="1"/>
  <c r="V61" i="1"/>
  <c r="U66" i="1" l="1"/>
  <c r="U61" i="1"/>
  <c r="T71" i="1" l="1"/>
  <c r="T66" i="1"/>
  <c r="T61" i="1"/>
  <c r="Q71" i="1" l="1"/>
  <c r="Q66" i="1"/>
  <c r="Q61" i="1"/>
  <c r="P66" i="1" l="1"/>
  <c r="P61" i="1"/>
  <c r="P71" i="1" l="1"/>
  <c r="M66" i="1" l="1"/>
  <c r="L75" i="10" s="1"/>
  <c r="L76" i="10" s="1"/>
  <c r="L77" i="10" s="1"/>
  <c r="M61" i="1"/>
  <c r="L48" i="10" s="1"/>
  <c r="L49" i="10" s="1"/>
  <c r="L50" i="10" s="1"/>
  <c r="M71" i="1" l="1"/>
  <c r="L35" i="12" s="1"/>
  <c r="L36" i="12" l="1"/>
  <c r="L37" i="12" s="1"/>
  <c r="L27" i="12"/>
  <c r="L28" i="12" s="1"/>
  <c r="L29" i="12" s="1"/>
  <c r="G66" i="1"/>
  <c r="G61" i="1"/>
  <c r="G71" i="1" l="1"/>
  <c r="D4" i="1" l="1"/>
  <c r="D39" i="10" l="1"/>
  <c r="D58" i="16" l="1"/>
  <c r="D59" i="16"/>
  <c r="C68" i="10" l="1"/>
  <c r="C41" i="10"/>
  <c r="C14" i="10"/>
  <c r="D52" i="10" l="1"/>
  <c r="D41" i="10"/>
  <c r="D25" i="10"/>
  <c r="D69" i="1" l="1"/>
  <c r="D54" i="16" l="1"/>
  <c r="D56" i="16"/>
  <c r="D60" i="16"/>
  <c r="D62" i="16"/>
  <c r="D63" i="16"/>
  <c r="D64" i="16"/>
  <c r="D65" i="16"/>
  <c r="D66" i="16"/>
  <c r="D67" i="16"/>
  <c r="D68" i="16"/>
  <c r="D69" i="16"/>
  <c r="D57" i="16" l="1"/>
  <c r="D70" i="16"/>
  <c r="D61" i="16"/>
  <c r="D80" i="16"/>
  <c r="D74" i="16"/>
  <c r="D85" i="16"/>
  <c r="D82" i="16" l="1"/>
  <c r="D84" i="16"/>
  <c r="D75" i="16"/>
  <c r="D81" i="16" l="1"/>
  <c r="D83" i="16"/>
  <c r="D76" i="16"/>
  <c r="D72" i="16"/>
  <c r="D79" i="16" l="1"/>
  <c r="D73" i="16"/>
  <c r="D87" i="16" l="1"/>
  <c r="D14" i="10" l="1"/>
  <c r="D68" i="10"/>
  <c r="C22" i="12" l="1"/>
  <c r="D22" i="12" l="1"/>
  <c r="D61" i="1"/>
  <c r="D31" i="12"/>
  <c r="D79" i="10"/>
  <c r="C69" i="12"/>
  <c r="C65" i="12"/>
  <c r="C66" i="12" s="1"/>
  <c r="D69" i="12" l="1"/>
  <c r="D65" i="12"/>
  <c r="D66" i="12" s="1"/>
  <c r="D68" i="1" l="1"/>
  <c r="C25" i="10"/>
  <c r="C52" i="10"/>
  <c r="D56" i="1"/>
  <c r="D66" i="1"/>
  <c r="D35" i="12"/>
  <c r="D27" i="12" l="1"/>
  <c r="C26" i="10"/>
  <c r="D26" i="10"/>
  <c r="C35" i="12"/>
  <c r="D75" i="10"/>
  <c r="C48" i="10"/>
  <c r="C21" i="10"/>
  <c r="D71" i="1"/>
  <c r="C22" i="10" l="1"/>
  <c r="C23" i="10" s="1"/>
  <c r="C49" i="10"/>
  <c r="C50" i="10" s="1"/>
  <c r="D21" i="10" l="1"/>
  <c r="D22" i="10" l="1"/>
  <c r="D23" i="10" s="1"/>
  <c r="D36" i="16"/>
  <c r="D38" i="16" l="1"/>
  <c r="D30" i="16"/>
  <c r="D31" i="16"/>
  <c r="D32" i="16"/>
  <c r="D33" i="16"/>
  <c r="D34" i="16"/>
  <c r="D35" i="16"/>
  <c r="D37" i="16"/>
  <c r="D39" i="16" l="1"/>
  <c r="D82" i="10" l="1"/>
  <c r="D83" i="10" s="1"/>
  <c r="C31" i="12" l="1"/>
  <c r="C79" i="10"/>
  <c r="C5" i="12"/>
  <c r="C21" i="12" s="1"/>
  <c r="C9" i="12" l="1"/>
  <c r="C75" i="10"/>
  <c r="D80" i="10"/>
  <c r="C15" i="12"/>
  <c r="C27" i="12"/>
  <c r="D76" i="10" l="1"/>
  <c r="D77" i="10" s="1"/>
  <c r="C76" i="10"/>
  <c r="C77" i="10" s="1"/>
  <c r="D28" i="12"/>
  <c r="D29" i="12" s="1"/>
  <c r="C28" i="12"/>
  <c r="C29" i="12" s="1"/>
  <c r="C28" i="10" l="1"/>
  <c r="C29" i="10" s="1"/>
  <c r="C39" i="10"/>
  <c r="C66" i="10" l="1"/>
  <c r="C62" i="10"/>
  <c r="C63" i="10" s="1"/>
  <c r="C70" i="10" s="1"/>
  <c r="C12" i="10"/>
  <c r="C35" i="10"/>
  <c r="C36" i="10" s="1"/>
  <c r="C43" i="10" s="1"/>
  <c r="D36" i="10" l="1"/>
  <c r="D43" i="10" s="1"/>
  <c r="D63" i="10"/>
  <c r="D70" i="10" s="1"/>
  <c r="C69" i="10"/>
  <c r="C42" i="10"/>
  <c r="C15" i="10"/>
  <c r="D42" i="10" l="1"/>
  <c r="D15" i="10"/>
  <c r="D69" i="10"/>
  <c r="D66" i="10" l="1"/>
  <c r="D12" i="10"/>
  <c r="C72" i="10" l="1"/>
  <c r="C53" i="10"/>
  <c r="D48" i="10"/>
  <c r="C45" i="10"/>
  <c r="C18" i="10"/>
  <c r="D49" i="12"/>
  <c r="C49" i="12"/>
  <c r="C50" i="12" s="1"/>
  <c r="C46" i="12"/>
  <c r="C47" i="12" s="1"/>
  <c r="D43" i="12"/>
  <c r="C43" i="12"/>
  <c r="C41" i="12"/>
  <c r="C42" i="12" s="1"/>
  <c r="C44" i="12" l="1"/>
  <c r="D44" i="12" s="1"/>
  <c r="D53" i="10"/>
  <c r="D72" i="10"/>
  <c r="C80" i="10"/>
  <c r="D50" i="12"/>
  <c r="D45" i="10"/>
  <c r="D18" i="10"/>
  <c r="D41" i="12"/>
  <c r="D42" i="12" s="1"/>
  <c r="D46" i="12"/>
  <c r="D47" i="12" s="1"/>
  <c r="D49" i="10" l="1"/>
  <c r="D50" i="10" s="1"/>
  <c r="C87" i="16"/>
  <c r="AH87" i="16" l="1"/>
  <c r="AG87" i="16" l="1"/>
  <c r="AF87" i="16" l="1"/>
  <c r="AE87" i="16" l="1"/>
  <c r="AD87" i="16" l="1"/>
  <c r="AC87" i="16" l="1"/>
  <c r="AB87" i="16" l="1"/>
  <c r="AA87" i="16" l="1"/>
  <c r="Z87" i="16" l="1"/>
  <c r="Y87" i="16" l="1"/>
  <c r="X87" i="16" l="1"/>
  <c r="W87" i="16" l="1"/>
  <c r="V87" i="16" l="1"/>
  <c r="U87" i="16" l="1"/>
  <c r="T87" i="16" l="1"/>
  <c r="S87" i="16" l="1"/>
  <c r="R87" i="16" l="1"/>
  <c r="Q87" i="16" l="1"/>
  <c r="P87" i="16" l="1"/>
  <c r="O87" i="16" l="1"/>
  <c r="N87" i="16" l="1"/>
  <c r="M87" i="16" l="1"/>
  <c r="L87" i="16" l="1"/>
  <c r="I87" i="16" l="1"/>
  <c r="D57" i="12" l="1"/>
  <c r="G87" i="16" l="1"/>
  <c r="H87" i="16"/>
  <c r="F87" i="16"/>
  <c r="C57" i="12" l="1"/>
  <c r="C59" i="12" l="1"/>
  <c r="D59" i="12" s="1"/>
  <c r="E59" i="12" s="1"/>
  <c r="C58" i="12"/>
  <c r="E87" i="16"/>
  <c r="F59" i="12" l="1"/>
  <c r="E60" i="12"/>
  <c r="E61" i="12" s="1"/>
  <c r="D28" i="10"/>
  <c r="D29" i="10" s="1"/>
  <c r="D55" i="10"/>
  <c r="D56" i="10" s="1"/>
  <c r="F60" i="12" l="1"/>
  <c r="F61" i="12" s="1"/>
  <c r="G59" i="12"/>
  <c r="D51" i="12"/>
  <c r="H59" i="12" l="1"/>
  <c r="G60" i="12"/>
  <c r="G61" i="12" s="1"/>
  <c r="I59" i="12" l="1"/>
  <c r="H60" i="12"/>
  <c r="H61" i="12" s="1"/>
  <c r="J59" i="12" l="1"/>
  <c r="I60" i="12"/>
  <c r="I61" i="12" s="1"/>
  <c r="J60" i="12" l="1"/>
  <c r="J61" i="12" s="1"/>
  <c r="K59" i="12"/>
  <c r="K60" i="12" l="1"/>
  <c r="K61" i="12" s="1"/>
  <c r="L59" i="12"/>
  <c r="L60" i="12" s="1"/>
  <c r="L61" i="12" s="1"/>
  <c r="D49" i="1" l="1"/>
  <c r="D46" i="1"/>
  <c r="D43" i="1"/>
  <c r="D40" i="1"/>
  <c r="D37" i="1"/>
  <c r="D34" i="1"/>
  <c r="D31" i="1"/>
  <c r="D28" i="1"/>
  <c r="D25" i="1"/>
  <c r="D22" i="1"/>
  <c r="D19" i="1"/>
  <c r="D16" i="1"/>
  <c r="D13" i="1"/>
  <c r="D10" i="1"/>
  <c r="D7" i="1"/>
  <c r="AJ28" i="16" l="1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3" i="16"/>
  <c r="D5" i="12" l="1"/>
  <c r="D58" i="12" l="1"/>
  <c r="D9" i="12"/>
  <c r="C7" i="12"/>
  <c r="D21" i="12"/>
  <c r="C12" i="12" l="1"/>
  <c r="C8" i="12"/>
  <c r="C60" i="12"/>
  <c r="C61" i="12" s="1"/>
  <c r="C25" i="12" l="1"/>
  <c r="C17" i="12"/>
  <c r="D12" i="12"/>
  <c r="D8" i="12"/>
  <c r="D60" i="12"/>
  <c r="D61" i="12" s="1"/>
  <c r="D15" i="12"/>
  <c r="D17" i="12" l="1"/>
  <c r="D25" i="12"/>
  <c r="C6" i="12"/>
  <c r="C23" i="12" s="1"/>
  <c r="C24" i="12" l="1"/>
  <c r="D24" i="12" l="1"/>
  <c r="D6" i="12" l="1"/>
  <c r="D23" i="12" s="1"/>
  <c r="AJ29" i="16" l="1"/>
  <c r="C55" i="10" l="1"/>
  <c r="C56" i="10" s="1"/>
  <c r="AJ32" i="16"/>
  <c r="AJ33" i="16"/>
  <c r="AJ34" i="16"/>
  <c r="AJ35" i="16"/>
  <c r="AJ36" i="16"/>
  <c r="AJ37" i="16"/>
  <c r="AJ31" i="16" l="1"/>
  <c r="C82" i="10"/>
  <c r="C83" i="10" s="1"/>
  <c r="AJ30" i="16"/>
  <c r="AJ38" i="16"/>
  <c r="AJ39" i="16"/>
  <c r="AJ80" i="16"/>
  <c r="C51" i="12" l="1"/>
  <c r="AJ74" i="16"/>
  <c r="D67" i="1" l="1"/>
  <c r="C67" i="1"/>
  <c r="D62" i="1"/>
  <c r="C62" i="1"/>
  <c r="C36" i="12" l="1"/>
  <c r="C37" i="12" s="1"/>
  <c r="D36" i="12"/>
  <c r="D37" i="12" s="1"/>
  <c r="D32" i="12"/>
  <c r="C32" i="12"/>
  <c r="C16" i="12" l="1"/>
  <c r="D16" i="12" l="1"/>
  <c r="AJ75" i="16" l="1"/>
  <c r="AJ85" i="16" l="1"/>
  <c r="J87" i="16" l="1"/>
  <c r="AJ84" i="16"/>
  <c r="AJ82" i="16"/>
  <c r="AJ70" i="16"/>
  <c r="AJ87" i="16" s="1"/>
  <c r="K87" i="16"/>
  <c r="AJ78" i="16" l="1"/>
  <c r="AJ76" i="16" l="1"/>
  <c r="AJ81" i="16"/>
  <c r="AJ7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Sahu R</author>
  </authors>
  <commentList>
    <comment ref="E35" authorId="0" shapeId="0" xr:uid="{D5C3EC63-6B8C-4006-A9EB-3043FFA3CB73}">
      <text>
        <r>
          <rPr>
            <b/>
            <sz val="9"/>
            <color indexed="81"/>
            <rFont val="Tahoma"/>
          </rPr>
          <t>Boiler-4/3 economic shutdown for 6 hours.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 Subha</author>
  </authors>
  <commentList>
    <comment ref="Q42" authorId="0" shapeId="0" xr:uid="{486CEC0C-65AD-418C-8051-2B76A35689DC}">
      <text>
        <r>
          <rPr>
            <b/>
            <sz val="9"/>
            <color indexed="81"/>
            <rFont val="Tahoma"/>
            <family val="2"/>
          </rPr>
          <t>Meter reading is not clearly visible due to moisture.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<sst xmlns="http://schemas.openxmlformats.org/spreadsheetml/2006/main" count="548" uniqueCount="226">
  <si>
    <t>DATES</t>
  </si>
  <si>
    <t>UoM</t>
  </si>
  <si>
    <t>STATION PERFORMANCE</t>
  </si>
  <si>
    <t>Power Generation</t>
  </si>
  <si>
    <t>Power Generation (As per ABT)</t>
  </si>
  <si>
    <t>Mus</t>
  </si>
  <si>
    <t>For the day</t>
  </si>
  <si>
    <t>For the month (MTD)</t>
  </si>
  <si>
    <t>Yield To date (YTD)</t>
  </si>
  <si>
    <t xml:space="preserve">Avg Load  </t>
  </si>
  <si>
    <t>MW</t>
  </si>
  <si>
    <t>Asking Rate</t>
  </si>
  <si>
    <t>Plant Load Factor</t>
  </si>
  <si>
    <t>%</t>
  </si>
  <si>
    <t>Aux Power Consumption</t>
  </si>
  <si>
    <t>For the day (Meter)</t>
  </si>
  <si>
    <t xml:space="preserve">As Per ABT </t>
  </si>
  <si>
    <t>Aux Power Consumption ( ABT)</t>
  </si>
  <si>
    <t>For the month (MTD)(ABT Mus)</t>
  </si>
  <si>
    <t>For the month (MTD)(ABT)</t>
  </si>
  <si>
    <t>Yield To date (YTD)(ABT)</t>
  </si>
  <si>
    <t>Boiler Availability</t>
  </si>
  <si>
    <t>Boiler Availability MTD</t>
  </si>
  <si>
    <t>Boiler Availability YTD</t>
  </si>
  <si>
    <t>Avg. flue gas temp.</t>
  </si>
  <si>
    <r>
      <rPr>
        <sz val="10"/>
        <rFont val="Calibri"/>
        <family val="2"/>
      </rPr>
      <t>̊</t>
    </r>
    <r>
      <rPr>
        <sz val="10"/>
        <rFont val="Arial"/>
        <family val="2"/>
      </rPr>
      <t xml:space="preserve"> C</t>
    </r>
  </si>
  <si>
    <t>TPTCL Sale</t>
  </si>
  <si>
    <t>Yield to date (YTD)</t>
  </si>
  <si>
    <t>Total Sales</t>
  </si>
  <si>
    <t>Total sales YTD</t>
  </si>
  <si>
    <t>UI Mus</t>
  </si>
  <si>
    <t>UI Mus (MTD)</t>
  </si>
  <si>
    <t>UI Mus (YTD)</t>
  </si>
  <si>
    <t>UI Payable(-) /Receivable(+)</t>
  </si>
  <si>
    <t>Rs</t>
  </si>
  <si>
    <t>Rs(Lakh)</t>
  </si>
  <si>
    <t>UI Payable(-) /Receivable(+)(MTD)</t>
  </si>
  <si>
    <t>DM water consumption</t>
  </si>
  <si>
    <t>DM water production</t>
  </si>
  <si>
    <t>MT</t>
  </si>
  <si>
    <t>DM water make up</t>
  </si>
  <si>
    <t>Cum</t>
  </si>
  <si>
    <t>DM water received externally</t>
  </si>
  <si>
    <t>TPC CONSUMPTION PER DAY</t>
  </si>
  <si>
    <t>TPH</t>
  </si>
  <si>
    <t>Raw water Con/MWH</t>
  </si>
  <si>
    <t>Raw water Con for the Month</t>
  </si>
  <si>
    <t>Raw water Con/MWH(MTD)</t>
  </si>
  <si>
    <t>Raw water Con/MWH(YTD)</t>
  </si>
  <si>
    <t>Coke Productions</t>
  </si>
  <si>
    <t>T</t>
  </si>
  <si>
    <t>TATA STEEL SHUT DOWN ACTUAL</t>
  </si>
  <si>
    <t>Hrs</t>
  </si>
  <si>
    <t>Hrs.</t>
  </si>
  <si>
    <t>TATA STEEL SHUT DOWN PLANNED</t>
  </si>
  <si>
    <t>STATION PERFORMANCE GRAPHS</t>
  </si>
  <si>
    <t>UNIT WISE PERFORMANCE</t>
  </si>
  <si>
    <t>UNIT # 1</t>
  </si>
  <si>
    <t>for the day (As per ABT)</t>
  </si>
  <si>
    <t>for the day</t>
  </si>
  <si>
    <t>for the month (MTD)</t>
  </si>
  <si>
    <t>Maximum load</t>
  </si>
  <si>
    <t>Minimum load</t>
  </si>
  <si>
    <t>Average load</t>
  </si>
  <si>
    <t>Daily Running hours</t>
  </si>
  <si>
    <t>hrs</t>
  </si>
  <si>
    <t>Monthly Running hours</t>
  </si>
  <si>
    <t>YTD Running hours</t>
  </si>
  <si>
    <t xml:space="preserve">Unit Availability </t>
  </si>
  <si>
    <t>Steam Consumption of TG#1</t>
  </si>
  <si>
    <t>Mt</t>
  </si>
  <si>
    <t>Sp.Steam Consumption</t>
  </si>
  <si>
    <t>kg/kwh</t>
  </si>
  <si>
    <t>UNIT # 2</t>
  </si>
  <si>
    <t>for the month</t>
  </si>
  <si>
    <t>Steam Consumption of TG#2</t>
  </si>
  <si>
    <t>UNIT # 3</t>
  </si>
  <si>
    <t>For the Day (As per ABT)</t>
  </si>
  <si>
    <t>For the Day</t>
  </si>
  <si>
    <t>For the Month (MTD)</t>
  </si>
  <si>
    <t>Steam Consumption of TG#3</t>
  </si>
  <si>
    <t xml:space="preserve">                                                                            TOTALIZERS READINGS AT 07:00 HOURS </t>
  </si>
  <si>
    <t>MONTHLY</t>
  </si>
  <si>
    <t>BTG steam flow &amp; DM make up
(Totalizer)</t>
  </si>
  <si>
    <t>TG-1 (Steam Totalizer)</t>
  </si>
  <si>
    <t>TG-2 (Steam Totalizer)</t>
  </si>
  <si>
    <t>TG-3 (Steam Totalizer)</t>
  </si>
  <si>
    <t>BOILER  1-1 (Steam flow)</t>
  </si>
  <si>
    <t>BOILER  1-2 (Steam flow)</t>
  </si>
  <si>
    <t>BOILER  1-3 (Steam flow)</t>
  </si>
  <si>
    <t>BOILER  1-4 (Steam flow)</t>
  </si>
  <si>
    <t>BOILER  2-3 (Steam flow)</t>
  </si>
  <si>
    <t>BOILER  2-4 (Steam flow)</t>
  </si>
  <si>
    <t>BOILER  3-1 (Steam flow)</t>
  </si>
  <si>
    <t>BOILER  3-2 (Steam flow)</t>
  </si>
  <si>
    <t>BOILER  3-3 (Steam flow)</t>
  </si>
  <si>
    <t>BOILER  3-4 (Steam flow)</t>
  </si>
  <si>
    <t>BOILER  2-1 (Steam flow)</t>
  </si>
  <si>
    <t>BOILER  2-2 (Steam flow)</t>
  </si>
  <si>
    <t>BOILER  4-1 (Steam flow)</t>
  </si>
  <si>
    <t>BOILER  4-2 (Steam flow)</t>
  </si>
  <si>
    <t>BOILER  4-3 (Steam flow)</t>
  </si>
  <si>
    <t>BOILER  4-4 (Steam flow)</t>
  </si>
  <si>
    <t>Unit-1 hotwell make up</t>
  </si>
  <si>
    <t>Unit-2 hotwell make up</t>
  </si>
  <si>
    <t>Unit-3 hotwell make up</t>
  </si>
  <si>
    <t>Boiler fill pump flow</t>
  </si>
  <si>
    <t>Unit-1 condensate flow</t>
  </si>
  <si>
    <t>Unit-1 DM water flow</t>
  </si>
  <si>
    <t>Excess return to DM tank</t>
  </si>
  <si>
    <t>TG steam flow &amp;
DM make up (TPH)</t>
  </si>
  <si>
    <t>TG-1 (TPH)</t>
  </si>
  <si>
    <t>TG-2 (TPH)</t>
  </si>
  <si>
    <t>TG-3 (TPH)</t>
  </si>
  <si>
    <t>Unit-1 HW make up (TPH)</t>
  </si>
  <si>
    <t>Unit-2 HW make up (TPH)</t>
  </si>
  <si>
    <t>Unit-3 HW make up (TPH)</t>
  </si>
  <si>
    <t>Boiler fill pump flow (TPH)</t>
  </si>
  <si>
    <t>Unit-1 condensate flow (TPH)</t>
  </si>
  <si>
    <t>Unit-1 DM water flow (TPH)</t>
  </si>
  <si>
    <t>Excess return to DM tank (TPH)</t>
  </si>
  <si>
    <t>(Hotwell make up+Boiler Fill p/p make up) - (excess return)</t>
  </si>
  <si>
    <t>Raw water totalizer readings</t>
  </si>
  <si>
    <t>Raw water intake at reservior (old meter)</t>
  </si>
  <si>
    <t>Raw water intake at reservior (new meter)</t>
  </si>
  <si>
    <t>Raw water inlet flow (HDA billing meter)</t>
  </si>
  <si>
    <t>TPC Cons-1 (RWP flow) - old meter</t>
  </si>
  <si>
    <t>TPC Cons-1 (RWP flow) - new meter</t>
  </si>
  <si>
    <t>TPC Cons-2 (Direct forebay make up)</t>
  </si>
  <si>
    <t>TSL Cons - New meter (EM type) Local reading</t>
  </si>
  <si>
    <t>TSL Cons - New meter (EM type) DCS reading</t>
  </si>
  <si>
    <t>Forebay make up through RWP</t>
  </si>
  <si>
    <t>TPC fire water cons</t>
  </si>
  <si>
    <t>TSL fire water cons</t>
  </si>
  <si>
    <t>DM plant make up</t>
  </si>
  <si>
    <t>CW blow down</t>
  </si>
  <si>
    <t>Service Water Cons</t>
  </si>
  <si>
    <t>Raw water consumption
(M3/day)</t>
  </si>
  <si>
    <t>TSL Cons - new meter</t>
  </si>
  <si>
    <t>TSL Cons - DCS meter</t>
  </si>
  <si>
    <t>TPC fire water cons (EM)</t>
  </si>
  <si>
    <t>TSL fire water cons (EM)</t>
  </si>
  <si>
    <t>Raw water analysis</t>
  </si>
  <si>
    <t>Total TPC raw water cons</t>
  </si>
  <si>
    <t>Total TPC raw water cons (MTD)</t>
  </si>
  <si>
    <t>Total TPC raw water cons %</t>
  </si>
  <si>
    <t>Total TPC raw water cons % (MTD)</t>
  </si>
  <si>
    <t>Total TSL raw water cons</t>
  </si>
  <si>
    <t>Total TSL raw water cons (MTD)</t>
  </si>
  <si>
    <t>Total TSL raw water cons %</t>
  </si>
  <si>
    <t>Total TSL raw water cons % (MTD)</t>
  </si>
  <si>
    <t>Total raw water cons per day (TPC+TSL)</t>
  </si>
  <si>
    <t>Total raw water cons per day (TPC+TSL) - MTD</t>
  </si>
  <si>
    <t>Gap between billing meter - (total intake at reservoir + forebay)</t>
  </si>
  <si>
    <t>Gap between billing meter - (TPC cons + TSL cons)</t>
  </si>
  <si>
    <t>TPC make up (DM plant + RW to Forebay +Direct Forbay + TPC Fire water)</t>
  </si>
  <si>
    <t>TPC make up MTD</t>
  </si>
  <si>
    <t>Gap between TPC cons - Total make up</t>
  </si>
  <si>
    <t>CT evaporation loss</t>
  </si>
  <si>
    <t>Reservoir level down</t>
  </si>
  <si>
    <t>1.0 ft</t>
  </si>
  <si>
    <t>2.5 ft</t>
  </si>
  <si>
    <t>Specific Raw water consumption</t>
  </si>
  <si>
    <t>Parameters/Dates</t>
  </si>
  <si>
    <t>BOILER # 1-1</t>
  </si>
  <si>
    <t>Steam Generation</t>
  </si>
  <si>
    <t>TPD</t>
  </si>
  <si>
    <t>BOILER # 1-2</t>
  </si>
  <si>
    <t>BOILER # 1-3</t>
  </si>
  <si>
    <t>BOILER#1-4</t>
  </si>
  <si>
    <t>BOILER # 2-3</t>
  </si>
  <si>
    <t>BOILER # 2-4</t>
  </si>
  <si>
    <t>BOILER # 3-1</t>
  </si>
  <si>
    <t>BOILER # 3-2</t>
  </si>
  <si>
    <t>BOILER # 3-3</t>
  </si>
  <si>
    <t>BOILER # 3-4</t>
  </si>
  <si>
    <t>BOILER # 2-1</t>
  </si>
  <si>
    <t>BOILER # 2-2</t>
  </si>
  <si>
    <t>BOILER # 4-1</t>
  </si>
  <si>
    <t>BOILER # 4-2</t>
  </si>
  <si>
    <t>BOILER # 4-3</t>
  </si>
  <si>
    <t>BOILER# 4-4</t>
  </si>
  <si>
    <t>NOs</t>
  </si>
  <si>
    <t>Boilers partial/not available</t>
  </si>
  <si>
    <t>Avg running hr of partialy available Blr.</t>
  </si>
  <si>
    <t>Avg No of Boilers in service</t>
  </si>
  <si>
    <t>Nos</t>
  </si>
  <si>
    <t>day-2</t>
  </si>
  <si>
    <t>day-7</t>
  </si>
  <si>
    <t>UNIT # 1 PERFORMANCE GRAPHS</t>
  </si>
  <si>
    <t>UNIT # 2 PERFORMANCE GRAPHS</t>
  </si>
  <si>
    <t>UNIT # 3 PERFORMANCE GRAPHS</t>
  </si>
  <si>
    <t>Max Load</t>
  </si>
  <si>
    <t>Min Load</t>
  </si>
  <si>
    <t xml:space="preserve"> </t>
  </si>
  <si>
    <t>TG  Availability</t>
  </si>
  <si>
    <t>Generation Availability</t>
  </si>
  <si>
    <t>Unit-1 Boilers fully available</t>
  </si>
  <si>
    <t>Unit-2 Boilers fully available</t>
  </si>
  <si>
    <t>Unit-3 Boilers fully available</t>
  </si>
  <si>
    <t xml:space="preserve">Generation Availability </t>
  </si>
  <si>
    <t xml:space="preserve"> Boilers fully available</t>
  </si>
  <si>
    <t>Unit# 1 Boilers</t>
  </si>
  <si>
    <t>Unit# 2 Boilers</t>
  </si>
  <si>
    <t>Unit# 3 Boilers</t>
  </si>
  <si>
    <t>Unit  Boilers</t>
  </si>
  <si>
    <t>Raw Water taken with PHE</t>
  </si>
  <si>
    <t>2.0 ft</t>
  </si>
  <si>
    <t>1ft</t>
  </si>
  <si>
    <t>Unit # 1 Generation as per AOP -30.156 MU's</t>
  </si>
  <si>
    <t>Unit # 2 Generation as per AOP -30.16 MU's</t>
  </si>
  <si>
    <t>Unit # 3 Generation as per AOP -20.10 MU's</t>
  </si>
  <si>
    <t xml:space="preserve">UNIT Availability </t>
  </si>
  <si>
    <t xml:space="preserve">  HALDIA DAILY STATION REPORT November'24</t>
  </si>
  <si>
    <t>Target Station Generation as per AOP -74.368 MU's</t>
  </si>
  <si>
    <t>Target Station Plant Load Factor as per AOP -92.222 %</t>
  </si>
  <si>
    <t>Target Station Aux Power Consumption as per AOP -7.238%</t>
  </si>
  <si>
    <t>Target Generation Availability as per AOP -92.222%</t>
  </si>
  <si>
    <t>Target Sales to TPTCL as per AOP - 68.99 MU's</t>
  </si>
  <si>
    <t xml:space="preserve">  HALDIA DAILY STATION REPORT -November'24</t>
  </si>
  <si>
    <t>Unit # 1 Plant Load Factor as per ABP -92.222%</t>
  </si>
  <si>
    <t>Unit # 2 Plant Load Factor as per AOP -92.222%</t>
  </si>
  <si>
    <t>Unit # 3 Plant Load Factor as per AOP - 92.222 %</t>
  </si>
  <si>
    <t>HALDIA DAILY STATION REPORT -November'24</t>
  </si>
  <si>
    <t>1.5 ft</t>
  </si>
  <si>
    <t>November-2024      Doc.No-TPCL/IMS/OPN/REP/R002            REV-01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</si>
</sst>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 * #,##0.00_ ;_ * \-#,##0.00_ ;_ * &quot;-&quot;??_ ;_ @_ "/>
    <numFmt numFmtId="164" formatCode="0.000"/>
    <numFmt numFmtId="165" formatCode="0.0"/>
    <numFmt numFmtId="166" formatCode="#,##0.0"/>
    <numFmt numFmtId="168" formatCode="[$-409]d\-mmm;@"/>
    <numFmt numFmtId="170" formatCode="0.0000"/>
    <numFmt numFmtId="172" formatCode="0.00000"/>
    <numFmt numFmtId="173" formatCode="0.00000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b/>
      <sz val="20"/>
      <color indexed="8"/>
      <name val="Arial"/>
      <family val="2"/>
    </font>
    <font>
      <sz val="16"/>
      <color indexed="8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b/>
      <sz val="28"/>
      <name val="Arial"/>
      <family val="2"/>
    </font>
    <font>
      <sz val="18"/>
      <name val="Arial"/>
      <family val="2"/>
    </font>
    <font>
      <sz val="10"/>
      <color indexed="12"/>
      <name val="Arial"/>
      <family val="2"/>
    </font>
    <font>
      <b/>
      <sz val="14"/>
      <color indexed="9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b/>
      <sz val="24"/>
      <color indexed="8"/>
      <name val="Arial"/>
      <family val="2"/>
    </font>
    <font>
      <b/>
      <sz val="22"/>
      <name val="Arial"/>
      <family val="2"/>
    </font>
    <font>
      <b/>
      <sz val="12"/>
      <color indexed="8"/>
      <name val="Arial"/>
      <family val="2"/>
    </font>
    <font>
      <b/>
      <sz val="22"/>
      <color indexed="8"/>
      <name val="Arial"/>
      <family val="2"/>
    </font>
    <font>
      <b/>
      <sz val="24"/>
      <name val="Arial"/>
      <family val="2"/>
    </font>
    <font>
      <b/>
      <sz val="16"/>
      <color indexed="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name val="Calibri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1"/>
      <color rgb="FF0000FF"/>
      <name val="Arial"/>
      <family val="2"/>
    </font>
    <font>
      <b/>
      <sz val="14"/>
      <color rgb="FFFF0000"/>
      <name val="Arial"/>
      <family val="2"/>
    </font>
    <font>
      <sz val="11"/>
      <color rgb="FF0000FF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Arial"/>
      <family val="2"/>
    </font>
    <font>
      <sz val="9"/>
      <color indexed="81"/>
      <name val="Tahoma"/>
    </font>
    <font>
      <b/>
      <sz val="9"/>
      <color indexed="81"/>
      <name val="Tahoma"/>
    </font>
  </fonts>
  <fills count="4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FF4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48" fillId="0" borderId="0"/>
    <xf numFmtId="0" fontId="7" fillId="0" borderId="0"/>
    <xf numFmtId="0" fontId="11" fillId="0" borderId="0"/>
    <xf numFmtId="0" fontId="11" fillId="0" borderId="0"/>
    <xf numFmtId="0" fontId="6" fillId="0" borderId="0"/>
    <xf numFmtId="0" fontId="11" fillId="0" borderId="0" applyNumberFormat="0"/>
    <xf numFmtId="0" fontId="5" fillId="0" borderId="0"/>
    <xf numFmtId="0" fontId="11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2">
    <xf numFmtId="0" fontId="0" fillId="0" borderId="0" xfId="0"/>
    <xf numFmtId="0" fontId="14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2" fontId="17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4" fontId="17" fillId="2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164" fontId="17" fillId="6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3" fillId="0" borderId="0" xfId="0" applyFont="1"/>
    <xf numFmtId="0" fontId="0" fillId="0" borderId="0" xfId="0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8" borderId="3" xfId="0" applyFont="1" applyFill="1" applyBorder="1" applyAlignment="1">
      <alignment vertical="center"/>
    </xf>
    <xf numFmtId="0" fontId="11" fillId="8" borderId="3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14" borderId="0" xfId="0" applyFont="1" applyFill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vertical="center"/>
    </xf>
    <xf numFmtId="0" fontId="20" fillId="9" borderId="1" xfId="0" applyFon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vertical="center"/>
    </xf>
    <xf numFmtId="0" fontId="28" fillId="16" borderId="0" xfId="0" applyFont="1" applyFill="1" applyAlignment="1">
      <alignment vertical="center"/>
    </xf>
    <xf numFmtId="2" fontId="0" fillId="0" borderId="0" xfId="0" applyNumberFormat="1" applyAlignment="1">
      <alignment vertical="center"/>
    </xf>
    <xf numFmtId="0" fontId="28" fillId="0" borderId="0" xfId="0" applyFont="1" applyAlignment="1">
      <alignment horizontal="center" vertical="center"/>
    </xf>
    <xf numFmtId="16" fontId="0" fillId="0" borderId="0" xfId="0" applyNumberFormat="1" applyAlignment="1">
      <alignment vertical="center"/>
    </xf>
    <xf numFmtId="0" fontId="28" fillId="0" borderId="0" xfId="0" applyFont="1" applyAlignment="1">
      <alignment vertical="center"/>
    </xf>
    <xf numFmtId="16" fontId="23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7" fontId="21" fillId="11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22" fillId="16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31" fillId="17" borderId="1" xfId="0" applyFont="1" applyFill="1" applyBorder="1" applyAlignment="1">
      <alignment vertical="center" wrapText="1"/>
    </xf>
    <xf numFmtId="0" fontId="23" fillId="17" borderId="1" xfId="0" applyFont="1" applyFill="1" applyBorder="1" applyAlignment="1">
      <alignment horizontal="center" vertical="center" wrapText="1"/>
    </xf>
    <xf numFmtId="2" fontId="23" fillId="17" borderId="1" xfId="0" applyNumberFormat="1" applyFont="1" applyFill="1" applyBorder="1" applyAlignment="1">
      <alignment horizontal="center" vertical="center"/>
    </xf>
    <xf numFmtId="1" fontId="17" fillId="5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2" fontId="44" fillId="19" borderId="1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2" fontId="17" fillId="16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33" fillId="9" borderId="4" xfId="0" applyFont="1" applyFill="1" applyBorder="1" applyAlignment="1">
      <alignment vertical="center"/>
    </xf>
    <xf numFmtId="0" fontId="22" fillId="16" borderId="3" xfId="0" applyFont="1" applyFill="1" applyBorder="1"/>
    <xf numFmtId="0" fontId="22" fillId="16" borderId="3" xfId="0" applyFont="1" applyFill="1" applyBorder="1" applyAlignment="1">
      <alignment horizontal="center"/>
    </xf>
    <xf numFmtId="49" fontId="32" fillId="21" borderId="8" xfId="0" applyNumberFormat="1" applyFont="1" applyFill="1" applyBorder="1" applyAlignment="1">
      <alignment vertical="center"/>
    </xf>
    <xf numFmtId="49" fontId="32" fillId="21" borderId="7" xfId="0" applyNumberFormat="1" applyFont="1" applyFill="1" applyBorder="1" applyAlignment="1">
      <alignment vertical="center"/>
    </xf>
    <xf numFmtId="2" fontId="17" fillId="20" borderId="1" xfId="0" applyNumberFormat="1" applyFont="1" applyFill="1" applyBorder="1" applyAlignment="1">
      <alignment horizontal="center" vertical="center"/>
    </xf>
    <xf numFmtId="0" fontId="41" fillId="20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31" fillId="20" borderId="0" xfId="0" applyFont="1" applyFill="1" applyAlignment="1">
      <alignment horizontal="center" vertical="center"/>
    </xf>
    <xf numFmtId="0" fontId="41" fillId="23" borderId="10" xfId="0" applyFont="1" applyFill="1" applyBorder="1" applyAlignment="1">
      <alignment horizontal="left" vertical="center"/>
    </xf>
    <xf numFmtId="1" fontId="41" fillId="23" borderId="11" xfId="0" applyNumberFormat="1" applyFont="1" applyFill="1" applyBorder="1" applyAlignment="1">
      <alignment horizontal="right" vertical="center"/>
    </xf>
    <xf numFmtId="1" fontId="31" fillId="24" borderId="12" xfId="0" applyNumberFormat="1" applyFont="1" applyFill="1" applyBorder="1" applyAlignment="1">
      <alignment horizontal="center" vertical="center"/>
    </xf>
    <xf numFmtId="0" fontId="41" fillId="23" borderId="13" xfId="0" applyFont="1" applyFill="1" applyBorder="1" applyAlignment="1">
      <alignment horizontal="left" vertical="center"/>
    </xf>
    <xf numFmtId="1" fontId="41" fillId="23" borderId="1" xfId="0" applyNumberFormat="1" applyFont="1" applyFill="1" applyBorder="1" applyAlignment="1">
      <alignment horizontal="right" vertical="center"/>
    </xf>
    <xf numFmtId="1" fontId="41" fillId="23" borderId="1" xfId="0" applyNumberFormat="1" applyFont="1" applyFill="1" applyBorder="1" applyAlignment="1">
      <alignment horizontal="right" vertical="center" wrapText="1"/>
    </xf>
    <xf numFmtId="0" fontId="41" fillId="23" borderId="13" xfId="0" applyFont="1" applyFill="1" applyBorder="1" applyAlignment="1">
      <alignment horizontal="left" vertical="center" wrapText="1"/>
    </xf>
    <xf numFmtId="0" fontId="31" fillId="20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41" fillId="23" borderId="15" xfId="0" applyFont="1" applyFill="1" applyBorder="1" applyAlignment="1">
      <alignment horizontal="left" vertical="center" wrapText="1"/>
    </xf>
    <xf numFmtId="1" fontId="41" fillId="23" borderId="3" xfId="0" applyNumberFormat="1" applyFont="1" applyFill="1" applyBorder="1" applyAlignment="1">
      <alignment horizontal="right" vertical="center"/>
    </xf>
    <xf numFmtId="0" fontId="31" fillId="18" borderId="11" xfId="0" applyFont="1" applyFill="1" applyBorder="1" applyAlignment="1">
      <alignment horizontal="left" vertical="center"/>
    </xf>
    <xf numFmtId="0" fontId="31" fillId="18" borderId="1" xfId="0" applyFont="1" applyFill="1" applyBorder="1" applyAlignment="1">
      <alignment horizontal="left" vertical="center"/>
    </xf>
    <xf numFmtId="0" fontId="31" fillId="18" borderId="1" xfId="0" applyFont="1" applyFill="1" applyBorder="1" applyAlignment="1">
      <alignment horizontal="left" vertical="center" wrapText="1"/>
    </xf>
    <xf numFmtId="0" fontId="31" fillId="18" borderId="3" xfId="0" applyFont="1" applyFill="1" applyBorder="1" applyAlignment="1">
      <alignment horizontal="left" vertical="center" wrapText="1"/>
    </xf>
    <xf numFmtId="0" fontId="41" fillId="25" borderId="11" xfId="0" applyFont="1" applyFill="1" applyBorder="1" applyAlignment="1">
      <alignment horizontal="left" vertical="center" wrapText="1"/>
    </xf>
    <xf numFmtId="1" fontId="41" fillId="25" borderId="11" xfId="0" applyNumberFormat="1" applyFont="1" applyFill="1" applyBorder="1" applyAlignment="1">
      <alignment horizontal="right" vertical="center"/>
    </xf>
    <xf numFmtId="0" fontId="41" fillId="25" borderId="1" xfId="0" applyFont="1" applyFill="1" applyBorder="1" applyAlignment="1">
      <alignment horizontal="left" vertical="center" wrapText="1"/>
    </xf>
    <xf numFmtId="1" fontId="41" fillId="25" borderId="1" xfId="0" applyNumberFormat="1" applyFont="1" applyFill="1" applyBorder="1" applyAlignment="1">
      <alignment horizontal="right" vertical="center"/>
    </xf>
    <xf numFmtId="0" fontId="41" fillId="25" borderId="1" xfId="0" applyFont="1" applyFill="1" applyBorder="1" applyAlignment="1">
      <alignment horizontal="left" vertical="center"/>
    </xf>
    <xf numFmtId="0" fontId="41" fillId="25" borderId="3" xfId="0" applyFont="1" applyFill="1" applyBorder="1" applyAlignment="1">
      <alignment horizontal="left" vertical="center"/>
    </xf>
    <xf numFmtId="1" fontId="41" fillId="25" borderId="3" xfId="0" applyNumberFormat="1" applyFont="1" applyFill="1" applyBorder="1" applyAlignment="1">
      <alignment horizontal="right" vertical="center"/>
    </xf>
    <xf numFmtId="0" fontId="31" fillId="26" borderId="0" xfId="0" applyFont="1" applyFill="1" applyAlignment="1">
      <alignment vertical="center"/>
    </xf>
    <xf numFmtId="0" fontId="31" fillId="27" borderId="1" xfId="0" applyFont="1" applyFill="1" applyBorder="1" applyAlignment="1">
      <alignment horizontal="left" vertical="center" wrapText="1"/>
    </xf>
    <xf numFmtId="0" fontId="31" fillId="26" borderId="1" xfId="0" applyFont="1" applyFill="1" applyBorder="1" applyAlignment="1">
      <alignment horizontal="left" vertical="center" wrapText="1"/>
    </xf>
    <xf numFmtId="0" fontId="31" fillId="28" borderId="0" xfId="0" applyFont="1" applyFill="1" applyAlignment="1">
      <alignment vertical="center"/>
    </xf>
    <xf numFmtId="0" fontId="31" fillId="28" borderId="1" xfId="0" applyFont="1" applyFill="1" applyBorder="1" applyAlignment="1">
      <alignment horizontal="left" vertical="center" wrapText="1"/>
    </xf>
    <xf numFmtId="0" fontId="45" fillId="20" borderId="0" xfId="0" applyFont="1" applyFill="1" applyAlignment="1">
      <alignment vertical="center"/>
    </xf>
    <xf numFmtId="0" fontId="45" fillId="28" borderId="0" xfId="0" applyFont="1" applyFill="1" applyAlignment="1">
      <alignment vertical="center"/>
    </xf>
    <xf numFmtId="0" fontId="45" fillId="28" borderId="1" xfId="0" applyFont="1" applyFill="1" applyBorder="1" applyAlignment="1">
      <alignment horizontal="left" vertical="center" wrapText="1"/>
    </xf>
    <xf numFmtId="0" fontId="41" fillId="28" borderId="0" xfId="0" applyFont="1" applyFill="1" applyAlignment="1">
      <alignment vertical="center"/>
    </xf>
    <xf numFmtId="0" fontId="31" fillId="28" borderId="1" xfId="0" applyFont="1" applyFill="1" applyBorder="1" applyAlignment="1">
      <alignment horizontal="left" vertical="center"/>
    </xf>
    <xf numFmtId="0" fontId="41" fillId="0" borderId="0" xfId="0" applyFont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/>
    </xf>
    <xf numFmtId="0" fontId="20" fillId="20" borderId="1" xfId="0" applyFont="1" applyFill="1" applyBorder="1" applyAlignment="1">
      <alignment vertical="center" wrapText="1"/>
    </xf>
    <xf numFmtId="17" fontId="43" fillId="11" borderId="1" xfId="0" applyNumberFormat="1" applyFont="1" applyFill="1" applyBorder="1" applyAlignment="1">
      <alignment horizontal="center" vertical="center" wrapText="1"/>
    </xf>
    <xf numFmtId="0" fontId="37" fillId="6" borderId="18" xfId="0" applyFont="1" applyFill="1" applyBorder="1" applyAlignment="1">
      <alignment vertical="center" wrapText="1"/>
    </xf>
    <xf numFmtId="0" fontId="37" fillId="6" borderId="6" xfId="0" applyFont="1" applyFill="1" applyBorder="1" applyAlignment="1">
      <alignment vertical="center" wrapText="1"/>
    </xf>
    <xf numFmtId="170" fontId="0" fillId="0" borderId="0" xfId="0" applyNumberFormat="1" applyAlignment="1">
      <alignment vertical="center"/>
    </xf>
    <xf numFmtId="170" fontId="0" fillId="0" borderId="0" xfId="0" applyNumberFormat="1"/>
    <xf numFmtId="1" fontId="31" fillId="27" borderId="14" xfId="0" applyNumberFormat="1" applyFont="1" applyFill="1" applyBorder="1" applyAlignment="1">
      <alignment horizontal="center" vertical="center"/>
    </xf>
    <xf numFmtId="1" fontId="31" fillId="27" borderId="16" xfId="0" applyNumberFormat="1" applyFont="1" applyFill="1" applyBorder="1" applyAlignment="1">
      <alignment horizontal="center" vertical="center"/>
    </xf>
    <xf numFmtId="1" fontId="31" fillId="30" borderId="14" xfId="0" applyNumberFormat="1" applyFont="1" applyFill="1" applyBorder="1" applyAlignment="1">
      <alignment horizontal="center" vertical="center"/>
    </xf>
    <xf numFmtId="1" fontId="45" fillId="30" borderId="14" xfId="0" applyNumberFormat="1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left" vertical="center" wrapText="1"/>
    </xf>
    <xf numFmtId="1" fontId="41" fillId="30" borderId="16" xfId="0" applyNumberFormat="1" applyFont="1" applyFill="1" applyBorder="1" applyAlignment="1">
      <alignment horizontal="center" vertical="center"/>
    </xf>
    <xf numFmtId="1" fontId="41" fillId="27" borderId="21" xfId="0" applyNumberFormat="1" applyFont="1" applyFill="1" applyBorder="1" applyAlignment="1">
      <alignment horizontal="center" vertical="center"/>
    </xf>
    <xf numFmtId="0" fontId="41" fillId="26" borderId="0" xfId="0" applyFont="1" applyFill="1" applyAlignment="1">
      <alignment vertical="center"/>
    </xf>
    <xf numFmtId="0" fontId="41" fillId="26" borderId="1" xfId="0" applyFont="1" applyFill="1" applyBorder="1" applyAlignment="1">
      <alignment horizontal="left" vertical="center" wrapText="1"/>
    </xf>
    <xf numFmtId="1" fontId="41" fillId="27" borderId="14" xfId="0" applyNumberFormat="1" applyFont="1" applyFill="1" applyBorder="1" applyAlignment="1">
      <alignment horizontal="center" vertical="center"/>
    </xf>
    <xf numFmtId="0" fontId="41" fillId="28" borderId="1" xfId="0" applyFont="1" applyFill="1" applyBorder="1" applyAlignment="1">
      <alignment horizontal="left" vertical="center" wrapText="1"/>
    </xf>
    <xf numFmtId="1" fontId="41" fillId="30" borderId="14" xfId="0" applyNumberFormat="1" applyFont="1" applyFill="1" applyBorder="1" applyAlignment="1">
      <alignment horizontal="center" vertical="center"/>
    </xf>
    <xf numFmtId="0" fontId="41" fillId="20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6" fillId="28" borderId="9" xfId="0" applyFont="1" applyFill="1" applyBorder="1" applyAlignment="1">
      <alignment horizontal="left" vertical="center" wrapText="1"/>
    </xf>
    <xf numFmtId="1" fontId="46" fillId="30" borderId="20" xfId="0" applyNumberFormat="1" applyFont="1" applyFill="1" applyBorder="1" applyAlignment="1">
      <alignment horizontal="center" vertical="center"/>
    </xf>
    <xf numFmtId="0" fontId="46" fillId="20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17" fillId="2" borderId="1" xfId="0" applyNumberFormat="1" applyFont="1" applyFill="1" applyBorder="1" applyAlignment="1">
      <alignment horizontal="center" vertical="center"/>
    </xf>
    <xf numFmtId="0" fontId="47" fillId="20" borderId="0" xfId="0" applyFont="1" applyFill="1" applyAlignment="1">
      <alignment vertical="center"/>
    </xf>
    <xf numFmtId="0" fontId="47" fillId="28" borderId="0" xfId="0" applyFont="1" applyFill="1" applyAlignment="1">
      <alignment vertical="center"/>
    </xf>
    <xf numFmtId="0" fontId="41" fillId="33" borderId="2" xfId="0" applyFont="1" applyFill="1" applyBorder="1" applyAlignment="1">
      <alignment horizontal="left" vertical="center" wrapText="1"/>
    </xf>
    <xf numFmtId="1" fontId="41" fillId="33" borderId="21" xfId="0" applyNumberFormat="1" applyFont="1" applyFill="1" applyBorder="1" applyAlignment="1">
      <alignment horizontal="center" vertical="center"/>
    </xf>
    <xf numFmtId="0" fontId="31" fillId="33" borderId="2" xfId="0" applyFont="1" applyFill="1" applyBorder="1" applyAlignment="1">
      <alignment horizontal="left" vertical="center" wrapText="1"/>
    </xf>
    <xf numFmtId="1" fontId="31" fillId="33" borderId="21" xfId="0" applyNumberFormat="1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left" vertical="center" wrapText="1"/>
    </xf>
    <xf numFmtId="1" fontId="31" fillId="34" borderId="14" xfId="0" applyNumberFormat="1" applyFont="1" applyFill="1" applyBorder="1" applyAlignment="1">
      <alignment horizontal="center" vertical="center"/>
    </xf>
    <xf numFmtId="0" fontId="41" fillId="34" borderId="1" xfId="0" applyFont="1" applyFill="1" applyBorder="1" applyAlignment="1">
      <alignment horizontal="left" vertical="center" wrapText="1"/>
    </xf>
    <xf numFmtId="1" fontId="41" fillId="0" borderId="0" xfId="0" applyNumberFormat="1" applyFont="1" applyAlignment="1">
      <alignment horizontal="right" vertical="center"/>
    </xf>
    <xf numFmtId="0" fontId="41" fillId="36" borderId="1" xfId="0" applyFont="1" applyFill="1" applyBorder="1" applyAlignment="1">
      <alignment horizontal="left" vertical="center" wrapText="1"/>
    </xf>
    <xf numFmtId="0" fontId="31" fillId="36" borderId="1" xfId="0" applyFont="1" applyFill="1" applyBorder="1" applyAlignment="1">
      <alignment horizontal="left" vertical="center" wrapText="1"/>
    </xf>
    <xf numFmtId="0" fontId="41" fillId="26" borderId="2" xfId="0" applyFont="1" applyFill="1" applyBorder="1" applyAlignment="1">
      <alignment horizontal="left" vertical="center" wrapText="1"/>
    </xf>
    <xf numFmtId="0" fontId="21" fillId="27" borderId="0" xfId="0" applyFont="1" applyFill="1" applyAlignment="1">
      <alignment horizontal="center" vertical="center" textRotation="90" wrapText="1"/>
    </xf>
    <xf numFmtId="0" fontId="31" fillId="32" borderId="2" xfId="0" applyFont="1" applyFill="1" applyBorder="1" applyAlignment="1">
      <alignment horizontal="left" vertical="center" wrapText="1"/>
    </xf>
    <xf numFmtId="165" fontId="17" fillId="2" borderId="1" xfId="0" applyNumberFormat="1" applyFont="1" applyFill="1" applyBorder="1" applyAlignment="1">
      <alignment horizontal="center" vertical="center"/>
    </xf>
    <xf numFmtId="0" fontId="41" fillId="37" borderId="1" xfId="0" applyFont="1" applyFill="1" applyBorder="1" applyAlignment="1">
      <alignment horizontal="left" vertical="center" wrapText="1"/>
    </xf>
    <xf numFmtId="1" fontId="41" fillId="38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vertical="center"/>
    </xf>
    <xf numFmtId="0" fontId="31" fillId="39" borderId="1" xfId="0" applyFont="1" applyFill="1" applyBorder="1" applyAlignment="1">
      <alignment horizontal="left" vertical="center" wrapText="1"/>
    </xf>
    <xf numFmtId="0" fontId="41" fillId="39" borderId="1" xfId="0" applyFont="1" applyFill="1" applyBorder="1" applyAlignment="1">
      <alignment horizontal="left" vertical="center" wrapText="1"/>
    </xf>
    <xf numFmtId="1" fontId="41" fillId="23" borderId="1" xfId="0" applyNumberFormat="1" applyFont="1" applyFill="1" applyBorder="1" applyAlignment="1">
      <alignment vertical="center"/>
    </xf>
    <xf numFmtId="0" fontId="31" fillId="35" borderId="3" xfId="0" applyFont="1" applyFill="1" applyBorder="1" applyAlignment="1">
      <alignment horizontal="left" vertical="center" wrapText="1"/>
    </xf>
    <xf numFmtId="0" fontId="41" fillId="23" borderId="1" xfId="0" applyFont="1" applyFill="1" applyBorder="1" applyAlignment="1">
      <alignment vertical="center"/>
    </xf>
    <xf numFmtId="49" fontId="35" fillId="11" borderId="23" xfId="0" applyNumberFormat="1" applyFont="1" applyFill="1" applyBorder="1" applyAlignment="1">
      <alignment vertical="center"/>
    </xf>
    <xf numFmtId="0" fontId="41" fillId="17" borderId="1" xfId="0" applyFont="1" applyFill="1" applyBorder="1" applyAlignment="1">
      <alignment horizontal="left" vertical="center" wrapText="1"/>
    </xf>
    <xf numFmtId="2" fontId="17" fillId="40" borderId="1" xfId="0" applyNumberFormat="1" applyFont="1" applyFill="1" applyBorder="1" applyAlignment="1">
      <alignment horizontal="center" vertical="center"/>
    </xf>
    <xf numFmtId="164" fontId="17" fillId="40" borderId="1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2" fontId="17" fillId="6" borderId="1" xfId="0" applyNumberFormat="1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1" fontId="34" fillId="2" borderId="1" xfId="0" applyNumberFormat="1" applyFont="1" applyFill="1" applyBorder="1" applyAlignment="1">
      <alignment horizontal="center" vertical="center"/>
    </xf>
    <xf numFmtId="164" fontId="17" fillId="9" borderId="1" xfId="0" applyNumberFormat="1" applyFont="1" applyFill="1" applyBorder="1" applyAlignment="1">
      <alignment horizontal="center" vertical="center"/>
    </xf>
    <xf numFmtId="165" fontId="17" fillId="9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165" fontId="17" fillId="19" borderId="1" xfId="0" applyNumberFormat="1" applyFont="1" applyFill="1" applyBorder="1" applyAlignment="1">
      <alignment horizontal="center" vertical="center"/>
    </xf>
    <xf numFmtId="2" fontId="17" fillId="19" borderId="1" xfId="0" applyNumberFormat="1" applyFont="1" applyFill="1" applyBorder="1" applyAlignment="1">
      <alignment horizontal="center" vertical="center"/>
    </xf>
    <xf numFmtId="164" fontId="17" fillId="41" borderId="1" xfId="0" applyNumberFormat="1" applyFont="1" applyFill="1" applyBorder="1" applyAlignment="1">
      <alignment horizontal="center" vertical="center"/>
    </xf>
    <xf numFmtId="1" fontId="31" fillId="29" borderId="24" xfId="0" applyNumberFormat="1" applyFont="1" applyFill="1" applyBorder="1" applyAlignment="1">
      <alignment horizontal="center" vertical="center"/>
    </xf>
    <xf numFmtId="1" fontId="31" fillId="29" borderId="2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7" fillId="5" borderId="1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/>
    </xf>
    <xf numFmtId="49" fontId="32" fillId="21" borderId="7" xfId="0" applyNumberFormat="1" applyFont="1" applyFill="1" applyBorder="1" applyAlignment="1">
      <alignment horizontal="center" vertical="center"/>
    </xf>
    <xf numFmtId="1" fontId="31" fillId="29" borderId="32" xfId="0" applyNumberFormat="1" applyFont="1" applyFill="1" applyBorder="1" applyAlignment="1">
      <alignment horizontal="center" vertical="center"/>
    </xf>
    <xf numFmtId="1" fontId="31" fillId="31" borderId="24" xfId="0" applyNumberFormat="1" applyFont="1" applyFill="1" applyBorder="1" applyAlignment="1">
      <alignment horizontal="center" vertical="center"/>
    </xf>
    <xf numFmtId="1" fontId="31" fillId="31" borderId="22" xfId="0" applyNumberFormat="1" applyFont="1" applyFill="1" applyBorder="1" applyAlignment="1">
      <alignment horizontal="center" vertical="center"/>
    </xf>
    <xf numFmtId="1" fontId="31" fillId="31" borderId="33" xfId="0" applyNumberFormat="1" applyFont="1" applyFill="1" applyBorder="1" applyAlignment="1">
      <alignment horizontal="center" vertical="center"/>
    </xf>
    <xf numFmtId="1" fontId="31" fillId="27" borderId="2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2" fontId="17" fillId="2" borderId="2" xfId="0" applyNumberFormat="1" applyFont="1" applyFill="1" applyBorder="1" applyAlignment="1">
      <alignment horizontal="center" vertical="center"/>
    </xf>
    <xf numFmtId="2" fontId="17" fillId="2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168" fontId="42" fillId="22" borderId="3" xfId="0" applyNumberFormat="1" applyFont="1" applyFill="1" applyBorder="1" applyAlignment="1" applyProtection="1">
      <alignment horizontal="right" vertical="center"/>
      <protection locked="0"/>
    </xf>
    <xf numFmtId="1" fontId="31" fillId="18" borderId="1" xfId="0" applyNumberFormat="1" applyFont="1" applyFill="1" applyBorder="1" applyAlignment="1">
      <alignment horizontal="right" vertical="center"/>
    </xf>
    <xf numFmtId="1" fontId="41" fillId="26" borderId="1" xfId="0" applyNumberFormat="1" applyFont="1" applyFill="1" applyBorder="1" applyAlignment="1">
      <alignment horizontal="right" vertical="center"/>
    </xf>
    <xf numFmtId="1" fontId="31" fillId="27" borderId="1" xfId="0" applyNumberFormat="1" applyFont="1" applyFill="1" applyBorder="1" applyAlignment="1">
      <alignment horizontal="right" vertical="center"/>
    </xf>
    <xf numFmtId="1" fontId="31" fillId="35" borderId="1" xfId="0" applyNumberFormat="1" applyFont="1" applyFill="1" applyBorder="1" applyAlignment="1">
      <alignment horizontal="right" vertical="center"/>
    </xf>
    <xf numFmtId="1" fontId="31" fillId="26" borderId="1" xfId="0" applyNumberFormat="1" applyFont="1" applyFill="1" applyBorder="1" applyAlignment="1">
      <alignment horizontal="right" vertical="center"/>
    </xf>
    <xf numFmtId="9" fontId="41" fillId="33" borderId="1" xfId="2" applyFont="1" applyFill="1" applyBorder="1" applyAlignment="1">
      <alignment horizontal="right" vertical="center"/>
    </xf>
    <xf numFmtId="9" fontId="31" fillId="33" borderId="1" xfId="2" applyFont="1" applyFill="1" applyBorder="1" applyAlignment="1">
      <alignment horizontal="right" vertical="center"/>
    </xf>
    <xf numFmtId="1" fontId="41" fillId="28" borderId="1" xfId="0" applyNumberFormat="1" applyFont="1" applyFill="1" applyBorder="1" applyAlignment="1">
      <alignment horizontal="right" vertical="center"/>
    </xf>
    <xf numFmtId="1" fontId="45" fillId="28" borderId="1" xfId="0" applyNumberFormat="1" applyFont="1" applyFill="1" applyBorder="1" applyAlignment="1">
      <alignment horizontal="right" vertical="center"/>
    </xf>
    <xf numFmtId="1" fontId="31" fillId="28" borderId="1" xfId="0" applyNumberFormat="1" applyFont="1" applyFill="1" applyBorder="1" applyAlignment="1">
      <alignment horizontal="right" vertical="center"/>
    </xf>
    <xf numFmtId="165" fontId="46" fillId="28" borderId="1" xfId="0" applyNumberFormat="1" applyFont="1" applyFill="1" applyBorder="1" applyAlignment="1">
      <alignment horizontal="right" vertical="center"/>
    </xf>
    <xf numFmtId="0" fontId="31" fillId="42" borderId="1" xfId="0" applyFont="1" applyFill="1" applyBorder="1" applyAlignment="1">
      <alignment horizontal="left" vertical="center" wrapText="1"/>
    </xf>
    <xf numFmtId="1" fontId="31" fillId="42" borderId="1" xfId="0" applyNumberFormat="1" applyFont="1" applyFill="1" applyBorder="1" applyAlignment="1">
      <alignment horizontal="right" vertical="center"/>
    </xf>
    <xf numFmtId="1" fontId="31" fillId="42" borderId="14" xfId="0" applyNumberFormat="1" applyFont="1" applyFill="1" applyBorder="1" applyAlignment="1">
      <alignment horizontal="center" vertical="center"/>
    </xf>
    <xf numFmtId="0" fontId="41" fillId="42" borderId="0" xfId="0" applyFont="1" applyFill="1" applyAlignment="1">
      <alignment vertical="center"/>
    </xf>
    <xf numFmtId="1" fontId="31" fillId="18" borderId="24" xfId="0" applyNumberFormat="1" applyFont="1" applyFill="1" applyBorder="1" applyAlignment="1">
      <alignment horizontal="right" vertical="center"/>
    </xf>
    <xf numFmtId="1" fontId="31" fillId="18" borderId="22" xfId="0" applyNumberFormat="1" applyFont="1" applyFill="1" applyBorder="1" applyAlignment="1">
      <alignment horizontal="right" vertical="center"/>
    </xf>
    <xf numFmtId="1" fontId="31" fillId="18" borderId="33" xfId="0" applyNumberFormat="1" applyFont="1" applyFill="1" applyBorder="1" applyAlignment="1">
      <alignment horizontal="right" vertical="center"/>
    </xf>
    <xf numFmtId="1" fontId="41" fillId="23" borderId="2" xfId="0" applyNumberFormat="1" applyFont="1" applyFill="1" applyBorder="1" applyAlignment="1">
      <alignment horizontal="right" vertical="center"/>
    </xf>
    <xf numFmtId="1" fontId="31" fillId="24" borderId="21" xfId="0" applyNumberFormat="1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left" vertical="center"/>
    </xf>
    <xf numFmtId="164" fontId="23" fillId="9" borderId="1" xfId="0" applyNumberFormat="1" applyFont="1" applyFill="1" applyBorder="1" applyAlignment="1">
      <alignment horizontal="center" vertical="center"/>
    </xf>
    <xf numFmtId="164" fontId="23" fillId="19" borderId="1" xfId="0" applyNumberFormat="1" applyFont="1" applyFill="1" applyBorder="1" applyAlignment="1">
      <alignment horizontal="center" vertical="center"/>
    </xf>
    <xf numFmtId="164" fontId="23" fillId="15" borderId="1" xfId="0" applyNumberFormat="1" applyFont="1" applyFill="1" applyBorder="1" applyAlignment="1">
      <alignment horizontal="center" vertical="center"/>
    </xf>
    <xf numFmtId="164" fontId="23" fillId="2" borderId="1" xfId="0" applyNumberFormat="1" applyFont="1" applyFill="1" applyBorder="1" applyAlignment="1">
      <alignment horizontal="center" vertical="center"/>
    </xf>
    <xf numFmtId="164" fontId="23" fillId="6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17" fillId="2" borderId="3" xfId="0" applyNumberFormat="1" applyFont="1" applyFill="1" applyBorder="1" applyAlignment="1">
      <alignment horizontal="center" vertical="center"/>
    </xf>
    <xf numFmtId="166" fontId="17" fillId="2" borderId="1" xfId="0" applyNumberFormat="1" applyFont="1" applyFill="1" applyBorder="1" applyAlignment="1">
      <alignment horizontal="center" vertical="center"/>
    </xf>
    <xf numFmtId="170" fontId="17" fillId="2" borderId="2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2" fontId="17" fillId="15" borderId="1" xfId="0" applyNumberFormat="1" applyFont="1" applyFill="1" applyBorder="1" applyAlignment="1">
      <alignment horizontal="center" vertical="center"/>
    </xf>
    <xf numFmtId="165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2" fontId="0" fillId="0" borderId="0" xfId="0" applyNumberFormat="1"/>
    <xf numFmtId="173" fontId="0" fillId="0" borderId="0" xfId="0" applyNumberFormat="1" applyAlignment="1">
      <alignment vertical="center"/>
    </xf>
    <xf numFmtId="1" fontId="41" fillId="20" borderId="0" xfId="0" applyNumberFormat="1" applyFont="1" applyFill="1" applyAlignment="1">
      <alignment vertical="center"/>
    </xf>
    <xf numFmtId="1" fontId="41" fillId="25" borderId="1" xfId="0" quotePrefix="1" applyNumberFormat="1" applyFont="1" applyFill="1" applyBorder="1" applyAlignment="1">
      <alignment horizontal="right" vertical="center"/>
    </xf>
    <xf numFmtId="1" fontId="41" fillId="33" borderId="1" xfId="0" applyNumberFormat="1" applyFont="1" applyFill="1" applyBorder="1" applyAlignment="1">
      <alignment vertical="center"/>
    </xf>
    <xf numFmtId="1" fontId="41" fillId="34" borderId="1" xfId="0" applyNumberFormat="1" applyFont="1" applyFill="1" applyBorder="1" applyAlignment="1">
      <alignment vertical="center"/>
    </xf>
    <xf numFmtId="9" fontId="41" fillId="34" borderId="1" xfId="2" applyFont="1" applyFill="1" applyBorder="1" applyAlignment="1">
      <alignment vertical="center"/>
    </xf>
    <xf numFmtId="9" fontId="31" fillId="34" borderId="1" xfId="2" applyFont="1" applyFill="1" applyBorder="1" applyAlignment="1">
      <alignment vertical="center"/>
    </xf>
    <xf numFmtId="1" fontId="41" fillId="28" borderId="1" xfId="0" applyNumberFormat="1" applyFont="1" applyFill="1" applyBorder="1" applyAlignment="1">
      <alignment vertical="center"/>
    </xf>
    <xf numFmtId="1" fontId="31" fillId="42" borderId="1" xfId="0" applyNumberFormat="1" applyFont="1" applyFill="1" applyBorder="1" applyAlignment="1">
      <alignment vertical="center"/>
    </xf>
    <xf numFmtId="165" fontId="46" fillId="28" borderId="1" xfId="0" applyNumberFormat="1" applyFont="1" applyFill="1" applyBorder="1" applyAlignment="1">
      <alignment vertical="center"/>
    </xf>
    <xf numFmtId="1" fontId="41" fillId="0" borderId="0" xfId="0" applyNumberFormat="1" applyFont="1" applyAlignment="1">
      <alignment vertical="center"/>
    </xf>
    <xf numFmtId="2" fontId="0" fillId="16" borderId="0" xfId="0" applyNumberFormat="1" applyFill="1" applyAlignment="1">
      <alignment vertical="center"/>
    </xf>
    <xf numFmtId="16" fontId="0" fillId="16" borderId="0" xfId="0" applyNumberFormat="1" applyFill="1" applyAlignment="1">
      <alignment vertical="center"/>
    </xf>
    <xf numFmtId="0" fontId="11" fillId="16" borderId="0" xfId="0" applyFont="1" applyFill="1" applyAlignment="1">
      <alignment horizontal="right" vertical="center"/>
    </xf>
    <xf numFmtId="0" fontId="28" fillId="16" borderId="0" xfId="0" applyFont="1" applyFill="1" applyAlignment="1">
      <alignment horizontal="center" vertical="center"/>
    </xf>
    <xf numFmtId="0" fontId="18" fillId="15" borderId="1" xfId="0" applyFont="1" applyFill="1" applyBorder="1" applyAlignment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8" fillId="41" borderId="1" xfId="0" applyFont="1" applyFill="1" applyBorder="1" applyAlignment="1">
      <alignment vertical="center"/>
    </xf>
    <xf numFmtId="0" fontId="11" fillId="41" borderId="1" xfId="0" applyFont="1" applyFill="1" applyBorder="1" applyAlignment="1">
      <alignment horizontal="center" vertical="center"/>
    </xf>
    <xf numFmtId="2" fontId="17" fillId="41" borderId="1" xfId="0" applyNumberFormat="1" applyFont="1" applyFill="1" applyBorder="1" applyAlignment="1">
      <alignment horizontal="center" vertical="center"/>
    </xf>
    <xf numFmtId="49" fontId="32" fillId="0" borderId="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17" fillId="0" borderId="1" xfId="0" applyNumberFormat="1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2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45" fillId="33" borderId="1" xfId="0" applyFont="1" applyFill="1" applyBorder="1" applyAlignment="1">
      <alignment horizontal="left" vertical="center" wrapText="1"/>
    </xf>
    <xf numFmtId="1" fontId="31" fillId="33" borderId="1" xfId="0" applyNumberFormat="1" applyFont="1" applyFill="1" applyBorder="1" applyAlignment="1">
      <alignment horizontal="right" vertical="center"/>
    </xf>
    <xf numFmtId="0" fontId="11" fillId="9" borderId="4" xfId="0" applyFont="1" applyFill="1" applyBorder="1" applyAlignment="1">
      <alignment horizontal="center" vertical="center"/>
    </xf>
    <xf numFmtId="0" fontId="0" fillId="0" borderId="0" xfId="0" applyFill="1"/>
    <xf numFmtId="0" fontId="0" fillId="20" borderId="0" xfId="0" applyFill="1"/>
    <xf numFmtId="1" fontId="31" fillId="35" borderId="1" xfId="0" applyNumberFormat="1" applyFont="1" applyFill="1" applyBorder="1" applyAlignment="1">
      <alignment horizontal="center" vertical="center"/>
    </xf>
    <xf numFmtId="1" fontId="41" fillId="23" borderId="1" xfId="0" applyNumberFormat="1" applyFont="1" applyFill="1" applyBorder="1" applyAlignment="1">
      <alignment horizontal="center" vertical="center"/>
    </xf>
    <xf numFmtId="1" fontId="41" fillId="23" borderId="11" xfId="0" applyNumberFormat="1" applyFont="1" applyFill="1" applyBorder="1" applyAlignment="1">
      <alignment horizontal="center" vertical="center"/>
    </xf>
    <xf numFmtId="0" fontId="41" fillId="38" borderId="1" xfId="0" applyFont="1" applyFill="1" applyBorder="1" applyAlignment="1">
      <alignment horizontal="center" vertical="center"/>
    </xf>
    <xf numFmtId="1" fontId="41" fillId="38" borderId="1" xfId="0" applyNumberFormat="1" applyFont="1" applyFill="1" applyBorder="1" applyAlignment="1">
      <alignment horizontal="center" vertical="center"/>
    </xf>
    <xf numFmtId="1" fontId="41" fillId="23" borderId="1" xfId="0" applyNumberFormat="1" applyFont="1" applyFill="1" applyBorder="1" applyAlignment="1">
      <alignment horizontal="center" vertical="center" wrapText="1"/>
    </xf>
    <xf numFmtId="1" fontId="41" fillId="23" borderId="3" xfId="0" applyNumberFormat="1" applyFont="1" applyFill="1" applyBorder="1" applyAlignment="1">
      <alignment horizontal="center" vertical="center"/>
    </xf>
    <xf numFmtId="1" fontId="31" fillId="18" borderId="1" xfId="0" applyNumberFormat="1" applyFont="1" applyFill="1" applyBorder="1" applyAlignment="1">
      <alignment horizontal="center" vertical="center"/>
    </xf>
    <xf numFmtId="1" fontId="41" fillId="25" borderId="1" xfId="0" applyNumberFormat="1" applyFont="1" applyFill="1" applyBorder="1" applyAlignment="1">
      <alignment horizontal="center" vertical="center"/>
    </xf>
    <xf numFmtId="1" fontId="41" fillId="25" borderId="11" xfId="0" applyNumberFormat="1" applyFont="1" applyFill="1" applyBorder="1" applyAlignment="1">
      <alignment horizontal="center" vertical="center"/>
    </xf>
    <xf numFmtId="1" fontId="41" fillId="26" borderId="1" xfId="0" applyNumberFormat="1" applyFont="1" applyFill="1" applyBorder="1" applyAlignment="1">
      <alignment horizontal="center" vertical="center"/>
    </xf>
    <xf numFmtId="1" fontId="31" fillId="27" borderId="1" xfId="0" applyNumberFormat="1" applyFont="1" applyFill="1" applyBorder="1" applyAlignment="1">
      <alignment horizontal="center" vertical="center"/>
    </xf>
    <xf numFmtId="1" fontId="31" fillId="26" borderId="1" xfId="0" applyNumberFormat="1" applyFont="1" applyFill="1" applyBorder="1" applyAlignment="1">
      <alignment horizontal="center" vertical="center"/>
    </xf>
    <xf numFmtId="1" fontId="31" fillId="33" borderId="1" xfId="0" applyNumberFormat="1" applyFont="1" applyFill="1" applyBorder="1" applyAlignment="1">
      <alignment horizontal="center" vertical="center"/>
    </xf>
    <xf numFmtId="1" fontId="41" fillId="33" borderId="1" xfId="0" applyNumberFormat="1" applyFont="1" applyFill="1" applyBorder="1" applyAlignment="1">
      <alignment horizontal="center" vertical="center"/>
    </xf>
    <xf numFmtId="9" fontId="41" fillId="33" borderId="1" xfId="2" applyFont="1" applyFill="1" applyBorder="1" applyAlignment="1">
      <alignment horizontal="center" vertical="center"/>
    </xf>
    <xf numFmtId="9" fontId="31" fillId="33" borderId="1" xfId="2" applyFont="1" applyFill="1" applyBorder="1" applyAlignment="1">
      <alignment horizontal="center" vertical="center"/>
    </xf>
    <xf numFmtId="1" fontId="41" fillId="34" borderId="1" xfId="0" applyNumberFormat="1" applyFont="1" applyFill="1" applyBorder="1" applyAlignment="1">
      <alignment horizontal="center" vertical="center"/>
    </xf>
    <xf numFmtId="9" fontId="41" fillId="34" borderId="1" xfId="2" applyFont="1" applyFill="1" applyBorder="1" applyAlignment="1">
      <alignment horizontal="center" vertical="center"/>
    </xf>
    <xf numFmtId="9" fontId="31" fillId="34" borderId="1" xfId="2" applyFont="1" applyFill="1" applyBorder="1" applyAlignment="1">
      <alignment horizontal="center" vertical="center"/>
    </xf>
    <xf numFmtId="1" fontId="41" fillId="28" borderId="1" xfId="0" applyNumberFormat="1" applyFont="1" applyFill="1" applyBorder="1" applyAlignment="1">
      <alignment horizontal="center" vertical="center"/>
    </xf>
    <xf numFmtId="1" fontId="45" fillId="28" borderId="1" xfId="0" applyNumberFormat="1" applyFont="1" applyFill="1" applyBorder="1" applyAlignment="1">
      <alignment horizontal="center" vertical="center"/>
    </xf>
    <xf numFmtId="1" fontId="31" fillId="42" borderId="1" xfId="0" applyNumberFormat="1" applyFont="1" applyFill="1" applyBorder="1" applyAlignment="1">
      <alignment horizontal="center" vertical="center"/>
    </xf>
    <xf numFmtId="1" fontId="31" fillId="28" borderId="1" xfId="0" applyNumberFormat="1" applyFont="1" applyFill="1" applyBorder="1" applyAlignment="1">
      <alignment horizontal="center" vertical="center"/>
    </xf>
    <xf numFmtId="2" fontId="51" fillId="2" borderId="1" xfId="0" applyNumberFormat="1" applyFont="1" applyFill="1" applyBorder="1" applyAlignment="1">
      <alignment horizontal="center" vertical="center"/>
    </xf>
    <xf numFmtId="168" fontId="42" fillId="22" borderId="3" xfId="0" applyNumberFormat="1" applyFont="1" applyFill="1" applyBorder="1" applyAlignment="1" applyProtection="1">
      <alignment horizontal="center" vertical="center"/>
      <protection locked="0"/>
    </xf>
    <xf numFmtId="0" fontId="29" fillId="13" borderId="1" xfId="0" applyFont="1" applyFill="1" applyBorder="1" applyAlignment="1">
      <alignment horizontal="center" vertical="center"/>
    </xf>
    <xf numFmtId="0" fontId="39" fillId="5" borderId="4" xfId="0" applyFont="1" applyFill="1" applyBorder="1" applyAlignment="1">
      <alignment horizontal="left" vertical="center"/>
    </xf>
    <xf numFmtId="0" fontId="39" fillId="5" borderId="22" xfId="0" applyFont="1" applyFill="1" applyBorder="1" applyAlignment="1">
      <alignment horizontal="left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39" fillId="5" borderId="8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left" vertical="center"/>
    </xf>
    <xf numFmtId="0" fontId="37" fillId="5" borderId="4" xfId="0" applyFont="1" applyFill="1" applyBorder="1" applyAlignment="1">
      <alignment horizontal="left" vertical="center"/>
    </xf>
    <xf numFmtId="0" fontId="37" fillId="5" borderId="22" xfId="0" applyFont="1" applyFill="1" applyBorder="1" applyAlignment="1">
      <alignment horizontal="left" vertical="center"/>
    </xf>
    <xf numFmtId="49" fontId="35" fillId="11" borderId="23" xfId="0" applyNumberFormat="1" applyFont="1" applyFill="1" applyBorder="1" applyAlignment="1">
      <alignment horizontal="center" vertical="center"/>
    </xf>
    <xf numFmtId="49" fontId="35" fillId="11" borderId="0" xfId="0" applyNumberFormat="1" applyFont="1" applyFill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37" fillId="6" borderId="18" xfId="0" applyFont="1" applyFill="1" applyBorder="1" applyAlignment="1">
      <alignment horizontal="center" vertical="center" wrapText="1"/>
    </xf>
    <xf numFmtId="0" fontId="37" fillId="6" borderId="6" xfId="0" applyFont="1" applyFill="1" applyBorder="1" applyAlignment="1">
      <alignment horizontal="center" vertical="center" wrapText="1"/>
    </xf>
    <xf numFmtId="49" fontId="35" fillId="11" borderId="8" xfId="0" applyNumberFormat="1" applyFont="1" applyFill="1" applyBorder="1" applyAlignment="1">
      <alignment horizontal="center" vertical="center"/>
    </xf>
    <xf numFmtId="49" fontId="35" fillId="11" borderId="7" xfId="0" applyNumberFormat="1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10" borderId="22" xfId="0" applyFont="1" applyFill="1" applyBorder="1" applyAlignment="1">
      <alignment horizontal="center" vertical="center"/>
    </xf>
    <xf numFmtId="0" fontId="19" fillId="10" borderId="23" xfId="0" applyFont="1" applyFill="1" applyBorder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27" fillId="10" borderId="18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22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0" fontId="36" fillId="6" borderId="5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16" borderId="3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9" fillId="7" borderId="23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21" fillId="30" borderId="19" xfId="0" applyFont="1" applyFill="1" applyBorder="1" applyAlignment="1">
      <alignment horizontal="center" vertical="center" textRotation="90" wrapText="1"/>
    </xf>
    <xf numFmtId="0" fontId="21" fillId="30" borderId="0" xfId="0" applyFont="1" applyFill="1" applyAlignment="1">
      <alignment horizontal="center" vertical="center" textRotation="90" wrapText="1"/>
    </xf>
    <xf numFmtId="0" fontId="21" fillId="30" borderId="29" xfId="0" applyFont="1" applyFill="1" applyBorder="1" applyAlignment="1">
      <alignment horizontal="center" vertical="center" textRotation="90" wrapText="1"/>
    </xf>
    <xf numFmtId="0" fontId="21" fillId="27" borderId="26" xfId="0" applyFont="1" applyFill="1" applyBorder="1" applyAlignment="1">
      <alignment horizontal="center" vertical="center" textRotation="90" wrapText="1"/>
    </xf>
    <xf numFmtId="0" fontId="38" fillId="4" borderId="27" xfId="0" applyFont="1" applyFill="1" applyBorder="1" applyAlignment="1">
      <alignment horizontal="left" vertical="center"/>
    </xf>
    <xf numFmtId="0" fontId="38" fillId="4" borderId="19" xfId="0" applyFont="1" applyFill="1" applyBorder="1" applyAlignment="1">
      <alignment horizontal="left" vertical="center"/>
    </xf>
    <xf numFmtId="0" fontId="31" fillId="22" borderId="1" xfId="0" applyFont="1" applyFill="1" applyBorder="1" applyAlignment="1">
      <alignment horizontal="center" vertical="center"/>
    </xf>
    <xf numFmtId="0" fontId="31" fillId="22" borderId="9" xfId="0" applyFont="1" applyFill="1" applyBorder="1" applyAlignment="1" applyProtection="1">
      <alignment horizontal="center" vertical="center"/>
      <protection locked="0"/>
    </xf>
    <xf numFmtId="0" fontId="21" fillId="24" borderId="28" xfId="0" applyFont="1" applyFill="1" applyBorder="1" applyAlignment="1">
      <alignment horizontal="center" vertical="center" textRotation="90" wrapText="1"/>
    </xf>
    <xf numFmtId="0" fontId="21" fillId="29" borderId="17" xfId="0" applyFont="1" applyFill="1" applyBorder="1" applyAlignment="1">
      <alignment horizontal="center" vertical="center" textRotation="90" wrapText="1"/>
    </xf>
    <xf numFmtId="0" fontId="21" fillId="29" borderId="13" xfId="0" applyFont="1" applyFill="1" applyBorder="1" applyAlignment="1">
      <alignment horizontal="center" vertical="center" textRotation="90" wrapText="1"/>
    </xf>
    <xf numFmtId="0" fontId="21" fillId="29" borderId="15" xfId="0" applyFont="1" applyFill="1" applyBorder="1" applyAlignment="1">
      <alignment horizontal="center" vertical="center" textRotation="90" wrapText="1"/>
    </xf>
    <xf numFmtId="0" fontId="21" fillId="31" borderId="30" xfId="0" applyFont="1" applyFill="1" applyBorder="1" applyAlignment="1">
      <alignment horizontal="center" vertical="center" textRotation="90" wrapText="1"/>
    </xf>
    <xf numFmtId="0" fontId="21" fillId="31" borderId="31" xfId="0" applyFont="1" applyFill="1" applyBorder="1" applyAlignment="1">
      <alignment horizontal="center" vertical="center" textRotation="90" wrapText="1"/>
    </xf>
    <xf numFmtId="0" fontId="21" fillId="31" borderId="24" xfId="0" applyFont="1" applyFill="1" applyBorder="1" applyAlignment="1">
      <alignment horizontal="center" vertical="center" textRotation="90" wrapText="1"/>
    </xf>
    <xf numFmtId="0" fontId="20" fillId="18" borderId="33" xfId="0" applyFont="1" applyFill="1" applyBorder="1" applyAlignment="1">
      <alignment horizontal="center" vertical="center" textRotation="90"/>
    </xf>
    <xf numFmtId="0" fontId="20" fillId="18" borderId="31" xfId="0" applyFont="1" applyFill="1" applyBorder="1" applyAlignment="1">
      <alignment horizontal="center" vertical="center" textRotation="90"/>
    </xf>
    <xf numFmtId="17" fontId="21" fillId="21" borderId="4" xfId="0" applyNumberFormat="1" applyFont="1" applyFill="1" applyBorder="1" applyAlignment="1">
      <alignment horizontal="center" vertical="center"/>
    </xf>
    <xf numFmtId="17" fontId="21" fillId="21" borderId="22" xfId="0" applyNumberFormat="1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 textRotation="90"/>
    </xf>
    <xf numFmtId="0" fontId="15" fillId="12" borderId="5" xfId="0" applyFont="1" applyFill="1" applyBorder="1" applyAlignment="1">
      <alignment horizontal="center" vertical="center" textRotation="90"/>
    </xf>
    <xf numFmtId="0" fontId="13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textRotation="90"/>
    </xf>
    <xf numFmtId="0" fontId="20" fillId="25" borderId="33" xfId="0" applyFont="1" applyFill="1" applyBorder="1" applyAlignment="1">
      <alignment horizontal="center" vertical="center" textRotation="90"/>
    </xf>
    <xf numFmtId="0" fontId="20" fillId="25" borderId="31" xfId="0" applyFont="1" applyFill="1" applyBorder="1" applyAlignment="1">
      <alignment horizontal="center" vertical="center" textRotation="90"/>
    </xf>
    <xf numFmtId="0" fontId="20" fillId="33" borderId="33" xfId="0" applyFont="1" applyFill="1" applyBorder="1" applyAlignment="1">
      <alignment horizontal="center" vertical="center" textRotation="90"/>
    </xf>
    <xf numFmtId="0" fontId="20" fillId="33" borderId="31" xfId="0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 textRotation="90"/>
    </xf>
    <xf numFmtId="0" fontId="29" fillId="1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</cellXfs>
  <cellStyles count="22">
    <cellStyle name="Comma 2" xfId="6" xr:uid="{00000000-0005-0000-0000-000000000000}"/>
    <cellStyle name="Nor}al" xfId="15" xr:uid="{00000000-0005-0000-0000-000001000000}"/>
    <cellStyle name="Normal" xfId="0" builtinId="0"/>
    <cellStyle name="Normal 10" xfId="16" xr:uid="{00000000-0005-0000-0000-000003000000}"/>
    <cellStyle name="Normal 11" xfId="18" xr:uid="{00000000-0005-0000-0000-000004000000}"/>
    <cellStyle name="Normal 12" xfId="19" xr:uid="{00000000-0005-0000-0000-000005000000}"/>
    <cellStyle name="Normal 13" xfId="20" xr:uid="{00000000-0005-0000-0000-000006000000}"/>
    <cellStyle name="Normal 14" xfId="21" xr:uid="{3D599E88-9113-4DCC-A72D-3E22975E3335}"/>
    <cellStyle name="Normal 2" xfId="1" xr:uid="{00000000-0005-0000-0000-000007000000}"/>
    <cellStyle name="Normal 2 2" xfId="10" xr:uid="{00000000-0005-0000-0000-000008000000}"/>
    <cellStyle name="Normal 2 2 2" xfId="12" xr:uid="{00000000-0005-0000-0000-000009000000}"/>
    <cellStyle name="Normal 2 3" xfId="13" xr:uid="{00000000-0005-0000-0000-00000A000000}"/>
    <cellStyle name="Normal 22" xfId="17" xr:uid="{00000000-0005-0000-0000-00000B000000}"/>
    <cellStyle name="Normal 3" xfId="3" xr:uid="{00000000-0005-0000-0000-00000C000000}"/>
    <cellStyle name="Normal 3 2" xfId="7" xr:uid="{00000000-0005-0000-0000-00000D000000}"/>
    <cellStyle name="Normal 4" xfId="5" xr:uid="{00000000-0005-0000-0000-00000E000000}"/>
    <cellStyle name="Normal 5" xfId="8" xr:uid="{00000000-0005-0000-0000-00000F000000}"/>
    <cellStyle name="Normal 6" xfId="4" xr:uid="{00000000-0005-0000-0000-000010000000}"/>
    <cellStyle name="Normal 7" xfId="9" xr:uid="{00000000-0005-0000-0000-000011000000}"/>
    <cellStyle name="Normal 8" xfId="11" xr:uid="{00000000-0005-0000-0000-000012000000}"/>
    <cellStyle name="Normal 9" xfId="14" xr:uid="{00000000-0005-0000-0000-000013000000}"/>
    <cellStyle name="Percent 2" xfId="2" xr:uid="{00000000-0005-0000-0000-000014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colors>
    <mruColors>
      <color rgb="FFFFFFAF"/>
      <color rgb="FFFFFF4F"/>
      <color rgb="FFFF99CC"/>
      <color rgb="FFFFFF99"/>
      <color rgb="FFCCFFFF"/>
      <color rgb="FF0000FF"/>
      <color rgb="FFB8CCE4"/>
      <color rgb="FFCCFFCC"/>
      <color rgb="FF00CCFF"/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46063194009876E-2"/>
          <c:y val="0.15606966759221075"/>
          <c:w val="0.92879318938687705"/>
          <c:h val="0.71387383980120001"/>
        </c:manualLayout>
      </c:layout>
      <c:lineChart>
        <c:grouping val="standard"/>
        <c:varyColors val="0"/>
        <c:ser>
          <c:idx val="0"/>
          <c:order val="0"/>
          <c:tx>
            <c:v>Station Generation in MU's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STATION!$C$2:$AF$2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STATION!$C$6:$AF$6</c:f>
              <c:numCache>
                <c:formatCode>0.000</c:formatCode>
                <c:ptCount val="30"/>
                <c:pt idx="0">
                  <c:v>2.5609999999999999</c:v>
                </c:pt>
                <c:pt idx="1">
                  <c:v>2.6</c:v>
                </c:pt>
                <c:pt idx="2">
                  <c:v>2.6989999999999998</c:v>
                </c:pt>
                <c:pt idx="3">
                  <c:v>2.65</c:v>
                </c:pt>
                <c:pt idx="4">
                  <c:v>2.61</c:v>
                </c:pt>
                <c:pt idx="5">
                  <c:v>2.665</c:v>
                </c:pt>
                <c:pt idx="6">
                  <c:v>2.7040000000000002</c:v>
                </c:pt>
                <c:pt idx="7">
                  <c:v>2.6980000000000004</c:v>
                </c:pt>
                <c:pt idx="8">
                  <c:v>2.7149999999999999</c:v>
                </c:pt>
                <c:pt idx="9">
                  <c:v>2.7389999999999994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4-4F9D-AD61-12BFA22D43DE}"/>
            </c:ext>
          </c:extLst>
        </c:ser>
        <c:ser>
          <c:idx val="1"/>
          <c:order val="1"/>
          <c:tx>
            <c:strRef>
              <c:f>STATION!$A$43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STATION!$C$2:$AF$2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STATION!$C$43:$AF$43</c:f>
              <c:numCache>
                <c:formatCode>0.000</c:formatCode>
                <c:ptCount val="30"/>
                <c:pt idx="0">
                  <c:v>2.2916099999999999</c:v>
                </c:pt>
                <c:pt idx="1">
                  <c:v>2.3137099999999999</c:v>
                </c:pt>
                <c:pt idx="2">
                  <c:v>2.4153199999999999</c:v>
                </c:pt>
                <c:pt idx="3">
                  <c:v>2.3856099999999998</c:v>
                </c:pt>
                <c:pt idx="4">
                  <c:v>2.3411400000000002</c:v>
                </c:pt>
                <c:pt idx="5">
                  <c:v>2.3842300000000001</c:v>
                </c:pt>
                <c:pt idx="6">
                  <c:v>2.4294600000000002</c:v>
                </c:pt>
                <c:pt idx="7">
                  <c:v>2.4246300000000001</c:v>
                </c:pt>
                <c:pt idx="8">
                  <c:v>2.4357199999999999</c:v>
                </c:pt>
                <c:pt idx="9">
                  <c:v>2.4671799999999999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F9D-AD61-12BFA22D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74544"/>
        <c:axId val="477369840"/>
      </c:lineChart>
      <c:catAx>
        <c:axId val="47737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6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369840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74544"/>
        <c:crosses val="autoZero"/>
        <c:crossBetween val="between"/>
      </c:valAx>
      <c:spPr>
        <a:gradFill rotWithShape="0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25400">
          <a:noFill/>
        </a:ln>
      </c:spPr>
    </c:plotArea>
    <c:legend>
      <c:legendPos val="t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737718840614885"/>
          <c:y val="2.3121387283236993E-2"/>
          <c:w val="0.37881618803813188"/>
          <c:h val="8.509671840152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0209205020925E-2"/>
          <c:y val="0.15517241379310345"/>
          <c:w val="0.88842398884189777"/>
          <c:h val="0.71551724137931039"/>
        </c:manualLayout>
      </c:layout>
      <c:lineChart>
        <c:grouping val="standard"/>
        <c:varyColors val="0"/>
        <c:ser>
          <c:idx val="0"/>
          <c:order val="0"/>
          <c:tx>
            <c:v>PLF-For the Date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UNITS!$C$41:$AF$41</c:f>
              <c:numCache>
                <c:formatCode>0.00</c:formatCode>
                <c:ptCount val="30"/>
                <c:pt idx="0">
                  <c:v>90.768286197727832</c:v>
                </c:pt>
                <c:pt idx="1">
                  <c:v>93.173938568376073</c:v>
                </c:pt>
                <c:pt idx="2">
                  <c:v>98.80317004534308</c:v>
                </c:pt>
                <c:pt idx="3">
                  <c:v>96.421558063791551</c:v>
                </c:pt>
                <c:pt idx="4">
                  <c:v>93.826691753329683</c:v>
                </c:pt>
                <c:pt idx="5">
                  <c:v>96.975249114029594</c:v>
                </c:pt>
                <c:pt idx="6">
                  <c:v>98.358287490754435</c:v>
                </c:pt>
                <c:pt idx="7">
                  <c:v>99.261034261122276</c:v>
                </c:pt>
                <c:pt idx="8">
                  <c:v>99.920734675085512</c:v>
                </c:pt>
                <c:pt idx="9">
                  <c:v>100.35879184124667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0-4944-9C3F-694498934FA0}"/>
            </c:ext>
          </c:extLst>
        </c:ser>
        <c:ser>
          <c:idx val="1"/>
          <c:order val="1"/>
          <c:tx>
            <c:v>PLF-For the Month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UNITS!$C$42:$AF$42</c:f>
              <c:numCache>
                <c:formatCode>0.00</c:formatCode>
                <c:ptCount val="30"/>
                <c:pt idx="0">
                  <c:v>90.768286197727832</c:v>
                </c:pt>
                <c:pt idx="1">
                  <c:v>91.97111238305196</c:v>
                </c:pt>
                <c:pt idx="2">
                  <c:v>94.248464937148995</c:v>
                </c:pt>
                <c:pt idx="3">
                  <c:v>94.791738218809627</c:v>
                </c:pt>
                <c:pt idx="4">
                  <c:v>94.598728925713644</c:v>
                </c:pt>
                <c:pt idx="5">
                  <c:v>94.994815623766314</c:v>
                </c:pt>
                <c:pt idx="6">
                  <c:v>95.475311604764599</c:v>
                </c:pt>
                <c:pt idx="7">
                  <c:v>95.948526936809316</c:v>
                </c:pt>
                <c:pt idx="8">
                  <c:v>96.389883352173328</c:v>
                </c:pt>
                <c:pt idx="9">
                  <c:v>96.786774201080661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944-9C3F-69449893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42792"/>
        <c:axId val="488343968"/>
      </c:lineChart>
      <c:catAx>
        <c:axId val="4883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343968"/>
        <c:scaling>
          <c:orientation val="minMax"/>
          <c:max val="1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2792"/>
        <c:crosses val="autoZero"/>
        <c:crossBetween val="between"/>
        <c:maj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612282839652502"/>
          <c:y val="2.2988587100769751E-2"/>
          <c:w val="0.40027902762154727"/>
          <c:h val="6.89654663953523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089454420021"/>
          <c:y val="0.15362362325527415"/>
          <c:w val="0.87598183316464118"/>
          <c:h val="0.71884261447762265"/>
        </c:manualLayout>
      </c:layout>
      <c:lineChart>
        <c:grouping val="standard"/>
        <c:varyColors val="0"/>
        <c:ser>
          <c:idx val="0"/>
          <c:order val="0"/>
          <c:tx>
            <c:v>Availability for the date %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UNITS!$C$52:$AF$52</c:f>
              <c:numCache>
                <c:formatCode>0.00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4219-864F-F5AF1DD8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46320"/>
        <c:axId val="418496632"/>
      </c:lineChart>
      <c:catAx>
        <c:axId val="48834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49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8496632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45812267971998"/>
          <c:y val="3.5022458927327971E-2"/>
          <c:w val="0.27472543953983708"/>
          <c:h val="6.66669727508551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6367851624829"/>
          <c:y val="0.15229927795910544"/>
          <c:w val="0.87789799072642971"/>
          <c:h val="0.72126639184398456"/>
        </c:manualLayout>
      </c:layout>
      <c:lineChart>
        <c:grouping val="standard"/>
        <c:varyColors val="0"/>
        <c:ser>
          <c:idx val="0"/>
          <c:order val="0"/>
          <c:tx>
            <c:v> Availability for the day in %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UNITS!$C$48:$AG$48</c:f>
              <c:numCache>
                <c:formatCode>0.00</c:formatCode>
                <c:ptCount val="31"/>
                <c:pt idx="0">
                  <c:v>96.027777777777771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F60-B579-AEEDEF15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8568"/>
        <c:axId val="555805432"/>
      </c:lineChart>
      <c:catAx>
        <c:axId val="55580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805432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8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239581184863888"/>
          <c:y val="2.2988561614983312E-2"/>
          <c:w val="0.36939737694579688"/>
          <c:h val="6.32186254495965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06307729175227E-2"/>
          <c:y val="0.15186267665243094"/>
          <c:w val="0.88889022848281463"/>
          <c:h val="0.72206404747956165"/>
        </c:manualLayout>
      </c:layout>
      <c:lineChart>
        <c:grouping val="standard"/>
        <c:varyColors val="0"/>
        <c:ser>
          <c:idx val="0"/>
          <c:order val="0"/>
          <c:tx>
            <c:v>Generation in MU's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UNITS!$C$61:$AF$61</c:f>
              <c:numCache>
                <c:formatCode>0.000</c:formatCode>
                <c:ptCount val="30"/>
                <c:pt idx="0">
                  <c:v>0.65900000000000003</c:v>
                </c:pt>
                <c:pt idx="1">
                  <c:v>0.67300000000000004</c:v>
                </c:pt>
                <c:pt idx="2">
                  <c:v>0.66900000000000004</c:v>
                </c:pt>
                <c:pt idx="3">
                  <c:v>0.68600000000000005</c:v>
                </c:pt>
                <c:pt idx="4">
                  <c:v>0.67700000000000005</c:v>
                </c:pt>
                <c:pt idx="5">
                  <c:v>0.67900000000000005</c:v>
                </c:pt>
                <c:pt idx="6">
                  <c:v>0.67700000000000005</c:v>
                </c:pt>
                <c:pt idx="7">
                  <c:v>0.67900000000000005</c:v>
                </c:pt>
                <c:pt idx="8">
                  <c:v>0.68600000000000005</c:v>
                </c:pt>
                <c:pt idx="9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E-4650-AA04-99914421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9744"/>
        <c:axId val="555808176"/>
      </c:lineChart>
      <c:catAx>
        <c:axId val="5558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808176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9744"/>
        <c:crosses val="autoZero"/>
        <c:crossBetween val="between"/>
        <c:maj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42129694436343601"/>
          <c:y val="2.2922834645669292E-2"/>
          <c:w val="0.36886118401869838"/>
          <c:h val="8.82168728908887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22068083318043E-2"/>
          <c:y val="0.15472801017418344"/>
          <c:w val="0.88857999147207378"/>
          <c:h val="0.71633338043598349"/>
        </c:manualLayout>
      </c:layout>
      <c:lineChart>
        <c:grouping val="standard"/>
        <c:varyColors val="0"/>
        <c:ser>
          <c:idx val="0"/>
          <c:order val="0"/>
          <c:tx>
            <c:v>PLF-For the Date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UNITS!$C$68:$AF$68</c:f>
              <c:numCache>
                <c:formatCode>0.00</c:formatCode>
                <c:ptCount val="30"/>
                <c:pt idx="0">
                  <c:v>98.382073362339852</c:v>
                </c:pt>
                <c:pt idx="1">
                  <c:v>100.38323477564101</c:v>
                </c:pt>
                <c:pt idx="2">
                  <c:v>99.847916556396584</c:v>
                </c:pt>
                <c:pt idx="3">
                  <c:v>102.39193317610064</c:v>
                </c:pt>
                <c:pt idx="4">
                  <c:v>101.14756419905127</c:v>
                </c:pt>
                <c:pt idx="5">
                  <c:v>101.19804428549094</c:v>
                </c:pt>
                <c:pt idx="6">
                  <c:v>101.19842041222</c:v>
                </c:pt>
                <c:pt idx="7">
                  <c:v>101.29996332159624</c:v>
                </c:pt>
                <c:pt idx="8">
                  <c:v>102.30690147329651</c:v>
                </c:pt>
                <c:pt idx="9">
                  <c:v>104.88438651793322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9-45F0-B65A-02F06DDC4E1E}"/>
            </c:ext>
          </c:extLst>
        </c:ser>
        <c:ser>
          <c:idx val="1"/>
          <c:order val="1"/>
          <c:tx>
            <c:v>PLF-For the Month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UNITS!$C$69:$AF$69</c:f>
              <c:numCache>
                <c:formatCode>0.00</c:formatCode>
                <c:ptCount val="30"/>
                <c:pt idx="0">
                  <c:v>98.382073362339867</c:v>
                </c:pt>
                <c:pt idx="1">
                  <c:v>99.382654068990448</c:v>
                </c:pt>
                <c:pt idx="2">
                  <c:v>99.537741564792498</c:v>
                </c:pt>
                <c:pt idx="3">
                  <c:v>100.25128946761953</c:v>
                </c:pt>
                <c:pt idx="4">
                  <c:v>100.43054441390586</c:v>
                </c:pt>
                <c:pt idx="5">
                  <c:v>100.55846105917006</c:v>
                </c:pt>
                <c:pt idx="6">
                  <c:v>100.64988382389147</c:v>
                </c:pt>
                <c:pt idx="7">
                  <c:v>100.73114376110456</c:v>
                </c:pt>
                <c:pt idx="8">
                  <c:v>100.90622795134813</c:v>
                </c:pt>
                <c:pt idx="9">
                  <c:v>101.30404380800661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9-45F0-B65A-02F06DDC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8960"/>
        <c:axId val="555805824"/>
      </c:lineChart>
      <c:catAx>
        <c:axId val="5558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805824"/>
        <c:scaling>
          <c:orientation val="minMax"/>
          <c:max val="1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799235048962584"/>
          <c:y val="2.2922738106012603E-2"/>
          <c:w val="0.45738438993735558"/>
          <c:h val="9.99263885118043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089454420021"/>
          <c:y val="0.15362362325527415"/>
          <c:w val="0.87598183316464118"/>
          <c:h val="0.71884261447762265"/>
        </c:manualLayout>
      </c:layout>
      <c:lineChart>
        <c:grouping val="standard"/>
        <c:varyColors val="0"/>
        <c:ser>
          <c:idx val="0"/>
          <c:order val="0"/>
          <c:tx>
            <c:v>Availability for the date %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UNITS!$C$79:$AF$79</c:f>
              <c:numCache>
                <c:formatCode>0.00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4-4C93-AD96-402DA46B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2296"/>
        <c:axId val="555806608"/>
      </c:lineChart>
      <c:catAx>
        <c:axId val="55580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806608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802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9502760430813266"/>
          <c:y val="3.0987561337441467E-2"/>
          <c:w val="0.27429467084639575"/>
          <c:h val="6.9364068621857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47281050052934E-2"/>
          <c:y val="0.15340930371289244"/>
          <c:w val="0.93186863188351265"/>
          <c:h val="0.71875099702460465"/>
        </c:manualLayout>
      </c:layout>
      <c:lineChart>
        <c:grouping val="standard"/>
        <c:varyColors val="0"/>
        <c:ser>
          <c:idx val="0"/>
          <c:order val="0"/>
          <c:tx>
            <c:v>Station PLF %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STATION!$C$15:$AF$15</c:f>
              <c:numCache>
                <c:formatCode>0.00</c:formatCode>
                <c:ptCount val="30"/>
                <c:pt idx="0">
                  <c:v>95.582886904761907</c:v>
                </c:pt>
                <c:pt idx="1">
                  <c:v>96.95260416666666</c:v>
                </c:pt>
                <c:pt idx="2">
                  <c:v>100.70610119047619</c:v>
                </c:pt>
                <c:pt idx="3">
                  <c:v>98.884337797619054</c:v>
                </c:pt>
                <c:pt idx="4">
                  <c:v>97.487127976190493</c:v>
                </c:pt>
                <c:pt idx="5">
                  <c:v>99.297786458333334</c:v>
                </c:pt>
                <c:pt idx="6">
                  <c:v>101.04893973214286</c:v>
                </c:pt>
                <c:pt idx="7">
                  <c:v>100.62860863095237</c:v>
                </c:pt>
                <c:pt idx="8">
                  <c:v>101.22566964285714</c:v>
                </c:pt>
                <c:pt idx="9">
                  <c:v>102.16156994047621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F-4007-898E-9EB289F8A38E}"/>
            </c:ext>
          </c:extLst>
        </c:ser>
        <c:ser>
          <c:idx val="1"/>
          <c:order val="1"/>
          <c:tx>
            <c:v>Station Availability %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STATION!$C$31:$AF$31</c:f>
              <c:numCache>
                <c:formatCode>0.00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F-4007-898E-9EB289F8A38E}"/>
            </c:ext>
          </c:extLst>
        </c:ser>
        <c:ser>
          <c:idx val="2"/>
          <c:order val="2"/>
          <c:tx>
            <c:v>Station Boiler availability%</c:v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val>
            <c:numRef>
              <c:f>STATION!$C$35:$AF$35</c:f>
              <c:numCache>
                <c:formatCode>0.00</c:formatCode>
                <c:ptCount val="30"/>
                <c:pt idx="0">
                  <c:v>96.8359375</c:v>
                </c:pt>
                <c:pt idx="1">
                  <c:v>96.2578125</c:v>
                </c:pt>
                <c:pt idx="2">
                  <c:v>98.4375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F-4007-898E-9EB289F8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68272"/>
        <c:axId val="477368664"/>
      </c:lineChart>
      <c:catAx>
        <c:axId val="47736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6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368664"/>
        <c:scaling>
          <c:orientation val="minMax"/>
          <c:max val="11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68272"/>
        <c:crosses val="autoZero"/>
        <c:crossBetween val="between"/>
        <c:majorUnit val="10"/>
      </c:valAx>
      <c:spPr>
        <a:gradFill rotWithShape="0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296745489752338"/>
          <c:y val="2.2727130780040652E-2"/>
          <c:w val="0.53956056440812117"/>
          <c:h val="7.95455525566390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18459579592785E-2"/>
          <c:y val="0.15652218218461941"/>
          <c:w val="0.94553166843636649"/>
          <c:h val="0.7130454966195475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STATION!$C$23:$AG$23</c:f>
              <c:numCache>
                <c:formatCode>0.00</c:formatCode>
                <c:ptCount val="31"/>
                <c:pt idx="0">
                  <c:v>6.6052323311206456</c:v>
                </c:pt>
                <c:pt idx="1">
                  <c:v>6.4636923076923063</c:v>
                </c:pt>
                <c:pt idx="2">
                  <c:v>6.8695072248981193</c:v>
                </c:pt>
                <c:pt idx="3">
                  <c:v>6.6264150943396229</c:v>
                </c:pt>
                <c:pt idx="4">
                  <c:v>6.6427586206896638</c:v>
                </c:pt>
                <c:pt idx="5">
                  <c:v>6.559399624765498</c:v>
                </c:pt>
                <c:pt idx="6">
                  <c:v>7.0710059171597894</c:v>
                </c:pt>
                <c:pt idx="7">
                  <c:v>6.285248332097872</c:v>
                </c:pt>
                <c:pt idx="8">
                  <c:v>6.5458563535911729</c:v>
                </c:pt>
                <c:pt idx="9">
                  <c:v>6.0240963855421548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5-49BC-A693-CA928D4B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69056"/>
        <c:axId val="477374152"/>
      </c:lineChart>
      <c:catAx>
        <c:axId val="4773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7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374152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69056"/>
        <c:crosses val="autoZero"/>
        <c:crossBetween val="between"/>
        <c:majorUnit val="3"/>
      </c:valAx>
      <c:spPr>
        <a:gradFill rotWithShape="0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8965041692069907"/>
          <c:y val="3.1070333599608892E-2"/>
          <c:w val="0.29934254663665238"/>
          <c:h val="6.95655217010915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41789492718396E-2"/>
          <c:y val="0.14832774919688121"/>
          <c:w val="0.91868181162106965"/>
          <c:h val="0.74838755184813188"/>
        </c:manualLayout>
      </c:layout>
      <c:lineChart>
        <c:grouping val="standard"/>
        <c:varyColors val="0"/>
        <c:ser>
          <c:idx val="0"/>
          <c:order val="0"/>
          <c:tx>
            <c:v>Sales to TPTCL in MUs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STATION!$C$40:$AF$40</c:f>
              <c:numCache>
                <c:formatCode>0.000</c:formatCode>
                <c:ptCount val="30"/>
                <c:pt idx="0">
                  <c:v>2.2916099999999999</c:v>
                </c:pt>
                <c:pt idx="1">
                  <c:v>2.3137099999999999</c:v>
                </c:pt>
                <c:pt idx="2">
                  <c:v>2.4153199999999999</c:v>
                </c:pt>
                <c:pt idx="3">
                  <c:v>2.3856099999999998</c:v>
                </c:pt>
                <c:pt idx="4">
                  <c:v>2.3411400000000002</c:v>
                </c:pt>
                <c:pt idx="5">
                  <c:v>2.3842300000000001</c:v>
                </c:pt>
                <c:pt idx="6">
                  <c:v>2.4294600000000002</c:v>
                </c:pt>
                <c:pt idx="7">
                  <c:v>2.4246300000000001</c:v>
                </c:pt>
                <c:pt idx="8">
                  <c:v>2.4357199999999999</c:v>
                </c:pt>
                <c:pt idx="9">
                  <c:v>2.4671799999999999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B-4A11-8DB0-AC8A33EC2179}"/>
            </c:ext>
          </c:extLst>
        </c:ser>
        <c:ser>
          <c:idx val="2"/>
          <c:order val="1"/>
          <c:tx>
            <c:strRef>
              <c:f>STATION!$A$43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val>
            <c:numRef>
              <c:f>STATION!$C$43:$AF$43</c:f>
              <c:numCache>
                <c:formatCode>0.000</c:formatCode>
                <c:ptCount val="30"/>
                <c:pt idx="0">
                  <c:v>2.2916099999999999</c:v>
                </c:pt>
                <c:pt idx="1">
                  <c:v>2.3137099999999999</c:v>
                </c:pt>
                <c:pt idx="2">
                  <c:v>2.4153199999999999</c:v>
                </c:pt>
                <c:pt idx="3">
                  <c:v>2.3856099999999998</c:v>
                </c:pt>
                <c:pt idx="4">
                  <c:v>2.3411400000000002</c:v>
                </c:pt>
                <c:pt idx="5">
                  <c:v>2.3842300000000001</c:v>
                </c:pt>
                <c:pt idx="6">
                  <c:v>2.4294600000000002</c:v>
                </c:pt>
                <c:pt idx="7">
                  <c:v>2.4246300000000001</c:v>
                </c:pt>
                <c:pt idx="8">
                  <c:v>2.4357199999999999</c:v>
                </c:pt>
                <c:pt idx="9">
                  <c:v>2.4671799999999999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B-4A11-8DB0-AC8A33EC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72584"/>
        <c:axId val="477373760"/>
      </c:lineChart>
      <c:catAx>
        <c:axId val="47737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7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373760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372584"/>
        <c:crosses val="autoZero"/>
        <c:crossBetween val="between"/>
        <c:majorUnit val="0.5"/>
        <c:minorUnit val="0.5"/>
      </c:valAx>
      <c:spPr>
        <a:gradFill rotWithShape="0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070569439690338"/>
          <c:y val="3.0712120870278036E-2"/>
          <c:w val="0.52637340885749151"/>
          <c:h val="6.87679083094555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57768052517122E-2"/>
          <c:y val="0.15472801017418344"/>
          <c:w val="0.93982494529540483"/>
          <c:h val="0.71633338043598349"/>
        </c:manualLayout>
      </c:layout>
      <c:lineChart>
        <c:grouping val="standard"/>
        <c:varyColors val="0"/>
        <c:ser>
          <c:idx val="0"/>
          <c:order val="0"/>
          <c:tx>
            <c:v> Make up water cons in %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STATION!$C$51:$AF$51</c:f>
              <c:numCache>
                <c:formatCode>0.00</c:formatCode>
                <c:ptCount val="30"/>
                <c:pt idx="0">
                  <c:v>1.9503916449086161</c:v>
                </c:pt>
                <c:pt idx="1">
                  <c:v>1.8940877055599061</c:v>
                </c:pt>
                <c:pt idx="2">
                  <c:v>1.7893886089188933</c:v>
                </c:pt>
                <c:pt idx="3">
                  <c:v>1.5839557668057038</c:v>
                </c:pt>
                <c:pt idx="4">
                  <c:v>1.7564115065821551</c:v>
                </c:pt>
                <c:pt idx="5">
                  <c:v>1.7638036809815949</c:v>
                </c:pt>
                <c:pt idx="6">
                  <c:v>1.723169221978859</c:v>
                </c:pt>
                <c:pt idx="7">
                  <c:v>1.826571813112863</c:v>
                </c:pt>
                <c:pt idx="8">
                  <c:v>1.8103893619056732</c:v>
                </c:pt>
                <c:pt idx="9">
                  <c:v>1.8101639969488941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E-4D20-A21C-B534EF76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44752"/>
        <c:axId val="488343576"/>
      </c:lineChart>
      <c:catAx>
        <c:axId val="48834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343576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4752"/>
        <c:crosses val="autoZero"/>
        <c:crossBetween val="between"/>
        <c:majorUnit val="2"/>
      </c:valAx>
      <c:spPr>
        <a:gradFill rotWithShape="0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40481393762792894"/>
          <c:y val="2.0057306590257881E-2"/>
          <c:w val="0.22514601029202191"/>
          <c:h val="6.8767908309455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18459579592785E-2"/>
          <c:y val="0.15652218218461941"/>
          <c:w val="0.94553166843636649"/>
          <c:h val="0.71304549661954753"/>
        </c:manualLayout>
      </c:layout>
      <c:lineChart>
        <c:grouping val="standard"/>
        <c:varyColors val="0"/>
        <c:ser>
          <c:idx val="0"/>
          <c:order val="0"/>
          <c:tx>
            <c:v>Station Auxiliary Power Consumption  Mus.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STATION!$C$19:$AF$19</c:f>
              <c:numCache>
                <c:formatCode>0.000</c:formatCode>
                <c:ptCount val="30"/>
                <c:pt idx="0">
                  <c:v>0.16915999999999976</c:v>
                </c:pt>
                <c:pt idx="1">
                  <c:v>0.16805599999999998</c:v>
                </c:pt>
                <c:pt idx="2">
                  <c:v>0.18540800000000024</c:v>
                </c:pt>
                <c:pt idx="3">
                  <c:v>0.17560000000000001</c:v>
                </c:pt>
                <c:pt idx="4">
                  <c:v>0.1733760000000002</c:v>
                </c:pt>
                <c:pt idx="5">
                  <c:v>0.17480800000000052</c:v>
                </c:pt>
                <c:pt idx="6">
                  <c:v>0.1912000000000007</c:v>
                </c:pt>
                <c:pt idx="7">
                  <c:v>0.16957600000000062</c:v>
                </c:pt>
                <c:pt idx="8">
                  <c:v>0.17772000000000032</c:v>
                </c:pt>
                <c:pt idx="9">
                  <c:v>0.16499999999999959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5-49BC-A693-CA928D4B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47104"/>
        <c:axId val="488349064"/>
      </c:lineChart>
      <c:catAx>
        <c:axId val="4883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349064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7104"/>
        <c:crosses val="autoZero"/>
        <c:crossBetween val="between"/>
        <c:majorUnit val="3"/>
        <c:minorUnit val="0.1"/>
        <c:dispUnits>
          <c:builtInUnit val="millions"/>
          <c:dispUnitsLbl/>
        </c:dispUnits>
      </c:valAx>
      <c:spPr>
        <a:gradFill rotWithShape="0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8965041692069907"/>
          <c:y val="3.1070333599608892E-2"/>
          <c:w val="0.29934254663665238"/>
          <c:h val="6.95655217010915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44513137558043E-2"/>
          <c:y val="0.15229927795910544"/>
          <c:w val="0.8887171561051006"/>
          <c:h val="0.72126639184398456"/>
        </c:manualLayout>
      </c:layout>
      <c:lineChart>
        <c:grouping val="standard"/>
        <c:varyColors val="0"/>
        <c:ser>
          <c:idx val="0"/>
          <c:order val="0"/>
          <c:tx>
            <c:v>Generation in MU's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UNITS!$C$7:$AF$7</c:f>
              <c:numCache>
                <c:formatCode>0.000</c:formatCode>
                <c:ptCount val="30"/>
                <c:pt idx="0">
                  <c:v>0.99</c:v>
                </c:pt>
                <c:pt idx="1">
                  <c:v>0.99</c:v>
                </c:pt>
                <c:pt idx="2">
                  <c:v>1.0369999999999999</c:v>
                </c:pt>
                <c:pt idx="3">
                  <c:v>0.995</c:v>
                </c:pt>
                <c:pt idx="4">
                  <c:v>0.99099999999999999</c:v>
                </c:pt>
                <c:pt idx="5">
                  <c:v>1.01</c:v>
                </c:pt>
                <c:pt idx="6">
                  <c:v>1.04</c:v>
                </c:pt>
                <c:pt idx="7">
                  <c:v>1.0209999999999999</c:v>
                </c:pt>
                <c:pt idx="8">
                  <c:v>1.024</c:v>
                </c:pt>
                <c:pt idx="9">
                  <c:v>1.0269999999999999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9-416A-A48C-BC70281A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47496"/>
        <c:axId val="488346712"/>
      </c:lineChart>
      <c:catAx>
        <c:axId val="48834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346712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7496"/>
        <c:crosses val="autoZero"/>
        <c:crossBetween val="between"/>
        <c:maj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775888717157138"/>
          <c:y val="2.2988505747126436E-2"/>
          <c:w val="0.28894530378451388"/>
          <c:h val="5.90038314176249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0334578668208E-2"/>
          <c:y val="0.1551728492413379"/>
          <c:w val="0.88842519888805149"/>
          <c:h val="0.71551924927950261"/>
        </c:manualLayout>
      </c:layout>
      <c:lineChart>
        <c:grouping val="standard"/>
        <c:varyColors val="0"/>
        <c:ser>
          <c:idx val="0"/>
          <c:order val="0"/>
          <c:tx>
            <c:v>PLF-For the Date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UNITS!$C$14:$AF$14</c:f>
              <c:numCache>
                <c:formatCode>0.00</c:formatCode>
                <c:ptCount val="30"/>
                <c:pt idx="0">
                  <c:v>98.531363306744041</c:v>
                </c:pt>
                <c:pt idx="1">
                  <c:v>98.444182692307692</c:v>
                </c:pt>
                <c:pt idx="2">
                  <c:v>103.18115542499575</c:v>
                </c:pt>
                <c:pt idx="3">
                  <c:v>99.008720612458845</c:v>
                </c:pt>
                <c:pt idx="4">
                  <c:v>98.707273383810744</c:v>
                </c:pt>
                <c:pt idx="5">
                  <c:v>100.35348525119866</c:v>
                </c:pt>
                <c:pt idx="6">
                  <c:v>103.6399381868132</c:v>
                </c:pt>
                <c:pt idx="7">
                  <c:v>101.54861320701987</c:v>
                </c:pt>
                <c:pt idx="8">
                  <c:v>101.80978339033588</c:v>
                </c:pt>
                <c:pt idx="9">
                  <c:v>102.14913698806772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8-4D69-A08B-4D51BE89C868}"/>
            </c:ext>
          </c:extLst>
        </c:ser>
        <c:ser>
          <c:idx val="1"/>
          <c:order val="1"/>
          <c:tx>
            <c:v>PLF-For the Month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UNITS!$C$15:$AF$15</c:f>
              <c:numCache>
                <c:formatCode>0.00</c:formatCode>
                <c:ptCount val="30"/>
                <c:pt idx="0">
                  <c:v>98.531363306744026</c:v>
                </c:pt>
                <c:pt idx="1">
                  <c:v>98.487772999525859</c:v>
                </c:pt>
                <c:pt idx="2">
                  <c:v>100.05223380801583</c:v>
                </c:pt>
                <c:pt idx="3">
                  <c:v>99.791355509126561</c:v>
                </c:pt>
                <c:pt idx="4">
                  <c:v>99.574539084063417</c:v>
                </c:pt>
                <c:pt idx="5">
                  <c:v>99.704363445252625</c:v>
                </c:pt>
                <c:pt idx="6">
                  <c:v>100.26658840833269</c:v>
                </c:pt>
                <c:pt idx="7">
                  <c:v>100.42684150816859</c:v>
                </c:pt>
                <c:pt idx="8">
                  <c:v>100.58050171729829</c:v>
                </c:pt>
                <c:pt idx="9">
                  <c:v>100.73736524437523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8-4D69-A08B-4D51BE89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49848"/>
        <c:axId val="488343184"/>
      </c:lineChart>
      <c:catAx>
        <c:axId val="48834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343184"/>
        <c:scaling>
          <c:orientation val="minMax"/>
          <c:max val="1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9848"/>
        <c:crosses val="autoZero"/>
        <c:crossBetween val="between"/>
        <c:maj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612321376502247"/>
          <c:y val="2.2988474266803605E-2"/>
          <c:w val="0.39888466025094615"/>
          <c:h val="6.8965727110198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44513137558043E-2"/>
          <c:y val="0.15229885057482859"/>
          <c:w val="0.8887171561051006"/>
          <c:h val="0.72126436781609149"/>
        </c:manualLayout>
      </c:layout>
      <c:lineChart>
        <c:grouping val="standard"/>
        <c:varyColors val="0"/>
        <c:ser>
          <c:idx val="0"/>
          <c:order val="0"/>
          <c:tx>
            <c:v>Generation in MU's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UNITS!$C$34:$AF$34</c:f>
              <c:numCache>
                <c:formatCode>0.000</c:formatCode>
                <c:ptCount val="30"/>
                <c:pt idx="0">
                  <c:v>0.91200000000000003</c:v>
                </c:pt>
                <c:pt idx="1">
                  <c:v>0.93700000000000006</c:v>
                </c:pt>
                <c:pt idx="2">
                  <c:v>0.99299999999999999</c:v>
                </c:pt>
                <c:pt idx="3">
                  <c:v>0.96899999999999997</c:v>
                </c:pt>
                <c:pt idx="4">
                  <c:v>0.94199999999999995</c:v>
                </c:pt>
                <c:pt idx="5">
                  <c:v>0.97599999999999998</c:v>
                </c:pt>
                <c:pt idx="6">
                  <c:v>0.98699999999999999</c:v>
                </c:pt>
                <c:pt idx="7">
                  <c:v>0.998</c:v>
                </c:pt>
                <c:pt idx="8">
                  <c:v>1.0049999999999999</c:v>
                </c:pt>
                <c:pt idx="9">
                  <c:v>1.0089999999999999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6-48BA-8BCA-AEAFBFFB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48280"/>
        <c:axId val="488348672"/>
      </c:lineChart>
      <c:catAx>
        <c:axId val="4883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348672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348280"/>
        <c:crosses val="autoZero"/>
        <c:crossBetween val="between"/>
        <c:maj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42194744976816084"/>
          <c:y val="2.2988587100769751E-2"/>
          <c:w val="0.22411128284389994"/>
          <c:h val="6.89654663953523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73</xdr:row>
      <xdr:rowOff>133350</xdr:rowOff>
    </xdr:from>
    <xdr:to>
      <xdr:col>21</xdr:col>
      <xdr:colOff>571500</xdr:colOff>
      <xdr:row>94</xdr:row>
      <xdr:rowOff>28575</xdr:rowOff>
    </xdr:to>
    <xdr:graphicFrame macro="">
      <xdr:nvGraphicFramePr>
        <xdr:cNvPr id="64344502" name="Chart 1">
          <a:extLst>
            <a:ext uri="{FF2B5EF4-FFF2-40B4-BE49-F238E27FC236}">
              <a16:creationId xmlns:a16="http://schemas.microsoft.com/office/drawing/2014/main" id="{00000000-0008-0000-0000-0000B6D1D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94</xdr:row>
      <xdr:rowOff>142875</xdr:rowOff>
    </xdr:from>
    <xdr:to>
      <xdr:col>21</xdr:col>
      <xdr:colOff>266700</xdr:colOff>
      <xdr:row>115</xdr:row>
      <xdr:rowOff>104775</xdr:rowOff>
    </xdr:to>
    <xdr:graphicFrame macro="">
      <xdr:nvGraphicFramePr>
        <xdr:cNvPr id="64344503" name="Chart 2">
          <a:extLst>
            <a:ext uri="{FF2B5EF4-FFF2-40B4-BE49-F238E27FC236}">
              <a16:creationId xmlns:a16="http://schemas.microsoft.com/office/drawing/2014/main" id="{00000000-0008-0000-0000-0000B7D1D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139</xdr:row>
      <xdr:rowOff>28575</xdr:rowOff>
    </xdr:from>
    <xdr:to>
      <xdr:col>21</xdr:col>
      <xdr:colOff>409575</xdr:colOff>
      <xdr:row>159</xdr:row>
      <xdr:rowOff>76200</xdr:rowOff>
    </xdr:to>
    <xdr:graphicFrame macro="">
      <xdr:nvGraphicFramePr>
        <xdr:cNvPr id="64344504" name="Chart 3">
          <a:extLst>
            <a:ext uri="{FF2B5EF4-FFF2-40B4-BE49-F238E27FC236}">
              <a16:creationId xmlns:a16="http://schemas.microsoft.com/office/drawing/2014/main" id="{00000000-0008-0000-0000-0000B8D1D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116</xdr:row>
      <xdr:rowOff>57150</xdr:rowOff>
    </xdr:from>
    <xdr:to>
      <xdr:col>21</xdr:col>
      <xdr:colOff>247650</xdr:colOff>
      <xdr:row>136</xdr:row>
      <xdr:rowOff>142875</xdr:rowOff>
    </xdr:to>
    <xdr:graphicFrame macro="">
      <xdr:nvGraphicFramePr>
        <xdr:cNvPr id="64344505" name="Chart 4">
          <a:extLst>
            <a:ext uri="{FF2B5EF4-FFF2-40B4-BE49-F238E27FC236}">
              <a16:creationId xmlns:a16="http://schemas.microsoft.com/office/drawing/2014/main" id="{00000000-0008-0000-0000-0000B9D1D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581025</xdr:colOff>
      <xdr:row>160</xdr:row>
      <xdr:rowOff>47625</xdr:rowOff>
    </xdr:from>
    <xdr:to>
      <xdr:col>21</xdr:col>
      <xdr:colOff>423333</xdr:colOff>
      <xdr:row>180</xdr:row>
      <xdr:rowOff>133350</xdr:rowOff>
    </xdr:to>
    <xdr:graphicFrame macro="">
      <xdr:nvGraphicFramePr>
        <xdr:cNvPr id="64344506" name="Chart 5">
          <a:extLst>
            <a:ext uri="{FF2B5EF4-FFF2-40B4-BE49-F238E27FC236}">
              <a16:creationId xmlns:a16="http://schemas.microsoft.com/office/drawing/2014/main" id="{00000000-0008-0000-0000-0000BAD1D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183</xdr:row>
      <xdr:rowOff>0</xdr:rowOff>
    </xdr:from>
    <xdr:to>
      <xdr:col>21</xdr:col>
      <xdr:colOff>400050</xdr:colOff>
      <xdr:row>203</xdr:row>
      <xdr:rowOff>47625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38100</xdr:rowOff>
    </xdr:from>
    <xdr:to>
      <xdr:col>10</xdr:col>
      <xdr:colOff>152400</xdr:colOff>
      <xdr:row>23</xdr:row>
      <xdr:rowOff>114300</xdr:rowOff>
    </xdr:to>
    <xdr:graphicFrame macro="">
      <xdr:nvGraphicFramePr>
        <xdr:cNvPr id="64753309" name="Chart 1">
          <a:extLst>
            <a:ext uri="{FF2B5EF4-FFF2-40B4-BE49-F238E27FC236}">
              <a16:creationId xmlns:a16="http://schemas.microsoft.com/office/drawing/2014/main" id="{00000000-0008-0000-0800-00009D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3</xdr:row>
      <xdr:rowOff>38100</xdr:rowOff>
    </xdr:from>
    <xdr:to>
      <xdr:col>21</xdr:col>
      <xdr:colOff>409575</xdr:colOff>
      <xdr:row>23</xdr:row>
      <xdr:rowOff>85725</xdr:rowOff>
    </xdr:to>
    <xdr:graphicFrame macro="">
      <xdr:nvGraphicFramePr>
        <xdr:cNvPr id="64753310" name="Chart 2">
          <a:extLst>
            <a:ext uri="{FF2B5EF4-FFF2-40B4-BE49-F238E27FC236}">
              <a16:creationId xmlns:a16="http://schemas.microsoft.com/office/drawing/2014/main" id="{00000000-0008-0000-0800-00009E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57</xdr:row>
      <xdr:rowOff>142875</xdr:rowOff>
    </xdr:from>
    <xdr:to>
      <xdr:col>10</xdr:col>
      <xdr:colOff>266700</xdr:colOff>
      <xdr:row>78</xdr:row>
      <xdr:rowOff>133350</xdr:rowOff>
    </xdr:to>
    <xdr:graphicFrame macro="">
      <xdr:nvGraphicFramePr>
        <xdr:cNvPr id="64753311" name="Chart 5">
          <a:extLst>
            <a:ext uri="{FF2B5EF4-FFF2-40B4-BE49-F238E27FC236}">
              <a16:creationId xmlns:a16="http://schemas.microsoft.com/office/drawing/2014/main" id="{00000000-0008-0000-0800-00009F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104775</xdr:colOff>
      <xdr:row>57</xdr:row>
      <xdr:rowOff>133350</xdr:rowOff>
    </xdr:from>
    <xdr:to>
      <xdr:col>21</xdr:col>
      <xdr:colOff>409575</xdr:colOff>
      <xdr:row>78</xdr:row>
      <xdr:rowOff>123825</xdr:rowOff>
    </xdr:to>
    <xdr:graphicFrame macro="">
      <xdr:nvGraphicFramePr>
        <xdr:cNvPr id="64753312" name="Chart 6">
          <a:extLst>
            <a:ext uri="{FF2B5EF4-FFF2-40B4-BE49-F238E27FC236}">
              <a16:creationId xmlns:a16="http://schemas.microsoft.com/office/drawing/2014/main" id="{00000000-0008-0000-0800-0000A0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82</xdr:row>
      <xdr:rowOff>133350</xdr:rowOff>
    </xdr:from>
    <xdr:to>
      <xdr:col>10</xdr:col>
      <xdr:colOff>390525</xdr:colOff>
      <xdr:row>101</xdr:row>
      <xdr:rowOff>152400</xdr:rowOff>
    </xdr:to>
    <xdr:graphicFrame macro="">
      <xdr:nvGraphicFramePr>
        <xdr:cNvPr id="64753313" name="Chart 7">
          <a:extLst>
            <a:ext uri="{FF2B5EF4-FFF2-40B4-BE49-F238E27FC236}">
              <a16:creationId xmlns:a16="http://schemas.microsoft.com/office/drawing/2014/main" id="{00000000-0008-0000-0800-0000A1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25</xdr:row>
      <xdr:rowOff>38100</xdr:rowOff>
    </xdr:from>
    <xdr:to>
      <xdr:col>10</xdr:col>
      <xdr:colOff>171450</xdr:colOff>
      <xdr:row>44</xdr:row>
      <xdr:rowOff>47625</xdr:rowOff>
    </xdr:to>
    <xdr:graphicFrame macro="">
      <xdr:nvGraphicFramePr>
        <xdr:cNvPr id="64753314" name="Chart 11">
          <a:extLst>
            <a:ext uri="{FF2B5EF4-FFF2-40B4-BE49-F238E27FC236}">
              <a16:creationId xmlns:a16="http://schemas.microsoft.com/office/drawing/2014/main" id="{00000000-0008-0000-0800-0000A2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106</xdr:row>
      <xdr:rowOff>123825</xdr:rowOff>
    </xdr:from>
    <xdr:to>
      <xdr:col>10</xdr:col>
      <xdr:colOff>219075</xdr:colOff>
      <xdr:row>127</xdr:row>
      <xdr:rowOff>57150</xdr:rowOff>
    </xdr:to>
    <xdr:graphicFrame macro="">
      <xdr:nvGraphicFramePr>
        <xdr:cNvPr id="64753315" name="Chart 285">
          <a:extLst>
            <a:ext uri="{FF2B5EF4-FFF2-40B4-BE49-F238E27FC236}">
              <a16:creationId xmlns:a16="http://schemas.microsoft.com/office/drawing/2014/main" id="{00000000-0008-0000-0800-0000A3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107</xdr:row>
      <xdr:rowOff>47625</xdr:rowOff>
    </xdr:from>
    <xdr:to>
      <xdr:col>20</xdr:col>
      <xdr:colOff>609600</xdr:colOff>
      <xdr:row>127</xdr:row>
      <xdr:rowOff>123825</xdr:rowOff>
    </xdr:to>
    <xdr:graphicFrame macro="">
      <xdr:nvGraphicFramePr>
        <xdr:cNvPr id="64753316" name="Chart 287">
          <a:extLst>
            <a:ext uri="{FF2B5EF4-FFF2-40B4-BE49-F238E27FC236}">
              <a16:creationId xmlns:a16="http://schemas.microsoft.com/office/drawing/2014/main" id="{00000000-0008-0000-0800-0000A4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190500</xdr:colOff>
      <xdr:row>130</xdr:row>
      <xdr:rowOff>85725</xdr:rowOff>
    </xdr:from>
    <xdr:to>
      <xdr:col>10</xdr:col>
      <xdr:colOff>171450</xdr:colOff>
      <xdr:row>150</xdr:row>
      <xdr:rowOff>133350</xdr:rowOff>
    </xdr:to>
    <xdr:graphicFrame macro="">
      <xdr:nvGraphicFramePr>
        <xdr:cNvPr id="64753317" name="Chart 288">
          <a:extLst>
            <a:ext uri="{FF2B5EF4-FFF2-40B4-BE49-F238E27FC236}">
              <a16:creationId xmlns:a16="http://schemas.microsoft.com/office/drawing/2014/main" id="{00000000-0008-0000-0800-0000A50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tapower-my.sharepoint.com/personal/amitsadhukhan_tatapower_com/Documents/Reports/FY%2022-23/May-22/Daily%20station%20report-May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tapower-my.sharepoint.com/Old%20System%20Drive%20E/Operation/DAILY%20REPORTS/FY%2017-18/March-18/Daily%20Station%20Report%20Haldia%20(March-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ON"/>
      <sheetName val="UNITS"/>
      <sheetName val="Totalizer"/>
      <sheetName val="BOILERS"/>
      <sheetName val="Variance"/>
      <sheetName val="EQUIPMENT outage"/>
      <sheetName val="ASSET outage"/>
      <sheetName val="Equipment Status"/>
      <sheetName val="GRAPHS"/>
      <sheetName val="KPI tracker"/>
      <sheetName val="KPI analysis"/>
      <sheetName val="REMARKS "/>
    </sheetNames>
    <sheetDataSet>
      <sheetData sheetId="0">
        <row r="6">
          <cell r="B6" t="str">
            <v>Mus</v>
          </cell>
          <cell r="C6">
            <v>2.7959999999999994</v>
          </cell>
          <cell r="D6">
            <v>2.7090000000000001</v>
          </cell>
          <cell r="E6">
            <v>2.746</v>
          </cell>
          <cell r="F6">
            <v>2.694</v>
          </cell>
          <cell r="G6">
            <v>2.6479999999999997</v>
          </cell>
          <cell r="H6">
            <v>2.754</v>
          </cell>
          <cell r="I6">
            <v>2.726</v>
          </cell>
          <cell r="J6">
            <v>2.73</v>
          </cell>
          <cell r="K6">
            <v>2.7409999999999997</v>
          </cell>
          <cell r="L6">
            <v>2.738</v>
          </cell>
          <cell r="M6">
            <v>2.7249999999999996</v>
          </cell>
          <cell r="N6">
            <v>2.7320000000000002</v>
          </cell>
          <cell r="O6">
            <v>2.5140000000000002</v>
          </cell>
          <cell r="P6">
            <v>2.4539999999999997</v>
          </cell>
          <cell r="Q6">
            <v>2.5339999999999998</v>
          </cell>
          <cell r="R6">
            <v>2.524</v>
          </cell>
          <cell r="S6">
            <v>2.58</v>
          </cell>
          <cell r="T6">
            <v>2.6179999999999999</v>
          </cell>
          <cell r="U6">
            <v>2.6139999999999999</v>
          </cell>
          <cell r="V6">
            <v>2.512</v>
          </cell>
          <cell r="W6">
            <v>2.3719999999999999</v>
          </cell>
          <cell r="X6">
            <v>2.31</v>
          </cell>
          <cell r="Y6">
            <v>2.431</v>
          </cell>
          <cell r="Z6">
            <v>2.6</v>
          </cell>
          <cell r="AA6">
            <v>2.6449999999999996</v>
          </cell>
          <cell r="AB6">
            <v>2.7030000000000003</v>
          </cell>
          <cell r="AC6">
            <v>2.6519999999999997</v>
          </cell>
          <cell r="AD6">
            <v>2.6209999999999996</v>
          </cell>
          <cell r="AE6">
            <v>2.6269999999999998</v>
          </cell>
          <cell r="AF6">
            <v>2.65</v>
          </cell>
          <cell r="AG6">
            <v>2.641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ON"/>
      <sheetName val="UNITS"/>
      <sheetName val="Totalizer"/>
      <sheetName val="BOILERS"/>
      <sheetName val="EQUIPMENT outage"/>
      <sheetName val="Variance"/>
      <sheetName val="ASSET outage"/>
      <sheetName val="Equipment Status"/>
      <sheetName val="GRAPHS"/>
      <sheetName val="REMARKS"/>
      <sheetName val="KPI tracker"/>
      <sheetName val="KPI analysis"/>
    </sheetNames>
    <sheetDataSet>
      <sheetData sheetId="0"/>
      <sheetData sheetId="1"/>
      <sheetData sheetId="2"/>
      <sheetData sheetId="3">
        <row r="29">
          <cell r="D29">
            <v>29</v>
          </cell>
          <cell r="E29">
            <v>27.832263946533203</v>
          </cell>
          <cell r="F29">
            <v>25</v>
          </cell>
          <cell r="G29">
            <v>28</v>
          </cell>
          <cell r="H29">
            <v>31</v>
          </cell>
          <cell r="I29">
            <v>27.832263946533203</v>
          </cell>
          <cell r="J29">
            <v>29</v>
          </cell>
          <cell r="K29">
            <v>25</v>
          </cell>
          <cell r="L29">
            <v>33</v>
          </cell>
          <cell r="M29">
            <v>28.7</v>
          </cell>
          <cell r="N29">
            <v>30</v>
          </cell>
          <cell r="O29">
            <v>29</v>
          </cell>
          <cell r="P29">
            <v>30</v>
          </cell>
          <cell r="Q29">
            <v>27.832263946533203</v>
          </cell>
          <cell r="R29">
            <v>29</v>
          </cell>
          <cell r="S29">
            <v>30</v>
          </cell>
          <cell r="T29">
            <v>33</v>
          </cell>
          <cell r="U29">
            <v>31</v>
          </cell>
          <cell r="V29">
            <v>28</v>
          </cell>
          <cell r="W29">
            <v>30</v>
          </cell>
          <cell r="X29">
            <v>31</v>
          </cell>
          <cell r="Y29">
            <v>29</v>
          </cell>
          <cell r="Z29">
            <v>28</v>
          </cell>
          <cell r="AA29">
            <v>28.241119384765625</v>
          </cell>
          <cell r="AB29">
            <v>30</v>
          </cell>
          <cell r="AC29">
            <v>31</v>
          </cell>
          <cell r="AD29">
            <v>27</v>
          </cell>
          <cell r="AE29">
            <v>30</v>
          </cell>
          <cell r="AF29">
            <v>28.241119384765625</v>
          </cell>
          <cell r="AG29">
            <v>27.832263946533203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77"/>
  <sheetViews>
    <sheetView tabSelected="1" zoomScale="80" zoomScaleNormal="8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P7" sqref="P7"/>
    </sheetView>
  </sheetViews>
  <sheetFormatPr defaultColWidth="9.1796875" defaultRowHeight="12.5" x14ac:dyDescent="0.25"/>
  <cols>
    <col min="1" max="1" width="40.81640625" style="28" customWidth="1"/>
    <col min="2" max="2" width="11.7265625" style="28" customWidth="1"/>
    <col min="3" max="3" width="11.26953125" style="28" customWidth="1"/>
    <col min="4" max="4" width="11.81640625" style="28" customWidth="1"/>
    <col min="5" max="14" width="10.81640625" style="28" customWidth="1"/>
    <col min="15" max="15" width="10.81640625" style="114" customWidth="1"/>
    <col min="16" max="20" width="10.81640625" style="28" customWidth="1"/>
    <col min="21" max="22" width="10.81640625" style="26" customWidth="1"/>
    <col min="23" max="26" width="10.81640625" style="28" customWidth="1"/>
    <col min="27" max="27" width="11.453125" style="28" customWidth="1"/>
    <col min="28" max="30" width="10.81640625" style="28" customWidth="1"/>
    <col min="31" max="31" width="11.26953125" style="28" customWidth="1"/>
    <col min="32" max="32" width="10.26953125" style="28" customWidth="1"/>
    <col min="33" max="33" width="12.7265625" style="28" customWidth="1"/>
    <col min="34" max="34" width="15.1796875" style="28" customWidth="1"/>
    <col min="35" max="35" width="9.1796875" style="28"/>
    <col min="36" max="36" width="10.453125" style="28" bestFit="1" customWidth="1"/>
    <col min="37" max="16384" width="9.1796875" style="28"/>
  </cols>
  <sheetData>
    <row r="1" spans="1:62" ht="41.25" customHeight="1" x14ac:dyDescent="0.25">
      <c r="A1" s="111" t="s">
        <v>225</v>
      </c>
      <c r="B1" s="300" t="s">
        <v>213</v>
      </c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159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s="50" customFormat="1" ht="21" customHeight="1" x14ac:dyDescent="0.25">
      <c r="A2" s="54" t="s">
        <v>0</v>
      </c>
      <c r="B2" s="52" t="s">
        <v>1</v>
      </c>
      <c r="C2" s="52">
        <v>1</v>
      </c>
      <c r="D2" s="52">
        <v>2</v>
      </c>
      <c r="E2" s="52">
        <v>3</v>
      </c>
      <c r="F2" s="52">
        <v>4</v>
      </c>
      <c r="G2" s="52">
        <v>5</v>
      </c>
      <c r="H2" s="52">
        <v>6</v>
      </c>
      <c r="I2" s="52">
        <v>7</v>
      </c>
      <c r="J2" s="52">
        <v>8</v>
      </c>
      <c r="K2" s="52">
        <v>9</v>
      </c>
      <c r="L2" s="52">
        <v>10</v>
      </c>
      <c r="M2" s="52">
        <v>11</v>
      </c>
      <c r="N2" s="52">
        <v>12</v>
      </c>
      <c r="O2" s="166">
        <v>13</v>
      </c>
      <c r="P2" s="52">
        <v>14</v>
      </c>
      <c r="Q2" s="52">
        <v>15</v>
      </c>
      <c r="R2" s="52">
        <v>16</v>
      </c>
      <c r="S2" s="52">
        <v>17</v>
      </c>
      <c r="T2" s="52">
        <v>18</v>
      </c>
      <c r="U2" s="52">
        <v>19</v>
      </c>
      <c r="V2" s="52">
        <v>20</v>
      </c>
      <c r="W2" s="52">
        <v>21</v>
      </c>
      <c r="X2" s="52">
        <v>22</v>
      </c>
      <c r="Y2" s="52">
        <v>23</v>
      </c>
      <c r="Z2" s="52">
        <v>24</v>
      </c>
      <c r="AA2" s="52">
        <v>25</v>
      </c>
      <c r="AB2" s="52">
        <v>26</v>
      </c>
      <c r="AC2" s="52">
        <v>27</v>
      </c>
      <c r="AD2" s="52">
        <v>28</v>
      </c>
      <c r="AE2" s="52">
        <v>29</v>
      </c>
      <c r="AF2" s="52">
        <v>30</v>
      </c>
      <c r="AG2" s="52">
        <v>31</v>
      </c>
    </row>
    <row r="3" spans="1:62" ht="24" customHeight="1" x14ac:dyDescent="0.25">
      <c r="A3" s="112"/>
      <c r="B3" s="113"/>
      <c r="C3" s="306" t="s">
        <v>2</v>
      </c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</row>
    <row r="4" spans="1:62" ht="30" customHeight="1" x14ac:dyDescent="0.25">
      <c r="A4" s="298" t="s">
        <v>3</v>
      </c>
      <c r="B4" s="299"/>
      <c r="C4" s="302" t="s">
        <v>214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</row>
    <row r="5" spans="1:62" ht="30" customHeight="1" x14ac:dyDescent="0.25">
      <c r="A5" s="15" t="s">
        <v>4</v>
      </c>
      <c r="B5" s="16" t="s">
        <v>5</v>
      </c>
      <c r="C5" s="6">
        <f>UNITS!C6+UNITS!C33+UNITS!C60</f>
        <v>2.5692680000000001</v>
      </c>
      <c r="D5" s="6">
        <f>UNITS!D6+UNITS!D33+UNITS!D60</f>
        <v>2.6060859999999999</v>
      </c>
      <c r="E5" s="6">
        <f>UNITS!E6+UNITS!E33+UNITS!E60</f>
        <v>2.7069800000000002</v>
      </c>
      <c r="F5" s="6">
        <f>UNITS!F6+UNITS!F33+UNITS!F60</f>
        <v>2.6580110000000001</v>
      </c>
      <c r="G5" s="6">
        <f>UNITS!G6+UNITS!G33+UNITS!G60</f>
        <v>2.6204540000000001</v>
      </c>
      <c r="H5" s="6">
        <f>UNITS!H6+UNITS!H33+UNITS!H60</f>
        <v>2.6691244999999997</v>
      </c>
      <c r="I5" s="6">
        <f>UNITS!I6+UNITS!I33+UNITS!I60</f>
        <v>2.7161955</v>
      </c>
      <c r="J5" s="6">
        <f>UNITS!J6+UNITS!J33+UNITS!J60</f>
        <v>2.7048969999999994</v>
      </c>
      <c r="K5" s="6">
        <f>UNITS!K6+UNITS!K33+UNITS!K60</f>
        <v>2.7209460000000001</v>
      </c>
      <c r="L5" s="6">
        <f>UNITS!L6+UNITS!L33+UNITS!L60</f>
        <v>2.7461030000000006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28">
        <v>2.4348420000000002</v>
      </c>
    </row>
    <row r="6" spans="1:62" ht="30" customHeight="1" x14ac:dyDescent="0.25">
      <c r="A6" s="15" t="s">
        <v>6</v>
      </c>
      <c r="B6" s="16" t="s">
        <v>5</v>
      </c>
      <c r="C6" s="6">
        <f>UNITS!C7+UNITS!C34+UNITS!C61</f>
        <v>2.5609999999999999</v>
      </c>
      <c r="D6" s="6">
        <f>UNITS!D7+UNITS!D34+UNITS!D61</f>
        <v>2.6</v>
      </c>
      <c r="E6" s="6">
        <f>UNITS!E7+UNITS!E34+UNITS!E61</f>
        <v>2.6989999999999998</v>
      </c>
      <c r="F6" s="6">
        <f>UNITS!F7+UNITS!F34+UNITS!F61</f>
        <v>2.65</v>
      </c>
      <c r="G6" s="6">
        <f>UNITS!G7+UNITS!G34+UNITS!G61</f>
        <v>2.61</v>
      </c>
      <c r="H6" s="6">
        <f>UNITS!H7+UNITS!H34+UNITS!H61</f>
        <v>2.665</v>
      </c>
      <c r="I6" s="6">
        <f>UNITS!I7+UNITS!I34+UNITS!I61</f>
        <v>2.7040000000000002</v>
      </c>
      <c r="J6" s="6">
        <f>UNITS!J7+UNITS!J34+UNITS!J61</f>
        <v>2.6980000000000004</v>
      </c>
      <c r="K6" s="6">
        <f>UNITS!K7+UNITS!K34+UNITS!K61</f>
        <v>2.7149999999999999</v>
      </c>
      <c r="L6" s="6">
        <f>UNITS!L7+UNITS!L34+UNITS!L61</f>
        <v>2.7389999999999994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28">
        <v>2.423</v>
      </c>
    </row>
    <row r="7" spans="1:62" ht="30" customHeight="1" x14ac:dyDescent="0.25">
      <c r="A7" s="15" t="s">
        <v>7</v>
      </c>
      <c r="B7" s="16" t="s">
        <v>5</v>
      </c>
      <c r="C7" s="6">
        <f>C5</f>
        <v>2.5692680000000001</v>
      </c>
      <c r="D7" s="6">
        <f t="shared" ref="D7:L7" si="0">C7+D5</f>
        <v>5.1753540000000005</v>
      </c>
      <c r="E7" s="6">
        <f t="shared" si="0"/>
        <v>7.8823340000000002</v>
      </c>
      <c r="F7" s="6">
        <f t="shared" si="0"/>
        <v>10.540345</v>
      </c>
      <c r="G7" s="6">
        <f t="shared" si="0"/>
        <v>13.160799000000001</v>
      </c>
      <c r="H7" s="6">
        <f t="shared" si="0"/>
        <v>15.8299235</v>
      </c>
      <c r="I7" s="6">
        <f t="shared" si="0"/>
        <v>18.546119000000001</v>
      </c>
      <c r="J7" s="6">
        <f t="shared" si="0"/>
        <v>21.251016</v>
      </c>
      <c r="K7" s="6">
        <f t="shared" si="0"/>
        <v>23.971962000000001</v>
      </c>
      <c r="L7" s="6">
        <f t="shared" si="0"/>
        <v>26.718065000000003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28">
        <v>80.124733125000006</v>
      </c>
      <c r="AJ7" s="185"/>
    </row>
    <row r="8" spans="1:62" ht="30" customHeight="1" x14ac:dyDescent="0.25">
      <c r="A8" s="15" t="s">
        <v>8</v>
      </c>
      <c r="B8" s="16" t="s">
        <v>5</v>
      </c>
      <c r="C8" s="171">
        <f t="shared" ref="C8:H8" si="1">557.57913+C7</f>
        <v>560.14839799999993</v>
      </c>
      <c r="D8" s="171">
        <f t="shared" si="1"/>
        <v>562.75448399999993</v>
      </c>
      <c r="E8" s="171">
        <f t="shared" si="1"/>
        <v>565.46146399999998</v>
      </c>
      <c r="F8" s="171">
        <f t="shared" si="1"/>
        <v>568.11947499999997</v>
      </c>
      <c r="G8" s="171">
        <f t="shared" si="1"/>
        <v>570.73992899999996</v>
      </c>
      <c r="H8" s="171">
        <f t="shared" si="1"/>
        <v>573.40905349999991</v>
      </c>
      <c r="I8" s="171">
        <f t="shared" ref="I8:J8" si="2">557.57913+I7</f>
        <v>576.12524899999994</v>
      </c>
      <c r="J8" s="171">
        <f t="shared" si="2"/>
        <v>578.83014600000001</v>
      </c>
      <c r="K8" s="171">
        <f t="shared" ref="K8:L8" si="3">557.57913+K7</f>
        <v>581.55109199999993</v>
      </c>
      <c r="L8" s="171">
        <f t="shared" si="3"/>
        <v>584.29719499999999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28">
        <v>557.579133125</v>
      </c>
    </row>
    <row r="9" spans="1:62" ht="30" customHeight="1" x14ac:dyDescent="0.25">
      <c r="A9" s="33" t="s">
        <v>9</v>
      </c>
      <c r="B9" s="34" t="s">
        <v>10</v>
      </c>
      <c r="C9" s="217">
        <f>(C5*1000)/24</f>
        <v>107.05283333333334</v>
      </c>
      <c r="D9" s="217">
        <f t="shared" ref="D9:E9" si="4">(D5*1000)/24</f>
        <v>108.58691666666665</v>
      </c>
      <c r="E9" s="217">
        <f t="shared" si="4"/>
        <v>112.79083333333334</v>
      </c>
      <c r="F9" s="217">
        <f t="shared" ref="F9:G9" si="5">(F5*1000)/24</f>
        <v>110.75045833333333</v>
      </c>
      <c r="G9" s="217">
        <f t="shared" si="5"/>
        <v>109.18558333333334</v>
      </c>
      <c r="H9" s="217">
        <f t="shared" ref="H9:I9" si="6">(H5*1000)/24</f>
        <v>111.21352083333333</v>
      </c>
      <c r="I9" s="217">
        <f t="shared" si="6"/>
        <v>113.17481249999999</v>
      </c>
      <c r="J9" s="217">
        <f t="shared" ref="J9:K9" si="7">(J5*1000)/24</f>
        <v>112.70404166666664</v>
      </c>
      <c r="K9" s="217">
        <f t="shared" si="7"/>
        <v>113.37275</v>
      </c>
      <c r="L9" s="217">
        <f t="shared" ref="L9" si="8">(L5*1000)/24</f>
        <v>114.42095833333336</v>
      </c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8">
        <v>101.45175</v>
      </c>
      <c r="AI9" s="184"/>
    </row>
    <row r="10" spans="1:62" ht="30" customHeight="1" x14ac:dyDescent="0.25">
      <c r="A10" s="33" t="s">
        <v>192</v>
      </c>
      <c r="B10" s="34" t="s">
        <v>10</v>
      </c>
      <c r="C10" s="217">
        <v>112.93489837646484</v>
      </c>
      <c r="D10" s="217">
        <v>117.00006866455078</v>
      </c>
      <c r="E10" s="217">
        <v>118.09454345703125</v>
      </c>
      <c r="F10" s="217">
        <v>116.34764099121094</v>
      </c>
      <c r="G10" s="217">
        <v>112.60396575927734</v>
      </c>
      <c r="H10" s="217">
        <v>115.64459228515625</v>
      </c>
      <c r="I10" s="217">
        <v>116.17010498046875</v>
      </c>
      <c r="J10" s="217">
        <v>117</v>
      </c>
      <c r="K10" s="217">
        <v>117.66920471191406</v>
      </c>
      <c r="L10" s="217">
        <v>117.22164916992188</v>
      </c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8">
        <v>113.56971740722656</v>
      </c>
      <c r="AI10" s="184"/>
    </row>
    <row r="11" spans="1:62" ht="30" customHeight="1" x14ac:dyDescent="0.25">
      <c r="A11" s="33" t="s">
        <v>193</v>
      </c>
      <c r="B11" s="34" t="s">
        <v>10</v>
      </c>
      <c r="C11" s="217">
        <v>96.184005737304688</v>
      </c>
      <c r="D11" s="217">
        <v>97.917007446289063</v>
      </c>
      <c r="E11" s="217">
        <v>107.45841217041016</v>
      </c>
      <c r="F11" s="217">
        <v>108.40946197509766</v>
      </c>
      <c r="G11" s="217">
        <v>107.23648834228516</v>
      </c>
      <c r="H11" s="217">
        <v>109.05221557617188</v>
      </c>
      <c r="I11" s="217">
        <v>111.87155151367188</v>
      </c>
      <c r="J11" s="217">
        <v>111</v>
      </c>
      <c r="K11" s="217">
        <v>112.67713928222656</v>
      </c>
      <c r="L11" s="217">
        <v>113.77403259277344</v>
      </c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8">
        <v>78.198432922363281</v>
      </c>
      <c r="AI11" s="184"/>
    </row>
    <row r="12" spans="1:62" ht="30" customHeight="1" x14ac:dyDescent="0.25">
      <c r="A12" s="15" t="s">
        <v>11</v>
      </c>
      <c r="B12" s="16" t="s">
        <v>10</v>
      </c>
      <c r="C12" s="218">
        <f t="shared" ref="C12:H12" si="9">(74.368-C7)/(30-C2)*1000/24</f>
        <v>103.15909770114943</v>
      </c>
      <c r="D12" s="218">
        <f t="shared" si="9"/>
        <v>102.96524702380951</v>
      </c>
      <c r="E12" s="218">
        <f t="shared" si="9"/>
        <v>102.60133641975307</v>
      </c>
      <c r="F12" s="218">
        <f t="shared" si="9"/>
        <v>102.28790865384615</v>
      </c>
      <c r="G12" s="218">
        <f t="shared" si="9"/>
        <v>102.01200166666666</v>
      </c>
      <c r="H12" s="218">
        <f t="shared" si="9"/>
        <v>101.62860503472221</v>
      </c>
      <c r="I12" s="218">
        <f t="shared" ref="I12:J12" si="10">(74.368-I7)/(30-I2)*1000/24</f>
        <v>101.12659601449273</v>
      </c>
      <c r="J12" s="218">
        <f t="shared" si="10"/>
        <v>100.60034848484848</v>
      </c>
      <c r="K12" s="218">
        <f t="shared" ref="K12:L12" si="11">(74.368-K7)/(30-K2)*1000/24</f>
        <v>99.992138888888874</v>
      </c>
      <c r="L12" s="218">
        <f t="shared" si="11"/>
        <v>99.270697916666663</v>
      </c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8" t="e">
        <v>#DIV/0!</v>
      </c>
    </row>
    <row r="13" spans="1:62" ht="12" customHeight="1" x14ac:dyDescent="0.25">
      <c r="A13" s="304"/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</row>
    <row r="14" spans="1:62" ht="30" customHeight="1" x14ac:dyDescent="0.25">
      <c r="A14" s="296" t="s">
        <v>12</v>
      </c>
      <c r="B14" s="297"/>
      <c r="C14" s="302" t="s">
        <v>215</v>
      </c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</row>
    <row r="15" spans="1:62" ht="30" customHeight="1" x14ac:dyDescent="0.25">
      <c r="A15" s="15" t="s">
        <v>6</v>
      </c>
      <c r="B15" s="16" t="s">
        <v>13</v>
      </c>
      <c r="C15" s="3">
        <f>(C5*1000)/(112*24)%</f>
        <v>95.582886904761907</v>
      </c>
      <c r="D15" s="3">
        <f t="shared" ref="D15:E15" si="12">(D5*1000)/(112*24)%</f>
        <v>96.95260416666666</v>
      </c>
      <c r="E15" s="3">
        <f t="shared" si="12"/>
        <v>100.70610119047619</v>
      </c>
      <c r="F15" s="3">
        <f t="shared" ref="F15:G15" si="13">(F5*1000)/(112*24)%</f>
        <v>98.884337797619054</v>
      </c>
      <c r="G15" s="3">
        <f t="shared" si="13"/>
        <v>97.487127976190493</v>
      </c>
      <c r="H15" s="3">
        <f t="shared" ref="H15:I15" si="14">(H5*1000)/(112*24)%</f>
        <v>99.297786458333334</v>
      </c>
      <c r="I15" s="3">
        <f t="shared" si="14"/>
        <v>101.04893973214286</v>
      </c>
      <c r="J15" s="3">
        <f t="shared" ref="J15:K15" si="15">(J5*1000)/(112*24)%</f>
        <v>100.62860863095237</v>
      </c>
      <c r="K15" s="3">
        <f t="shared" si="15"/>
        <v>101.22566964285714</v>
      </c>
      <c r="L15" s="3">
        <f t="shared" ref="L15" si="16">(L5*1000)/(112*24)%</f>
        <v>102.16156994047621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8">
        <v>90.581919642857144</v>
      </c>
    </row>
    <row r="16" spans="1:62" ht="30" customHeight="1" x14ac:dyDescent="0.25">
      <c r="A16" s="15" t="s">
        <v>7</v>
      </c>
      <c r="B16" s="16" t="s">
        <v>13</v>
      </c>
      <c r="C16" s="3">
        <f t="shared" ref="C16:D16" si="17">(C7*1000)/(112*24*C2)%</f>
        <v>95.582886904761907</v>
      </c>
      <c r="D16" s="3">
        <f t="shared" si="17"/>
        <v>96.267745535714297</v>
      </c>
      <c r="E16" s="3">
        <f t="shared" ref="E16:F16" si="18">(E7*1000)/(112*24*E2)%</f>
        <v>97.747197420634919</v>
      </c>
      <c r="F16" s="3">
        <f t="shared" si="18"/>
        <v>98.031482514880963</v>
      </c>
      <c r="G16" s="3">
        <f t="shared" ref="G16:H16" si="19">(G7*1000)/(112*24*G2)%</f>
        <v>97.922611607142855</v>
      </c>
      <c r="H16" s="3">
        <f t="shared" si="19"/>
        <v>98.151807415674597</v>
      </c>
      <c r="I16" s="3">
        <f t="shared" ref="I16:J16" si="20">(I7*1000)/(112*24*I2)%</f>
        <v>98.565683460884372</v>
      </c>
      <c r="J16" s="3">
        <f t="shared" si="20"/>
        <v>98.823549107142853</v>
      </c>
      <c r="K16" s="3">
        <f t="shared" ref="K16:L16" si="21">(K7*1000)/(112*24*K2)%</f>
        <v>99.090451388888894</v>
      </c>
      <c r="L16" s="3">
        <f t="shared" si="21"/>
        <v>99.397563244047618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8">
        <v>96.155833723358299</v>
      </c>
    </row>
    <row r="17" spans="1:34" ht="30" customHeight="1" x14ac:dyDescent="0.25">
      <c r="A17" s="15" t="s">
        <v>8</v>
      </c>
      <c r="B17" s="16" t="s">
        <v>13</v>
      </c>
      <c r="C17" s="3">
        <f>(C8*1000)/(112*24*(C2+30+31+30+31+31+30+31))%</f>
        <v>96.924902754706523</v>
      </c>
      <c r="D17" s="3">
        <f>(D8*1000)/(112*24*(D2+30+31+30+31+31+30+31))%</f>
        <v>96.925031001984124</v>
      </c>
      <c r="E17" s="3">
        <f t="shared" ref="E17:F17" si="22">(E8*1000)/(112*24*(E2+30+31+30+31+31+30+31))%</f>
        <v>96.942455288567032</v>
      </c>
      <c r="F17" s="3">
        <f t="shared" si="22"/>
        <v>96.951363006498468</v>
      </c>
      <c r="G17" s="3">
        <f t="shared" ref="G17:H17" si="23">(G8*1000)/(112*24*(G2+30+31+30+31+31+30+31))%</f>
        <v>96.953809421885182</v>
      </c>
      <c r="H17" s="3">
        <f t="shared" si="23"/>
        <v>96.964463862959931</v>
      </c>
      <c r="I17" s="3">
        <f t="shared" ref="I17:J17" si="24">(I8*1000)/(112*24*(I2+30+31+30+31+31+30+31))%</f>
        <v>96.982945654223229</v>
      </c>
      <c r="J17" s="3">
        <f t="shared" si="24"/>
        <v>96.999367559523833</v>
      </c>
      <c r="K17" s="3">
        <f t="shared" ref="K17:L17" si="25">(K8*1000)/(112*24*(K2+30+31+30+31+31+30+31))%</f>
        <v>97.018319586803329</v>
      </c>
      <c r="L17" s="3">
        <f t="shared" si="25"/>
        <v>97.041280525882215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8">
        <v>96.931174400068159</v>
      </c>
    </row>
    <row r="18" spans="1:34" ht="30" customHeight="1" x14ac:dyDescent="0.25">
      <c r="A18" s="292" t="s">
        <v>14</v>
      </c>
      <c r="B18" s="293"/>
      <c r="C18" s="294" t="s">
        <v>216</v>
      </c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</row>
    <row r="19" spans="1:34" ht="34.5" customHeight="1" x14ac:dyDescent="0.25">
      <c r="A19" s="15" t="s">
        <v>15</v>
      </c>
      <c r="B19" s="16" t="s">
        <v>5</v>
      </c>
      <c r="C19" s="163">
        <v>0.16915999999999976</v>
      </c>
      <c r="D19" s="163">
        <v>0.16805599999999998</v>
      </c>
      <c r="E19" s="163">
        <v>0.18540800000000024</v>
      </c>
      <c r="F19" s="163">
        <v>0.17560000000000001</v>
      </c>
      <c r="G19" s="163">
        <v>0.1733760000000002</v>
      </c>
      <c r="H19" s="163">
        <v>0.17480800000000052</v>
      </c>
      <c r="I19" s="163">
        <v>0.1912000000000007</v>
      </c>
      <c r="J19" s="163">
        <v>0.16957600000000062</v>
      </c>
      <c r="K19" s="163">
        <v>0.17772000000000032</v>
      </c>
      <c r="L19" s="163">
        <v>0.16499999999999959</v>
      </c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219"/>
      <c r="AC19" s="219"/>
      <c r="AD19" s="219"/>
      <c r="AE19" s="219"/>
      <c r="AF19" s="219"/>
      <c r="AG19" s="163"/>
      <c r="AH19" s="232">
        <v>0.1673840000000002</v>
      </c>
    </row>
    <row r="20" spans="1:34" ht="30" customHeight="1" x14ac:dyDescent="0.25">
      <c r="A20" s="15" t="s">
        <v>16</v>
      </c>
      <c r="B20" s="16" t="s">
        <v>5</v>
      </c>
      <c r="C20" s="163">
        <v>0.176764</v>
      </c>
      <c r="D20" s="163">
        <v>0.179286</v>
      </c>
      <c r="E20" s="163">
        <v>0.18315600000000001</v>
      </c>
      <c r="F20" s="163">
        <v>0.18148300000000001</v>
      </c>
      <c r="G20" s="163">
        <v>0.180254</v>
      </c>
      <c r="H20" s="163">
        <v>0.1826285</v>
      </c>
      <c r="I20" s="163">
        <v>0.18610750000000001</v>
      </c>
      <c r="J20" s="163">
        <v>0.18275250000000001</v>
      </c>
      <c r="K20" s="163">
        <v>0.18265000000000001</v>
      </c>
      <c r="L20" s="163">
        <v>0.18567900000000001</v>
      </c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232">
        <v>0.16867399999999999</v>
      </c>
    </row>
    <row r="21" spans="1:34" ht="30" customHeight="1" x14ac:dyDescent="0.25">
      <c r="A21" s="15" t="s">
        <v>17</v>
      </c>
      <c r="B21" s="16" t="s">
        <v>13</v>
      </c>
      <c r="C21" s="186">
        <f>C20/C5*100</f>
        <v>6.8799362308641987</v>
      </c>
      <c r="D21" s="186">
        <f t="shared" ref="D21:E21" si="26">D20/D5*100</f>
        <v>6.8795120345222687</v>
      </c>
      <c r="E21" s="186">
        <f t="shared" si="26"/>
        <v>6.7660640270707573</v>
      </c>
      <c r="F21" s="186">
        <f t="shared" ref="F21:G21" si="27">F20/F5*100</f>
        <v>6.8277746028891526</v>
      </c>
      <c r="G21" s="186">
        <f t="shared" si="27"/>
        <v>6.8787317006900324</v>
      </c>
      <c r="H21" s="186">
        <f t="shared" ref="H21:I21" si="28">H20/H5*100</f>
        <v>6.8422623223457739</v>
      </c>
      <c r="I21" s="186">
        <f t="shared" si="28"/>
        <v>6.8517711630109099</v>
      </c>
      <c r="J21" s="186">
        <f t="shared" ref="J21:K21" si="29">J20/J5*100</f>
        <v>6.7563570812493063</v>
      </c>
      <c r="K21" s="186">
        <f t="shared" si="29"/>
        <v>6.7127388783165864</v>
      </c>
      <c r="L21" s="186">
        <f t="shared" ref="L21" si="30">L20/L5*100</f>
        <v>6.7615453608258669</v>
      </c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232">
        <v>6.9275131610182505</v>
      </c>
    </row>
    <row r="22" spans="1:34" ht="32.25" customHeight="1" x14ac:dyDescent="0.25">
      <c r="A22" s="15" t="s">
        <v>18</v>
      </c>
      <c r="B22" s="16" t="s">
        <v>5</v>
      </c>
      <c r="C22" s="6">
        <f>C20</f>
        <v>0.176764</v>
      </c>
      <c r="D22" s="6">
        <f t="shared" ref="D22:L22" si="31">C22+D20</f>
        <v>0.35604999999999998</v>
      </c>
      <c r="E22" s="6">
        <f t="shared" si="31"/>
        <v>0.53920599999999996</v>
      </c>
      <c r="F22" s="6">
        <f t="shared" si="31"/>
        <v>0.72068899999999991</v>
      </c>
      <c r="G22" s="6">
        <f t="shared" si="31"/>
        <v>0.90094299999999994</v>
      </c>
      <c r="H22" s="6">
        <f t="shared" si="31"/>
        <v>1.0835714999999999</v>
      </c>
      <c r="I22" s="6">
        <f t="shared" si="31"/>
        <v>1.269679</v>
      </c>
      <c r="J22" s="6">
        <f t="shared" si="31"/>
        <v>1.4524315000000001</v>
      </c>
      <c r="K22" s="6">
        <f t="shared" si="31"/>
        <v>1.6350815000000001</v>
      </c>
      <c r="L22" s="6">
        <f t="shared" si="31"/>
        <v>1.8207605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232">
        <v>5.4634011250000007</v>
      </c>
    </row>
    <row r="23" spans="1:34" ht="34.5" customHeight="1" x14ac:dyDescent="0.25">
      <c r="A23" s="15" t="s">
        <v>15</v>
      </c>
      <c r="B23" s="16" t="s">
        <v>13</v>
      </c>
      <c r="C23" s="3">
        <f>(C19/C6)*100</f>
        <v>6.6052323311206456</v>
      </c>
      <c r="D23" s="3">
        <f t="shared" ref="D23:E23" si="32">(D19/D6)*100</f>
        <v>6.4636923076923063</v>
      </c>
      <c r="E23" s="3">
        <f t="shared" si="32"/>
        <v>6.8695072248981193</v>
      </c>
      <c r="F23" s="3">
        <f t="shared" ref="F23:G23" si="33">(F19/F6)*100</f>
        <v>6.6264150943396229</v>
      </c>
      <c r="G23" s="3">
        <f t="shared" si="33"/>
        <v>6.6427586206896638</v>
      </c>
      <c r="H23" s="3">
        <f t="shared" ref="H23:I23" si="34">(H19/H6)*100</f>
        <v>6.559399624765498</v>
      </c>
      <c r="I23" s="3">
        <f t="shared" si="34"/>
        <v>7.0710059171597894</v>
      </c>
      <c r="J23" s="3">
        <f t="shared" ref="J23:K23" si="35">(J19/J6)*100</f>
        <v>6.285248332097872</v>
      </c>
      <c r="K23" s="3">
        <f t="shared" si="35"/>
        <v>6.5458563535911729</v>
      </c>
      <c r="L23" s="3">
        <f t="shared" ref="L23" si="36">(L19/L6)*100</f>
        <v>6.0240963855421548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32">
        <v>6.9081304168386382</v>
      </c>
    </row>
    <row r="24" spans="1:34" ht="30" customHeight="1" x14ac:dyDescent="0.25">
      <c r="A24" s="15" t="s">
        <v>19</v>
      </c>
      <c r="B24" s="16" t="s">
        <v>13</v>
      </c>
      <c r="C24" s="3">
        <f>C22/C7*100</f>
        <v>6.8799362308641987</v>
      </c>
      <c r="D24" s="3">
        <f t="shared" ref="D24:E24" si="37">D22/D7*100</f>
        <v>6.8797226238050566</v>
      </c>
      <c r="E24" s="3">
        <f t="shared" si="37"/>
        <v>6.8406895724032992</v>
      </c>
      <c r="F24" s="3">
        <f t="shared" ref="F24:G24" si="38">F22/F7*100</f>
        <v>6.8374327405791728</v>
      </c>
      <c r="G24" s="3">
        <f t="shared" si="38"/>
        <v>6.8456557994693172</v>
      </c>
      <c r="H24" s="3">
        <f t="shared" ref="H24:I24" si="39">H22/H7*100</f>
        <v>6.845083616481153</v>
      </c>
      <c r="I24" s="3">
        <f t="shared" si="39"/>
        <v>6.8460630496331873</v>
      </c>
      <c r="J24" s="3">
        <f t="shared" ref="J24:K24" si="40">J22/J7*100</f>
        <v>6.8346449882678559</v>
      </c>
      <c r="K24" s="3">
        <f t="shared" si="40"/>
        <v>6.8208079922703027</v>
      </c>
      <c r="L24" s="3">
        <f t="shared" ref="L24" si="41">L22/L7*100</f>
        <v>6.814716934029466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32">
        <v>6.8186200588983237</v>
      </c>
    </row>
    <row r="25" spans="1:34" ht="30" customHeight="1" x14ac:dyDescent="0.25">
      <c r="A25" s="15" t="s">
        <v>20</v>
      </c>
      <c r="B25" s="16" t="s">
        <v>13</v>
      </c>
      <c r="C25" s="3">
        <f t="shared" ref="C25:H25" si="42">(C22+5.73045+5.734286421875+5.6401145625+5.65359925+5.465195+5.2392612265625+5.4634)/C8*100</f>
        <v>6.9808412557376451</v>
      </c>
      <c r="D25" s="3">
        <f t="shared" si="42"/>
        <v>6.9803720055187508</v>
      </c>
      <c r="E25" s="3">
        <f t="shared" si="42"/>
        <v>6.9793460692729887</v>
      </c>
      <c r="F25" s="3">
        <f t="shared" si="42"/>
        <v>6.9786369250829674</v>
      </c>
      <c r="G25" s="3">
        <f t="shared" si="42"/>
        <v>6.9781782274668043</v>
      </c>
      <c r="H25" s="3">
        <f t="shared" si="42"/>
        <v>6.977545561362068</v>
      </c>
      <c r="I25" s="3">
        <f t="shared" ref="I25:J25" si="43">(I22+5.73045+5.734286421875+5.6401145625+5.65359925+5.465195+5.2392612265625+5.4634)/I8*100</f>
        <v>6.9769525863875996</v>
      </c>
      <c r="J25" s="3">
        <f t="shared" si="43"/>
        <v>6.975921734549309</v>
      </c>
      <c r="K25" s="3">
        <f t="shared" ref="K25:L25" si="44">(K22+5.73045+5.734286421875+5.6401145625+5.65359925+5.465195+5.2392612265625+5.4634)/K8*100</f>
        <v>6.974690361502665</v>
      </c>
      <c r="L25" s="3">
        <f t="shared" si="44"/>
        <v>6.9736886142226808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32">
        <v>6.981306378481503</v>
      </c>
    </row>
    <row r="26" spans="1:34" ht="31.5" customHeight="1" x14ac:dyDescent="0.25">
      <c r="A26" s="292" t="s">
        <v>196</v>
      </c>
      <c r="B26" s="293"/>
      <c r="C26" s="294" t="s">
        <v>217</v>
      </c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5"/>
      <c r="AD26" s="295"/>
      <c r="AE26" s="295"/>
      <c r="AF26" s="295"/>
      <c r="AG26" s="295"/>
    </row>
    <row r="27" spans="1:34" ht="31.5" customHeight="1" x14ac:dyDescent="0.25">
      <c r="A27" s="15" t="s">
        <v>6</v>
      </c>
      <c r="B27" s="16" t="s">
        <v>13</v>
      </c>
      <c r="C27" s="3">
        <f t="shared" ref="C27:D27" si="45">MIN(C31,C35)</f>
        <v>96.8359375</v>
      </c>
      <c r="D27" s="3">
        <f t="shared" si="45"/>
        <v>96.2578125</v>
      </c>
      <c r="E27" s="3">
        <f t="shared" ref="E27:F27" si="46">MIN(E31,E35)</f>
        <v>98.4375</v>
      </c>
      <c r="F27" s="3">
        <f t="shared" si="46"/>
        <v>100</v>
      </c>
      <c r="G27" s="3">
        <f t="shared" ref="G27:H27" si="47">MIN(G31,G35)</f>
        <v>100</v>
      </c>
      <c r="H27" s="3">
        <f t="shared" si="47"/>
        <v>100</v>
      </c>
      <c r="I27" s="3">
        <f t="shared" ref="I27:J27" si="48">MIN(I31,I35)</f>
        <v>100</v>
      </c>
      <c r="J27" s="3">
        <f t="shared" si="48"/>
        <v>100</v>
      </c>
      <c r="K27" s="3">
        <f t="shared" ref="K27:L27" si="49">MIN(K31,K35)</f>
        <v>100</v>
      </c>
      <c r="L27" s="3">
        <f t="shared" si="49"/>
        <v>100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8">
        <v>93.375</v>
      </c>
    </row>
    <row r="28" spans="1:34" ht="31.5" customHeight="1" x14ac:dyDescent="0.25">
      <c r="A28" s="15" t="s">
        <v>7</v>
      </c>
      <c r="B28" s="16" t="s">
        <v>13</v>
      </c>
      <c r="C28" s="3">
        <f>C27</f>
        <v>96.8359375</v>
      </c>
      <c r="D28" s="3">
        <f>AVERAGE($C27:D27)</f>
        <v>96.546875</v>
      </c>
      <c r="E28" s="3">
        <f>AVERAGE($C27:E27)</f>
        <v>97.177083333333329</v>
      </c>
      <c r="F28" s="3">
        <f>AVERAGE($C27:F27)</f>
        <v>97.8828125</v>
      </c>
      <c r="G28" s="3">
        <f>AVERAGE($C27:G27)</f>
        <v>98.306250000000006</v>
      </c>
      <c r="H28" s="3">
        <f>AVERAGE($C27:H27)</f>
        <v>98.588541666666671</v>
      </c>
      <c r="I28" s="3">
        <f>AVERAGE($C27:I27)</f>
        <v>98.790178571428569</v>
      </c>
      <c r="J28" s="3">
        <f>AVERAGE($C27:J27)</f>
        <v>98.94140625</v>
      </c>
      <c r="K28" s="3">
        <f>AVERAGE($C27:K27)</f>
        <v>99.059027777777771</v>
      </c>
      <c r="L28" s="3">
        <f>AVERAGE($C27:L27)</f>
        <v>99.153125000000003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8">
        <v>99.769629259072588</v>
      </c>
    </row>
    <row r="29" spans="1:34" ht="31.5" customHeight="1" x14ac:dyDescent="0.25">
      <c r="A29" s="15" t="s">
        <v>8</v>
      </c>
      <c r="B29" s="16" t="s">
        <v>13</v>
      </c>
      <c r="C29" s="3">
        <f t="shared" ref="C29:H29" si="50">((99.9946*30+98.4624495967742*31+98.8533594322344*30+96.691588*31+96.2691532258065*31+98.17428*30+99.769629*31+C2*C28))/(C2+30+31+30+31+31+30+31)</f>
        <v>98.299909464962951</v>
      </c>
      <c r="D29" s="3">
        <f t="shared" si="50"/>
        <v>98.29045531234739</v>
      </c>
      <c r="E29" s="3">
        <f t="shared" si="50"/>
        <v>98.291132937636107</v>
      </c>
      <c r="F29" s="3">
        <f t="shared" si="50"/>
        <v>98.298971777371719</v>
      </c>
      <c r="G29" s="3">
        <f t="shared" si="50"/>
        <v>98.306739029529837</v>
      </c>
      <c r="H29" s="3">
        <f t="shared" si="50"/>
        <v>98.314435670304704</v>
      </c>
      <c r="I29" s="3">
        <f t="shared" ref="I29:J29" si="51">((99.9946*30+98.4624495967742*31+98.8533594322344*30+96.691588*31+96.2691532258065*31+98.17428*30+99.769629*31+I2*I28))/(I2+30+31+30+31+31+30+31)</f>
        <v>98.322062658221881</v>
      </c>
      <c r="J29" s="3">
        <f t="shared" si="51"/>
        <v>98.329620934536194</v>
      </c>
      <c r="K29" s="3">
        <f t="shared" ref="K29:L29" si="52">((99.9946*30+98.4624495967742*31+98.8533594322344*30+96.691588*31+96.2691532258065*31+98.17428*30+99.769629*31+K2*K28))/(K2+30+31+30+31+31+30+31)</f>
        <v>98.337111423618992</v>
      </c>
      <c r="L29" s="3">
        <f t="shared" si="52"/>
        <v>98.344535033334978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8">
        <v>98.306750492982644</v>
      </c>
    </row>
    <row r="30" spans="1:34" ht="31.5" customHeight="1" x14ac:dyDescent="0.25">
      <c r="A30" s="292" t="s">
        <v>195</v>
      </c>
      <c r="B30" s="293"/>
      <c r="C30" s="294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5"/>
      <c r="AD30" s="295"/>
      <c r="AE30" s="295"/>
      <c r="AF30" s="295"/>
      <c r="AG30" s="295"/>
    </row>
    <row r="31" spans="1:34" ht="30" customHeight="1" x14ac:dyDescent="0.25">
      <c r="A31" s="15" t="s">
        <v>6</v>
      </c>
      <c r="B31" s="16" t="s">
        <v>13</v>
      </c>
      <c r="C31" s="3">
        <f>(((42*UNITS!C17)+(42*UNITS!C44)+(28*UNITS!C71))*100)/(24*112)</f>
        <v>100</v>
      </c>
      <c r="D31" s="3">
        <f>(((42*UNITS!D17)+(42*UNITS!D44)+(28*UNITS!D71))*100)/(24*112)</f>
        <v>100</v>
      </c>
      <c r="E31" s="3">
        <f>(((42*UNITS!E17)+(42*UNITS!E44)+(28*UNITS!E71))*100)/(24*112)</f>
        <v>100</v>
      </c>
      <c r="F31" s="3">
        <f>(((42*UNITS!F17)+(42*UNITS!F44)+(28*UNITS!F71))*100)/(24*112)</f>
        <v>100</v>
      </c>
      <c r="G31" s="3">
        <f>(((42*UNITS!G17)+(42*UNITS!G44)+(28*UNITS!G71))*100)/(24*112)</f>
        <v>100</v>
      </c>
      <c r="H31" s="3">
        <f>(((42*UNITS!H17)+(42*UNITS!H44)+(28*UNITS!H71))*100)/(24*112)</f>
        <v>100</v>
      </c>
      <c r="I31" s="3">
        <f>(((42*UNITS!I17)+(42*UNITS!I44)+(28*UNITS!I71))*100)/(24*112)</f>
        <v>100</v>
      </c>
      <c r="J31" s="3">
        <f>(((42*UNITS!J17)+(42*UNITS!J44)+(28*UNITS!J71))*100)/(24*112)</f>
        <v>100</v>
      </c>
      <c r="K31" s="3">
        <f>(((42*UNITS!K17)+(42*UNITS!K44)+(28*UNITS!K71))*100)/(24*112)</f>
        <v>100</v>
      </c>
      <c r="L31" s="3">
        <f>(((42*UNITS!L17)+(42*UNITS!L44)+(28*UNITS!L71))*100)/(24*112)</f>
        <v>100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5">
        <v>100</v>
      </c>
    </row>
    <row r="32" spans="1:34" ht="30" customHeight="1" x14ac:dyDescent="0.25">
      <c r="A32" s="15" t="s">
        <v>7</v>
      </c>
      <c r="B32" s="16" t="s">
        <v>13</v>
      </c>
      <c r="C32" s="3">
        <f>C31</f>
        <v>100</v>
      </c>
      <c r="D32" s="3">
        <f>AVERAGE($C31:D31)</f>
        <v>100</v>
      </c>
      <c r="E32" s="3">
        <f>AVERAGE($C31:E31)</f>
        <v>100</v>
      </c>
      <c r="F32" s="3">
        <f>AVERAGE($C31:F31)</f>
        <v>100</v>
      </c>
      <c r="G32" s="3">
        <f>AVERAGE($C31:G31)</f>
        <v>100</v>
      </c>
      <c r="H32" s="3">
        <f>AVERAGE($C31:H31)</f>
        <v>100</v>
      </c>
      <c r="I32" s="3">
        <f>AVERAGE($C31:I31)</f>
        <v>100</v>
      </c>
      <c r="J32" s="3">
        <f>AVERAGE($C31:J31)</f>
        <v>100</v>
      </c>
      <c r="K32" s="3">
        <f>AVERAGE($C31:K31)</f>
        <v>100</v>
      </c>
      <c r="L32" s="3">
        <f>AVERAGE($C31:L31)</f>
        <v>100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5">
        <v>100</v>
      </c>
    </row>
    <row r="33" spans="1:36" ht="30" customHeight="1" x14ac:dyDescent="0.25">
      <c r="A33" s="15" t="s">
        <v>8</v>
      </c>
      <c r="B33" s="16" t="s">
        <v>13</v>
      </c>
      <c r="C33" s="3">
        <f>((100*30+98.4771337365591*31+99.4812213827839*30+100*31+99.4518564530513*31+100*30+100*31+C2*C32))/(C2+30+31+30+31+31+30+31)</f>
        <v>99.629001569122977</v>
      </c>
      <c r="D33" s="3">
        <f t="shared" ref="D33:E33" si="53">((100*30+98.4771337365591*31+99.4812213827839*30+100*31+99.4518564530513*31+100*30+100*31+D2*D32))/(D2+30+31+30+31+31+30+31)</f>
        <v>99.6307191544511</v>
      </c>
      <c r="E33" s="3">
        <f t="shared" si="53"/>
        <v>99.632420909499714</v>
      </c>
      <c r="F33" s="3">
        <f t="shared" ref="F33:G33" si="54">((100*30+98.4771337365591*31+99.4812213827839*30+100*31+99.4518564530513*31+100*30+100*31+F2*F32))/(F2+30+31+30+31+31+30+31)</f>
        <v>99.63410705211669</v>
      </c>
      <c r="G33" s="3">
        <f t="shared" si="54"/>
        <v>99.635777796170956</v>
      </c>
      <c r="H33" s="3">
        <f t="shared" ref="H33:I33" si="55">((100*30+98.4771337365591*31+99.4812213827839*30+100*31+99.4518564530513*31+100*30+100*31+H2*H32))/(H2+30+31+30+31+31+30+31)</f>
        <v>99.637433351642898</v>
      </c>
      <c r="I33" s="3">
        <f t="shared" si="55"/>
        <v>99.639073924712392</v>
      </c>
      <c r="J33" s="3">
        <f t="shared" ref="J33:K33" si="56">((100*30+98.4771337365591*31+99.4812213827839*30+100*31+99.4518564530513*31+100*30+100*31+J2*J32))/(J2+30+31+30+31+31+30+31)</f>
        <v>99.640699717844313</v>
      </c>
      <c r="K33" s="3">
        <f t="shared" si="56"/>
        <v>99.642310929871925</v>
      </c>
      <c r="L33" s="3">
        <f t="shared" ref="L33" si="57">((100*30+98.4771337365591*31+99.4812213827839*30+100*31+99.4518564530513*31+100*30+100*31+L2*L32))/(L2+30+31+30+31+31+30+31)</f>
        <v>99.643907756077851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45">
        <v>99.627267931595512</v>
      </c>
      <c r="AI33" s="45"/>
    </row>
    <row r="34" spans="1:36" ht="30" customHeight="1" x14ac:dyDescent="0.25">
      <c r="A34" s="292" t="s">
        <v>21</v>
      </c>
      <c r="B34" s="293"/>
      <c r="C34" s="294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  <c r="Z34" s="295"/>
      <c r="AA34" s="295"/>
      <c r="AB34" s="295"/>
      <c r="AC34" s="295"/>
      <c r="AD34" s="295"/>
      <c r="AE34" s="295"/>
      <c r="AF34" s="295"/>
      <c r="AG34" s="295"/>
      <c r="AH34" s="64" t="s">
        <v>194</v>
      </c>
    </row>
    <row r="35" spans="1:36" ht="30" customHeight="1" x14ac:dyDescent="0.25">
      <c r="A35" s="15" t="s">
        <v>21</v>
      </c>
      <c r="B35" s="16" t="s">
        <v>13</v>
      </c>
      <c r="C35" s="3">
        <f>((BOILERS!D68*24)+(BOILERS!D69*BOILERS!D70))/(16*24)*100</f>
        <v>96.8359375</v>
      </c>
      <c r="D35" s="3">
        <f>BOILERS!E71/16*100</f>
        <v>96.2578125</v>
      </c>
      <c r="E35" s="3">
        <f>BOILERS!F71/16*100</f>
        <v>98.4375</v>
      </c>
      <c r="F35" s="3">
        <f>BOILERS!G71/16*100</f>
        <v>100</v>
      </c>
      <c r="G35" s="3">
        <f>BOILERS!H71/16*100</f>
        <v>100</v>
      </c>
      <c r="H35" s="3">
        <f>BOILERS!I71/16*100</f>
        <v>100</v>
      </c>
      <c r="I35" s="3">
        <f>BOILERS!J71/16*100</f>
        <v>100</v>
      </c>
      <c r="J35" s="3">
        <f>BOILERS!K71/16*100</f>
        <v>100</v>
      </c>
      <c r="K35" s="3">
        <f>BOILERS!L71/16*100</f>
        <v>100</v>
      </c>
      <c r="L35" s="3">
        <f>BOILERS!M71/16*100</f>
        <v>100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8">
        <v>93.375</v>
      </c>
    </row>
    <row r="36" spans="1:36" ht="30" customHeight="1" x14ac:dyDescent="0.25">
      <c r="A36" s="15" t="s">
        <v>22</v>
      </c>
      <c r="B36" s="16" t="s">
        <v>13</v>
      </c>
      <c r="C36" s="3">
        <f>C35</f>
        <v>96.8359375</v>
      </c>
      <c r="D36" s="3">
        <f>AVERAGE($C35:D35)</f>
        <v>96.546875</v>
      </c>
      <c r="E36" s="3">
        <f>AVERAGE($C35:E35)</f>
        <v>97.177083333333329</v>
      </c>
      <c r="F36" s="3">
        <f>AVERAGE($C35:F35)</f>
        <v>97.8828125</v>
      </c>
      <c r="G36" s="3">
        <f>AVERAGE($C35:G35)</f>
        <v>98.306250000000006</v>
      </c>
      <c r="H36" s="3">
        <f>AVERAGE($C35:H35)</f>
        <v>98.588541666666671</v>
      </c>
      <c r="I36" s="3">
        <f>AVERAGE($C35:I35)</f>
        <v>98.790178571428569</v>
      </c>
      <c r="J36" s="3">
        <f>AVERAGE($C35:J35)</f>
        <v>98.94140625</v>
      </c>
      <c r="K36" s="3">
        <f>AVERAGE($C35:K35)</f>
        <v>99.059027777777771</v>
      </c>
      <c r="L36" s="3">
        <f>AVERAGE($C35:L35)</f>
        <v>99.153125000000003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8">
        <v>99.769629259072588</v>
      </c>
    </row>
    <row r="37" spans="1:36" ht="30" customHeight="1" x14ac:dyDescent="0.25">
      <c r="A37" s="35" t="s">
        <v>23</v>
      </c>
      <c r="B37" s="16" t="s">
        <v>13</v>
      </c>
      <c r="C37" s="3">
        <f t="shared" ref="C37:H37" si="58">(99.995*30+98.5334341397849*31+98.8776728479854*30+96.6915882616487*31+98.1239082563225*31+98.17428*30+99.76962*31+C2*C36)/(C2+30+31+30+31+31+30+31)</f>
        <v>98.581021364325579</v>
      </c>
      <c r="D37" s="3">
        <f t="shared" si="58"/>
        <v>98.570265767731485</v>
      </c>
      <c r="E37" s="3">
        <f t="shared" si="58"/>
        <v>98.569653943917046</v>
      </c>
      <c r="F37" s="3">
        <f t="shared" si="58"/>
        <v>98.576215164357791</v>
      </c>
      <c r="G37" s="3">
        <f t="shared" si="58"/>
        <v>98.582716464977167</v>
      </c>
      <c r="H37" s="3">
        <f t="shared" si="58"/>
        <v>98.589158662863639</v>
      </c>
      <c r="I37" s="3">
        <f t="shared" ref="I37:J37" si="59">(99.995*30+98.5334341397849*31+98.8776728479854*30+96.6915882616487*31+98.1239082563225*31+98.17428*30+99.76962*31+I2*I36)/(I2+30+31+30+31+31+30+31)</f>
        <v>98.595542560316744</v>
      </c>
      <c r="J37" s="3">
        <f t="shared" si="59"/>
        <v>98.601868945180186</v>
      </c>
      <c r="K37" s="3">
        <f t="shared" ref="K37:L37" si="60">(99.995*30+98.5334341397849*31+98.8776728479854*30+96.6915882616487*31+98.1239082563225*31+98.17428*30+99.76962*31+K2*K36)/(K2+30+31+30+31+31+30+31)</f>
        <v>98.608138591165911</v>
      </c>
      <c r="L37" s="3">
        <f t="shared" si="60"/>
        <v>98.614352258169646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55">
        <v>98.589177303089969</v>
      </c>
    </row>
    <row r="38" spans="1:36" ht="30" customHeight="1" x14ac:dyDescent="0.25">
      <c r="A38" s="36" t="s">
        <v>24</v>
      </c>
      <c r="B38" s="16" t="s">
        <v>25</v>
      </c>
      <c r="C38" s="134">
        <v>972</v>
      </c>
      <c r="D38" s="134">
        <v>987</v>
      </c>
      <c r="E38" s="134">
        <v>993</v>
      </c>
      <c r="F38" s="134">
        <v>994</v>
      </c>
      <c r="G38" s="134">
        <v>980</v>
      </c>
      <c r="H38" s="134">
        <v>983</v>
      </c>
      <c r="I38" s="134">
        <v>985</v>
      </c>
      <c r="J38" s="134">
        <v>997</v>
      </c>
      <c r="K38" s="134">
        <v>1001</v>
      </c>
      <c r="L38" s="134">
        <v>997</v>
      </c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28">
        <v>960</v>
      </c>
    </row>
    <row r="39" spans="1:36" ht="35.25" customHeight="1" x14ac:dyDescent="0.25">
      <c r="A39" s="292" t="s">
        <v>26</v>
      </c>
      <c r="B39" s="293"/>
      <c r="C39" s="294" t="s">
        <v>218</v>
      </c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</row>
    <row r="40" spans="1:36" ht="27.75" customHeight="1" x14ac:dyDescent="0.25">
      <c r="A40" s="15" t="s">
        <v>6</v>
      </c>
      <c r="B40" s="16" t="s">
        <v>5</v>
      </c>
      <c r="C40" s="6">
        <v>2.2916099999999999</v>
      </c>
      <c r="D40" s="6">
        <v>2.3137099999999999</v>
      </c>
      <c r="E40" s="6">
        <v>2.4153199999999999</v>
      </c>
      <c r="F40" s="6">
        <v>2.3856099999999998</v>
      </c>
      <c r="G40" s="6">
        <v>2.3411400000000002</v>
      </c>
      <c r="H40" s="6">
        <v>2.3842300000000001</v>
      </c>
      <c r="I40" s="6">
        <v>2.4294600000000002</v>
      </c>
      <c r="J40" s="6">
        <v>2.4246300000000001</v>
      </c>
      <c r="K40" s="6">
        <v>2.4357199999999999</v>
      </c>
      <c r="L40" s="6">
        <v>2.4671799999999999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28">
        <v>2.1629399999999999</v>
      </c>
    </row>
    <row r="41" spans="1:36" ht="27.75" customHeight="1" x14ac:dyDescent="0.25">
      <c r="A41" s="15" t="s">
        <v>7</v>
      </c>
      <c r="B41" s="16" t="s">
        <v>5</v>
      </c>
      <c r="C41" s="6">
        <f>C40</f>
        <v>2.2916099999999999</v>
      </c>
      <c r="D41" s="6">
        <f t="shared" ref="D41:L41" si="61">C41+D40</f>
        <v>4.6053199999999999</v>
      </c>
      <c r="E41" s="6">
        <f t="shared" si="61"/>
        <v>7.0206400000000002</v>
      </c>
      <c r="F41" s="6">
        <f t="shared" si="61"/>
        <v>9.40625</v>
      </c>
      <c r="G41" s="6">
        <f t="shared" si="61"/>
        <v>11.747389999999999</v>
      </c>
      <c r="H41" s="6">
        <f t="shared" si="61"/>
        <v>14.13162</v>
      </c>
      <c r="I41" s="6">
        <f t="shared" si="61"/>
        <v>16.56108</v>
      </c>
      <c r="J41" s="6">
        <f t="shared" si="61"/>
        <v>18.985710000000001</v>
      </c>
      <c r="K41" s="6">
        <f t="shared" si="61"/>
        <v>21.421430000000001</v>
      </c>
      <c r="L41" s="6">
        <f t="shared" si="61"/>
        <v>23.88861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55">
        <v>71.96435000000001</v>
      </c>
      <c r="AI41" s="55"/>
      <c r="AJ41" s="55"/>
    </row>
    <row r="42" spans="1:36" ht="27.75" customHeight="1" x14ac:dyDescent="0.25">
      <c r="A42" s="15" t="s">
        <v>27</v>
      </c>
      <c r="B42" s="16" t="s">
        <v>5</v>
      </c>
      <c r="C42" s="171">
        <f t="shared" ref="C42:H42" si="62">504.95035+C41</f>
        <v>507.24196000000001</v>
      </c>
      <c r="D42" s="171">
        <f t="shared" si="62"/>
        <v>509.55567000000002</v>
      </c>
      <c r="E42" s="171">
        <f t="shared" si="62"/>
        <v>511.97099000000003</v>
      </c>
      <c r="F42" s="171">
        <f t="shared" si="62"/>
        <v>514.35660000000007</v>
      </c>
      <c r="G42" s="171">
        <f t="shared" si="62"/>
        <v>516.69774000000007</v>
      </c>
      <c r="H42" s="171">
        <f t="shared" si="62"/>
        <v>519.08197000000007</v>
      </c>
      <c r="I42" s="171">
        <f t="shared" ref="I42:J42" si="63">504.95035+I41</f>
        <v>521.51143000000002</v>
      </c>
      <c r="J42" s="171">
        <f t="shared" si="63"/>
        <v>523.93606</v>
      </c>
      <c r="K42" s="171">
        <f t="shared" ref="K42:L42" si="64">504.95035+K41</f>
        <v>526.37178000000006</v>
      </c>
      <c r="L42" s="171">
        <f t="shared" si="64"/>
        <v>528.83896000000004</v>
      </c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28">
        <v>504.95035000000001</v>
      </c>
    </row>
    <row r="43" spans="1:36" ht="27.75" customHeight="1" x14ac:dyDescent="0.25">
      <c r="A43" s="19" t="s">
        <v>28</v>
      </c>
      <c r="B43" s="14" t="s">
        <v>5</v>
      </c>
      <c r="C43" s="20">
        <f>C40</f>
        <v>2.2916099999999999</v>
      </c>
      <c r="D43" s="20">
        <f t="shared" ref="D43:E43" si="65">D40</f>
        <v>2.3137099999999999</v>
      </c>
      <c r="E43" s="20">
        <f t="shared" si="65"/>
        <v>2.4153199999999999</v>
      </c>
      <c r="F43" s="20">
        <f t="shared" ref="F43:G43" si="66">F40</f>
        <v>2.3856099999999998</v>
      </c>
      <c r="G43" s="20">
        <f t="shared" si="66"/>
        <v>2.3411400000000002</v>
      </c>
      <c r="H43" s="20">
        <f t="shared" ref="H43" si="67">H40</f>
        <v>2.3842300000000001</v>
      </c>
      <c r="I43" s="20">
        <f t="shared" ref="I43:J43" si="68">I40</f>
        <v>2.4294600000000002</v>
      </c>
      <c r="J43" s="20">
        <f t="shared" si="68"/>
        <v>2.4246300000000001</v>
      </c>
      <c r="K43" s="20">
        <f t="shared" ref="K43:L43" si="69">K40</f>
        <v>2.4357199999999999</v>
      </c>
      <c r="L43" s="20">
        <f t="shared" si="69"/>
        <v>2.4671799999999999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8">
        <v>2.1629399999999999</v>
      </c>
    </row>
    <row r="44" spans="1:36" ht="27.75" customHeight="1" x14ac:dyDescent="0.25">
      <c r="A44" s="19" t="s">
        <v>29</v>
      </c>
      <c r="B44" s="14" t="s">
        <v>5</v>
      </c>
      <c r="C44" s="161">
        <f>C42</f>
        <v>507.24196000000001</v>
      </c>
      <c r="D44" s="161">
        <f t="shared" ref="D44:L44" si="70">C44+D43</f>
        <v>509.55567000000002</v>
      </c>
      <c r="E44" s="161">
        <f t="shared" si="70"/>
        <v>511.97099000000003</v>
      </c>
      <c r="F44" s="161">
        <f t="shared" si="70"/>
        <v>514.35660000000007</v>
      </c>
      <c r="G44" s="161">
        <f t="shared" si="70"/>
        <v>516.69774000000007</v>
      </c>
      <c r="H44" s="161">
        <f t="shared" si="70"/>
        <v>519.08197000000007</v>
      </c>
      <c r="I44" s="161">
        <f t="shared" si="70"/>
        <v>521.51143000000002</v>
      </c>
      <c r="J44" s="161">
        <f t="shared" si="70"/>
        <v>523.93606</v>
      </c>
      <c r="K44" s="161">
        <f t="shared" si="70"/>
        <v>526.37177999999994</v>
      </c>
      <c r="L44" s="161">
        <f t="shared" si="70"/>
        <v>528.83895999999993</v>
      </c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28">
        <v>504.95034999999984</v>
      </c>
    </row>
    <row r="45" spans="1:36" ht="27.75" customHeight="1" x14ac:dyDescent="0.25">
      <c r="A45" s="19" t="s">
        <v>30</v>
      </c>
      <c r="B45" s="14" t="s">
        <v>5</v>
      </c>
      <c r="C45" s="20">
        <v>0.10089400000000026</v>
      </c>
      <c r="D45" s="20">
        <v>0.11309000000000013</v>
      </c>
      <c r="E45" s="20">
        <v>0.10850400000000038</v>
      </c>
      <c r="F45" s="20">
        <v>9.0918000000000276E-2</v>
      </c>
      <c r="G45" s="20">
        <v>9.9059999999999704E-2</v>
      </c>
      <c r="H45" s="20">
        <v>0.10226600000000019</v>
      </c>
      <c r="I45" s="20">
        <v>0.10062799999999994</v>
      </c>
      <c r="J45" s="20">
        <v>9.7513999999999879E-2</v>
      </c>
      <c r="K45" s="20">
        <v>0.102576</v>
      </c>
      <c r="L45" s="20">
        <v>9.3243999999999883E-2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8">
        <v>0.1032280000000001</v>
      </c>
    </row>
    <row r="46" spans="1:36" ht="27.75" customHeight="1" x14ac:dyDescent="0.25">
      <c r="A46" s="19" t="s">
        <v>31</v>
      </c>
      <c r="B46" s="14" t="s">
        <v>5</v>
      </c>
      <c r="C46" s="20">
        <f>C45</f>
        <v>0.10089400000000026</v>
      </c>
      <c r="D46" s="20">
        <f t="shared" ref="D46:L46" si="71">C46+D45</f>
        <v>0.2139840000000004</v>
      </c>
      <c r="E46" s="20">
        <f t="shared" si="71"/>
        <v>0.32248800000000077</v>
      </c>
      <c r="F46" s="20">
        <f t="shared" si="71"/>
        <v>0.41340600000000105</v>
      </c>
      <c r="G46" s="20">
        <f t="shared" si="71"/>
        <v>0.51246600000000075</v>
      </c>
      <c r="H46" s="20">
        <f t="shared" si="71"/>
        <v>0.61473200000000094</v>
      </c>
      <c r="I46" s="20">
        <f t="shared" si="71"/>
        <v>0.71536000000000088</v>
      </c>
      <c r="J46" s="20">
        <f t="shared" si="71"/>
        <v>0.81287400000000076</v>
      </c>
      <c r="K46" s="20">
        <f t="shared" si="71"/>
        <v>0.91545000000000076</v>
      </c>
      <c r="L46" s="20">
        <f t="shared" si="71"/>
        <v>1.0086940000000006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55">
        <v>2.6973799999999999</v>
      </c>
      <c r="AI46" s="55"/>
      <c r="AJ46" s="55"/>
    </row>
    <row r="47" spans="1:36" ht="27.75" customHeight="1" x14ac:dyDescent="0.25">
      <c r="A47" s="19" t="s">
        <v>32</v>
      </c>
      <c r="B47" s="14" t="s">
        <v>5</v>
      </c>
      <c r="C47" s="162">
        <f t="shared" ref="C47:H47" si="72">13.982+C46</f>
        <v>14.082894</v>
      </c>
      <c r="D47" s="162">
        <f t="shared" si="72"/>
        <v>14.195983999999999</v>
      </c>
      <c r="E47" s="162">
        <f t="shared" si="72"/>
        <v>14.304487999999999</v>
      </c>
      <c r="F47" s="162">
        <f t="shared" si="72"/>
        <v>14.395406000000001</v>
      </c>
      <c r="G47" s="162">
        <f t="shared" si="72"/>
        <v>14.494465999999999</v>
      </c>
      <c r="H47" s="162">
        <f t="shared" si="72"/>
        <v>14.596731999999999</v>
      </c>
      <c r="I47" s="162">
        <f t="shared" ref="I47:J47" si="73">13.982+I46</f>
        <v>14.69736</v>
      </c>
      <c r="J47" s="162">
        <f t="shared" si="73"/>
        <v>14.794874</v>
      </c>
      <c r="K47" s="162">
        <f t="shared" ref="K47:L47" si="74">13.982+K46</f>
        <v>14.897449999999999</v>
      </c>
      <c r="L47" s="162">
        <f t="shared" si="74"/>
        <v>14.990694</v>
      </c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55">
        <v>13.981680000000001</v>
      </c>
      <c r="AI47" s="55"/>
      <c r="AJ47" s="55"/>
    </row>
    <row r="48" spans="1:36" ht="27.75" customHeight="1" x14ac:dyDescent="0.25">
      <c r="A48" s="19" t="s">
        <v>33</v>
      </c>
      <c r="B48" s="14" t="s">
        <v>34</v>
      </c>
      <c r="C48" s="59">
        <v>291140.46999999997</v>
      </c>
      <c r="D48" s="59">
        <v>298870.2</v>
      </c>
      <c r="E48" s="59">
        <v>374720</v>
      </c>
      <c r="F48" s="59">
        <v>321901.93</v>
      </c>
      <c r="G48" s="59">
        <v>383149</v>
      </c>
      <c r="H48" s="59">
        <v>388035</v>
      </c>
      <c r="I48" s="59">
        <v>371588</v>
      </c>
      <c r="J48" s="59">
        <v>374324.5</v>
      </c>
      <c r="K48" s="59">
        <v>403283.89479709096</v>
      </c>
      <c r="L48" s="59">
        <v>346374.31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28">
        <v>238854.88</v>
      </c>
    </row>
    <row r="49" spans="1:34" ht="27.75" customHeight="1" x14ac:dyDescent="0.25">
      <c r="A49" s="19" t="s">
        <v>33</v>
      </c>
      <c r="B49" s="14" t="s">
        <v>35</v>
      </c>
      <c r="C49" s="176">
        <f>C48/10^5</f>
        <v>2.9114046999999998</v>
      </c>
      <c r="D49" s="176">
        <f t="shared" ref="D49:E49" si="75">D48/10^5</f>
        <v>2.988702</v>
      </c>
      <c r="E49" s="176">
        <f t="shared" si="75"/>
        <v>3.7471999999999999</v>
      </c>
      <c r="F49" s="176">
        <f t="shared" ref="F49:G49" si="76">F48/10^5</f>
        <v>3.2190192999999998</v>
      </c>
      <c r="G49" s="176">
        <f t="shared" si="76"/>
        <v>3.8314900000000001</v>
      </c>
      <c r="H49" s="176">
        <f t="shared" ref="H49:I49" si="77">H48/10^5</f>
        <v>3.88035</v>
      </c>
      <c r="I49" s="176">
        <f t="shared" si="77"/>
        <v>3.7158799999999998</v>
      </c>
      <c r="J49" s="176">
        <f t="shared" ref="J49:K49" si="78">J48/10^5</f>
        <v>3.7432449999999999</v>
      </c>
      <c r="K49" s="176">
        <f t="shared" si="78"/>
        <v>4.0328389479709097</v>
      </c>
      <c r="L49" s="176">
        <f t="shared" ref="L49" si="79">L48/10^5</f>
        <v>3.4637430999999999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28">
        <v>2.3885488000000001</v>
      </c>
    </row>
    <row r="50" spans="1:34" ht="27.75" customHeight="1" x14ac:dyDescent="0.25">
      <c r="A50" s="177" t="s">
        <v>36</v>
      </c>
      <c r="B50" s="14" t="s">
        <v>35</v>
      </c>
      <c r="C50" s="176">
        <f>C49</f>
        <v>2.9114046999999998</v>
      </c>
      <c r="D50" s="176">
        <f t="shared" ref="D50:L50" si="80">D49+C50</f>
        <v>5.9001067000000003</v>
      </c>
      <c r="E50" s="176">
        <f t="shared" si="80"/>
        <v>9.6473066999999997</v>
      </c>
      <c r="F50" s="176">
        <f t="shared" si="80"/>
        <v>12.866325999999999</v>
      </c>
      <c r="G50" s="176">
        <f t="shared" si="80"/>
        <v>16.697816</v>
      </c>
      <c r="H50" s="176">
        <f t="shared" si="80"/>
        <v>20.578166</v>
      </c>
      <c r="I50" s="176">
        <f t="shared" si="80"/>
        <v>24.294045999999998</v>
      </c>
      <c r="J50" s="176">
        <f t="shared" si="80"/>
        <v>28.037290999999996</v>
      </c>
      <c r="K50" s="176">
        <f t="shared" si="80"/>
        <v>32.070129947970905</v>
      </c>
      <c r="L50" s="176">
        <f t="shared" si="80"/>
        <v>35.533873047970907</v>
      </c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28">
        <v>145.86812921487123</v>
      </c>
    </row>
    <row r="51" spans="1:34" ht="34.5" customHeight="1" x14ac:dyDescent="0.25">
      <c r="A51" s="18" t="s">
        <v>37</v>
      </c>
      <c r="B51" s="16" t="s">
        <v>13</v>
      </c>
      <c r="C51" s="3">
        <f>C53/(UNITS!C28+UNITS!C55+UNITS!C82)*100</f>
        <v>1.9503916449086161</v>
      </c>
      <c r="D51" s="3">
        <f>D53/(UNITS!D28+UNITS!D55+UNITS!D82)*100</f>
        <v>1.8940877055599061</v>
      </c>
      <c r="E51" s="3">
        <f>E53/(UNITS!E28+UNITS!E55+UNITS!E82)*100</f>
        <v>1.7893886089188933</v>
      </c>
      <c r="F51" s="3">
        <f>F53/(UNITS!F28+UNITS!F55+UNITS!F82)*100</f>
        <v>1.5839557668057038</v>
      </c>
      <c r="G51" s="3">
        <f>G53/(UNITS!G28+UNITS!G55+UNITS!G82)*100</f>
        <v>1.7564115065821551</v>
      </c>
      <c r="H51" s="3">
        <f>H53/(UNITS!H28+UNITS!H55+UNITS!H82)*100</f>
        <v>1.7638036809815949</v>
      </c>
      <c r="I51" s="3">
        <f>I53/(UNITS!I28+UNITS!I55+UNITS!I82)*100</f>
        <v>1.723169221978859</v>
      </c>
      <c r="J51" s="3">
        <f>J53/(UNITS!J28+UNITS!J55+UNITS!J82)*100</f>
        <v>1.826571813112863</v>
      </c>
      <c r="K51" s="3">
        <f>K53/(UNITS!K28+UNITS!K55+UNITS!K82)*100</f>
        <v>1.8103893619056732</v>
      </c>
      <c r="L51" s="3">
        <f>L53/(UNITS!L28+UNITS!L55+UNITS!L82)*100</f>
        <v>1.8101639969488941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28">
        <v>2.0406027626622016</v>
      </c>
    </row>
    <row r="52" spans="1:34" ht="30" customHeight="1" x14ac:dyDescent="0.25">
      <c r="A52" s="17" t="s">
        <v>38</v>
      </c>
      <c r="B52" s="16" t="s">
        <v>39</v>
      </c>
      <c r="C52" s="3">
        <v>195</v>
      </c>
      <c r="D52" s="3">
        <v>196</v>
      </c>
      <c r="E52" s="3">
        <v>184</v>
      </c>
      <c r="F52" s="3">
        <v>177</v>
      </c>
      <c r="G52" s="3">
        <v>175</v>
      </c>
      <c r="H52" s="3">
        <v>182</v>
      </c>
      <c r="I52" s="3">
        <v>182</v>
      </c>
      <c r="J52" s="3">
        <v>184</v>
      </c>
      <c r="K52" s="3">
        <v>182</v>
      </c>
      <c r="L52" s="3">
        <v>189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28">
        <v>196</v>
      </c>
    </row>
    <row r="53" spans="1:34" ht="28" customHeight="1" x14ac:dyDescent="0.25">
      <c r="A53" s="17" t="s">
        <v>37</v>
      </c>
      <c r="B53" s="16" t="s">
        <v>39</v>
      </c>
      <c r="C53" s="3">
        <v>194.22</v>
      </c>
      <c r="D53" s="3">
        <v>193.5</v>
      </c>
      <c r="E53" s="3">
        <v>188.19</v>
      </c>
      <c r="F53" s="3">
        <v>163.29</v>
      </c>
      <c r="G53" s="3">
        <v>180.12</v>
      </c>
      <c r="H53" s="3">
        <v>184</v>
      </c>
      <c r="I53" s="3">
        <v>180.95</v>
      </c>
      <c r="J53" s="3">
        <v>190</v>
      </c>
      <c r="K53" s="3">
        <v>189.24</v>
      </c>
      <c r="L53" s="3">
        <v>189.85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28">
        <v>195</v>
      </c>
    </row>
    <row r="54" spans="1:34" ht="1.5" hidden="1" customHeight="1" x14ac:dyDescent="0.25">
      <c r="A54" s="18" t="s">
        <v>40</v>
      </c>
      <c r="B54" s="16" t="s">
        <v>41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4" ht="13" hidden="1" customHeight="1" x14ac:dyDescent="0.25">
      <c r="A55" s="18" t="s">
        <v>40</v>
      </c>
      <c r="B55" s="16" t="s">
        <v>13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4" ht="30" customHeight="1" x14ac:dyDescent="0.25">
      <c r="A56" s="18" t="s">
        <v>42</v>
      </c>
      <c r="B56" s="16" t="s">
        <v>39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28">
        <v>0</v>
      </c>
    </row>
    <row r="57" spans="1:34" ht="30" customHeight="1" x14ac:dyDescent="0.25">
      <c r="A57" s="18" t="s">
        <v>43</v>
      </c>
      <c r="B57" s="16" t="s">
        <v>44</v>
      </c>
      <c r="C57" s="134">
        <f>Totalizer!E82</f>
        <v>4976</v>
      </c>
      <c r="D57" s="134">
        <f>Totalizer!F82</f>
        <v>5045</v>
      </c>
      <c r="E57" s="134">
        <f>Totalizer!G82</f>
        <v>5761</v>
      </c>
      <c r="F57" s="134">
        <f>Totalizer!H82</f>
        <v>5477</v>
      </c>
      <c r="G57" s="134">
        <f>Totalizer!I82</f>
        <v>5259</v>
      </c>
      <c r="H57" s="134">
        <f>Totalizer!J82</f>
        <v>5135</v>
      </c>
      <c r="I57" s="134">
        <f>Totalizer!K82</f>
        <v>5464</v>
      </c>
      <c r="J57" s="134">
        <f>Totalizer!L82</f>
        <v>5542</v>
      </c>
      <c r="K57" s="134">
        <f>Totalizer!M82</f>
        <v>5370</v>
      </c>
      <c r="L57" s="134">
        <f>Totalizer!N82</f>
        <v>5858</v>
      </c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28">
        <v>4340</v>
      </c>
    </row>
    <row r="58" spans="1:34" ht="15.5" x14ac:dyDescent="0.25">
      <c r="A58" s="18" t="s">
        <v>45</v>
      </c>
      <c r="B58" s="16" t="s">
        <v>39</v>
      </c>
      <c r="C58" s="3">
        <f t="shared" ref="C58:D58" si="81">C57/(C5*1000)</f>
        <v>1.9367384017548968</v>
      </c>
      <c r="D58" s="3">
        <f t="shared" si="81"/>
        <v>1.935853229709227</v>
      </c>
      <c r="E58" s="3">
        <f t="shared" ref="E58:F58" si="82">E57/(E5*1000)</f>
        <v>2.128201907660936</v>
      </c>
      <c r="F58" s="3">
        <f t="shared" si="82"/>
        <v>2.0605633310020162</v>
      </c>
      <c r="G58" s="3">
        <f t="shared" ref="G58:H58" si="83">G57/(G5*1000)</f>
        <v>2.0069041471439681</v>
      </c>
      <c r="H58" s="3">
        <f t="shared" si="83"/>
        <v>1.9238518098350228</v>
      </c>
      <c r="I58" s="3">
        <f t="shared" ref="I58:J58" si="84">I57/(I5*1000)</f>
        <v>2.0116372330342203</v>
      </c>
      <c r="J58" s="3">
        <f t="shared" si="84"/>
        <v>2.0488765376278657</v>
      </c>
      <c r="K58" s="3">
        <f t="shared" ref="K58:L58" si="85">K57/(K5*1000)</f>
        <v>1.9735783069564776</v>
      </c>
      <c r="L58" s="3">
        <f t="shared" si="85"/>
        <v>2.1332047632590618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28">
        <v>1.782456520792725</v>
      </c>
    </row>
    <row r="59" spans="1:34" ht="15.5" x14ac:dyDescent="0.25">
      <c r="A59" s="18" t="s">
        <v>46</v>
      </c>
      <c r="B59" s="16" t="s">
        <v>39</v>
      </c>
      <c r="C59" s="134">
        <f>C57</f>
        <v>4976</v>
      </c>
      <c r="D59" s="134">
        <f t="shared" ref="D59:L59" si="86">C59+D57</f>
        <v>10021</v>
      </c>
      <c r="E59" s="134">
        <f t="shared" si="86"/>
        <v>15782</v>
      </c>
      <c r="F59" s="134">
        <f t="shared" si="86"/>
        <v>21259</v>
      </c>
      <c r="G59" s="134">
        <f t="shared" si="86"/>
        <v>26518</v>
      </c>
      <c r="H59" s="134">
        <f t="shared" si="86"/>
        <v>31653</v>
      </c>
      <c r="I59" s="134">
        <f t="shared" si="86"/>
        <v>37117</v>
      </c>
      <c r="J59" s="134">
        <f t="shared" si="86"/>
        <v>42659</v>
      </c>
      <c r="K59" s="134">
        <f t="shared" si="86"/>
        <v>48029</v>
      </c>
      <c r="L59" s="134">
        <f t="shared" si="86"/>
        <v>53887</v>
      </c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28">
        <v>153809</v>
      </c>
    </row>
    <row r="60" spans="1:34" ht="15.5" x14ac:dyDescent="0.25">
      <c r="A60" s="18" t="s">
        <v>47</v>
      </c>
      <c r="B60" s="16" t="s">
        <v>39</v>
      </c>
      <c r="C60" s="3">
        <f t="shared" ref="C60:D60" si="87">C59/(C7*1000)</f>
        <v>1.9367384017548968</v>
      </c>
      <c r="D60" s="3">
        <f t="shared" si="87"/>
        <v>1.9362926671296301</v>
      </c>
      <c r="E60" s="3">
        <f t="shared" ref="E60:F60" si="88">E59/(E7*1000)</f>
        <v>2.0021988411046778</v>
      </c>
      <c r="F60" s="3">
        <f t="shared" si="88"/>
        <v>2.016916903573839</v>
      </c>
      <c r="G60" s="3">
        <f t="shared" ref="G60:H60" si="89">G59/(G7*1000)</f>
        <v>2.0149232580787837</v>
      </c>
      <c r="H60" s="3">
        <f t="shared" si="89"/>
        <v>1.9995674647448549</v>
      </c>
      <c r="I60" s="3">
        <f t="shared" ref="I60:J60" si="90">I59/(I7*1000)</f>
        <v>2.0013351580457344</v>
      </c>
      <c r="J60" s="3">
        <f t="shared" si="90"/>
        <v>2.0073863762560813</v>
      </c>
      <c r="K60" s="3">
        <f t="shared" ref="K60:L60" si="91">K59/(K7*1000)</f>
        <v>2.0035489794285506</v>
      </c>
      <c r="L60" s="3">
        <f t="shared" si="91"/>
        <v>2.0168750993007913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28">
        <v>1.9196194982646315</v>
      </c>
    </row>
    <row r="61" spans="1:34" ht="15.5" x14ac:dyDescent="0.25">
      <c r="A61" s="18" t="s">
        <v>48</v>
      </c>
      <c r="B61" s="16" t="s">
        <v>39</v>
      </c>
      <c r="C61" s="3">
        <f t="shared" ref="C61:H61" si="92">((3.4565*31)+(3.376*30)+(3.0117*30)+(2.21820333286516*31)+(2.266*31)+(2.0386*30)+(1.92*31)+(C2*C60))/(30+31+31+30+31+30+31+C2)</f>
        <v>2.606546705677093</v>
      </c>
      <c r="D61" s="3">
        <f t="shared" si="92"/>
        <v>2.6034416141346264</v>
      </c>
      <c r="E61" s="3">
        <f t="shared" si="92"/>
        <v>2.6012783402863318</v>
      </c>
      <c r="F61" s="3">
        <f t="shared" si="92"/>
        <v>2.598800325381263</v>
      </c>
      <c r="G61" s="3">
        <f t="shared" si="92"/>
        <v>2.5960978064347668</v>
      </c>
      <c r="H61" s="3">
        <f t="shared" si="92"/>
        <v>2.593037309578587</v>
      </c>
      <c r="I61" s="3">
        <f t="shared" ref="I61:J61" si="93">((3.4565*31)+(3.376*30)+(3.0117*30)+(2.21820333286516*31)+(2.266*31)+(2.0386*30)+(1.92*31)+(I2*I60))/(30+31+31+30+31+30+31+I2)</f>
        <v>2.59040791595086</v>
      </c>
      <c r="J61" s="3">
        <f t="shared" si="93"/>
        <v>2.5879724969768856</v>
      </c>
      <c r="K61" s="3">
        <f t="shared" ref="K61:L61" si="94">((3.4565*31)+(3.376*30)+(3.0117*30)+(2.21820333286516*31)+(2.266*31)+(2.0386*30)+(1.92*31)+(K2*K60))/(30+31+31+30+31+30+31+K2)</f>
        <v>2.585214099254157</v>
      </c>
      <c r="L61" s="3">
        <f t="shared" si="94"/>
        <v>2.5832122960349464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5">
        <v>2.6096215316122597</v>
      </c>
    </row>
    <row r="62" spans="1:34" ht="15.5" x14ac:dyDescent="0.25">
      <c r="A62" s="18" t="s">
        <v>49</v>
      </c>
      <c r="B62" s="16" t="s">
        <v>50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150"/>
      <c r="T62" s="150"/>
      <c r="U62" s="150"/>
      <c r="V62" s="150"/>
      <c r="W62" s="150"/>
      <c r="X62" s="150"/>
      <c r="Y62" s="150"/>
      <c r="Z62" s="150"/>
      <c r="AA62" s="3"/>
      <c r="AB62" s="3"/>
      <c r="AC62" s="3"/>
      <c r="AD62" s="3"/>
      <c r="AE62" s="3"/>
      <c r="AF62" s="3"/>
      <c r="AG62" s="3"/>
    </row>
    <row r="63" spans="1:34" ht="15.5" x14ac:dyDescent="0.25">
      <c r="A63" s="110" t="s">
        <v>51</v>
      </c>
      <c r="B63" s="220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</row>
    <row r="64" spans="1:34" ht="15.5" x14ac:dyDescent="0.25">
      <c r="A64" s="15" t="s">
        <v>6</v>
      </c>
      <c r="B64" s="16" t="s">
        <v>52</v>
      </c>
      <c r="C64" s="3">
        <v>1.5</v>
      </c>
      <c r="D64" s="3">
        <v>2.5</v>
      </c>
      <c r="E64" s="3">
        <v>0</v>
      </c>
      <c r="F64" s="3">
        <v>14.67</v>
      </c>
      <c r="G64" s="3">
        <v>4</v>
      </c>
      <c r="H64" s="3">
        <v>0</v>
      </c>
      <c r="I64" s="3">
        <v>3.5</v>
      </c>
      <c r="J64" s="3">
        <v>11</v>
      </c>
      <c r="K64" s="3">
        <v>0</v>
      </c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28">
        <v>0</v>
      </c>
    </row>
    <row r="65" spans="1:34" ht="15.5" x14ac:dyDescent="0.25">
      <c r="A65" s="15" t="s">
        <v>7</v>
      </c>
      <c r="B65" s="16" t="s">
        <v>53</v>
      </c>
      <c r="C65" s="3">
        <f>C64</f>
        <v>1.5</v>
      </c>
      <c r="D65" s="3">
        <f t="shared" ref="D65:L65" si="95">D64+C65</f>
        <v>4</v>
      </c>
      <c r="E65" s="3">
        <f t="shared" si="95"/>
        <v>4</v>
      </c>
      <c r="F65" s="3">
        <f t="shared" si="95"/>
        <v>18.670000000000002</v>
      </c>
      <c r="G65" s="3">
        <f t="shared" si="95"/>
        <v>22.67</v>
      </c>
      <c r="H65" s="3">
        <f t="shared" si="95"/>
        <v>22.67</v>
      </c>
      <c r="I65" s="3">
        <f t="shared" si="95"/>
        <v>26.17</v>
      </c>
      <c r="J65" s="3">
        <f t="shared" si="95"/>
        <v>37.17</v>
      </c>
      <c r="K65" s="3">
        <f t="shared" si="95"/>
        <v>37.17</v>
      </c>
      <c r="L65" s="3">
        <f t="shared" si="95"/>
        <v>38.17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28">
        <v>99.75</v>
      </c>
    </row>
    <row r="66" spans="1:34" ht="15.5" x14ac:dyDescent="0.25">
      <c r="A66" s="15" t="s">
        <v>27</v>
      </c>
      <c r="B66" s="16" t="s">
        <v>53</v>
      </c>
      <c r="C66" s="171">
        <f t="shared" ref="C66:H66" si="96">533.7+C65</f>
        <v>535.20000000000005</v>
      </c>
      <c r="D66" s="171">
        <f t="shared" si="96"/>
        <v>537.70000000000005</v>
      </c>
      <c r="E66" s="171">
        <f t="shared" si="96"/>
        <v>537.70000000000005</v>
      </c>
      <c r="F66" s="171">
        <f t="shared" si="96"/>
        <v>552.37</v>
      </c>
      <c r="G66" s="171">
        <f t="shared" si="96"/>
        <v>556.37</v>
      </c>
      <c r="H66" s="171">
        <f t="shared" si="96"/>
        <v>556.37</v>
      </c>
      <c r="I66" s="171">
        <f t="shared" ref="I66:J66" si="97">533.7+I65</f>
        <v>559.87</v>
      </c>
      <c r="J66" s="171">
        <f t="shared" si="97"/>
        <v>570.87</v>
      </c>
      <c r="K66" s="171">
        <f t="shared" ref="K66:L66" si="98">533.7+K65</f>
        <v>570.87</v>
      </c>
      <c r="L66" s="171">
        <f t="shared" si="98"/>
        <v>571.87</v>
      </c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28">
        <v>533.70000000000005</v>
      </c>
    </row>
    <row r="67" spans="1:34" ht="15.5" x14ac:dyDescent="0.25">
      <c r="A67" s="110" t="s">
        <v>54</v>
      </c>
      <c r="B67" s="220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187"/>
      <c r="AC67" s="187"/>
      <c r="AD67" s="187"/>
      <c r="AE67" s="187"/>
      <c r="AF67" s="187"/>
      <c r="AG67" s="187"/>
    </row>
    <row r="68" spans="1:34" ht="15.5" x14ac:dyDescent="0.25">
      <c r="A68" s="15" t="s">
        <v>6</v>
      </c>
      <c r="B68" s="16" t="s">
        <v>52</v>
      </c>
      <c r="C68" s="3">
        <v>0</v>
      </c>
      <c r="D68" s="3">
        <v>0</v>
      </c>
      <c r="E68" s="3">
        <v>0</v>
      </c>
      <c r="F68" s="3">
        <v>10</v>
      </c>
      <c r="G68" s="3">
        <v>0</v>
      </c>
      <c r="H68" s="3">
        <v>0</v>
      </c>
      <c r="I68" s="3">
        <v>0</v>
      </c>
      <c r="J68" s="3">
        <v>10</v>
      </c>
      <c r="K68" s="3">
        <v>0</v>
      </c>
      <c r="L68" s="3">
        <v>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28">
        <v>0</v>
      </c>
    </row>
    <row r="69" spans="1:34" ht="15.5" x14ac:dyDescent="0.25">
      <c r="A69" s="15" t="s">
        <v>7</v>
      </c>
      <c r="B69" s="16" t="s">
        <v>53</v>
      </c>
      <c r="C69" s="3">
        <f t="shared" ref="C69" si="99">C68</f>
        <v>0</v>
      </c>
      <c r="D69" s="3">
        <f t="shared" ref="D69:L69" si="100">D68+C69</f>
        <v>0</v>
      </c>
      <c r="E69" s="3">
        <f t="shared" si="100"/>
        <v>0</v>
      </c>
      <c r="F69" s="3">
        <f t="shared" si="100"/>
        <v>10</v>
      </c>
      <c r="G69" s="3">
        <f t="shared" si="100"/>
        <v>10</v>
      </c>
      <c r="H69" s="3">
        <f t="shared" si="100"/>
        <v>10</v>
      </c>
      <c r="I69" s="3">
        <f t="shared" si="100"/>
        <v>10</v>
      </c>
      <c r="J69" s="3">
        <f t="shared" si="100"/>
        <v>20</v>
      </c>
      <c r="K69" s="3">
        <f t="shared" si="100"/>
        <v>20</v>
      </c>
      <c r="L69" s="3">
        <f t="shared" si="100"/>
        <v>20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28">
        <v>28</v>
      </c>
    </row>
    <row r="70" spans="1:34" ht="15.5" x14ac:dyDescent="0.25">
      <c r="A70" s="15" t="s">
        <v>27</v>
      </c>
      <c r="B70" s="16" t="s">
        <v>53</v>
      </c>
      <c r="C70" s="171">
        <f t="shared" ref="C70:H70" si="101">225+C69</f>
        <v>225</v>
      </c>
      <c r="D70" s="171">
        <f t="shared" si="101"/>
        <v>225</v>
      </c>
      <c r="E70" s="171">
        <f t="shared" si="101"/>
        <v>225</v>
      </c>
      <c r="F70" s="171">
        <f t="shared" si="101"/>
        <v>235</v>
      </c>
      <c r="G70" s="171">
        <f t="shared" si="101"/>
        <v>235</v>
      </c>
      <c r="H70" s="171">
        <f t="shared" si="101"/>
        <v>235</v>
      </c>
      <c r="I70" s="171">
        <f t="shared" ref="I70:J70" si="102">225+I69</f>
        <v>235</v>
      </c>
      <c r="J70" s="171">
        <f t="shared" si="102"/>
        <v>245</v>
      </c>
      <c r="K70" s="171">
        <f t="shared" ref="K70:L70" si="103">225+K69</f>
        <v>245</v>
      </c>
      <c r="L70" s="171">
        <f t="shared" si="103"/>
        <v>245</v>
      </c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28">
        <v>225</v>
      </c>
    </row>
    <row r="71" spans="1:34" ht="15.5" x14ac:dyDescent="0.25">
      <c r="A71" s="15"/>
      <c r="B71" s="16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</row>
    <row r="72" spans="1:34" ht="18" x14ac:dyDescent="0.25">
      <c r="A72" s="188"/>
      <c r="B72" s="188"/>
      <c r="C72" s="188"/>
      <c r="D72" s="291" t="s">
        <v>55</v>
      </c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X72" s="55"/>
      <c r="AB72" s="221"/>
    </row>
    <row r="73" spans="1:34" x14ac:dyDescent="0.25">
      <c r="X73" s="45"/>
    </row>
    <row r="74" spans="1:34" x14ac:dyDescent="0.25">
      <c r="A74" s="153"/>
    </row>
    <row r="75" spans="1:34" x14ac:dyDescent="0.25">
      <c r="A75" s="153"/>
    </row>
    <row r="76" spans="1:34" x14ac:dyDescent="0.25">
      <c r="A76" s="153"/>
    </row>
    <row r="77" spans="1:34" x14ac:dyDescent="0.25">
      <c r="A77" s="153"/>
    </row>
  </sheetData>
  <mergeCells count="18">
    <mergeCell ref="A14:B14"/>
    <mergeCell ref="A4:B4"/>
    <mergeCell ref="B1:AF1"/>
    <mergeCell ref="C4:AG4"/>
    <mergeCell ref="C14:AG14"/>
    <mergeCell ref="A13:AG13"/>
    <mergeCell ref="C3:AG3"/>
    <mergeCell ref="D72:V72"/>
    <mergeCell ref="A39:B39"/>
    <mergeCell ref="A18:B18"/>
    <mergeCell ref="A30:B30"/>
    <mergeCell ref="A34:B34"/>
    <mergeCell ref="C18:AG18"/>
    <mergeCell ref="C30:AG30"/>
    <mergeCell ref="C34:AG34"/>
    <mergeCell ref="C39:AG39"/>
    <mergeCell ref="A26:B26"/>
    <mergeCell ref="C26:AG26"/>
  </mergeCells>
  <phoneticPr fontId="24" type="noConversion"/>
  <printOptions horizontalCentered="1" verticalCentered="1"/>
  <pageMargins left="0" right="0" top="0" bottom="0" header="0" footer="0"/>
  <pageSetup paperSize="9" scale="40" orientation="landscape" horizontalDpi="300" verticalDpi="300" r:id="rId1"/>
  <headerFooter alignWithMargins="0"/>
  <ignoredErrors>
    <ignoredError sqref="C59:D5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DX106"/>
  <sheetViews>
    <sheetView zoomScale="80" zoomScaleNormal="8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N64" sqref="N64"/>
    </sheetView>
  </sheetViews>
  <sheetFormatPr defaultRowHeight="12.5" x14ac:dyDescent="0.25"/>
  <cols>
    <col min="1" max="1" width="34.81640625" customWidth="1"/>
    <col min="2" max="2" width="10.1796875" customWidth="1"/>
    <col min="3" max="3" width="11.1796875" customWidth="1"/>
    <col min="4" max="4" width="13" customWidth="1"/>
    <col min="5" max="7" width="10.7265625" customWidth="1"/>
    <col min="8" max="8" width="9.7265625" customWidth="1"/>
    <col min="9" max="17" width="10.7265625" customWidth="1"/>
    <col min="18" max="18" width="9.453125" customWidth="1"/>
    <col min="19" max="19" width="10.1796875" customWidth="1"/>
    <col min="20" max="20" width="9.453125" customWidth="1"/>
    <col min="21" max="21" width="9.54296875" style="5" customWidth="1"/>
    <col min="22" max="22" width="9" style="5" customWidth="1"/>
    <col min="23" max="23" width="10" customWidth="1"/>
    <col min="24" max="32" width="10.7265625" customWidth="1"/>
    <col min="33" max="33" width="13.453125" customWidth="1"/>
    <col min="34" max="34" width="14.26953125" customWidth="1"/>
    <col min="35" max="35" width="10.54296875" customWidth="1"/>
  </cols>
  <sheetData>
    <row r="1" spans="1:34" ht="17.149999999999999" customHeight="1" x14ac:dyDescent="0.25">
      <c r="A1" s="51">
        <v>45597</v>
      </c>
      <c r="B1" s="308" t="s">
        <v>219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</row>
    <row r="2" spans="1:34" s="25" customFormat="1" ht="15.65" customHeight="1" x14ac:dyDescent="0.3">
      <c r="A2" s="325" t="s">
        <v>0</v>
      </c>
      <c r="B2" s="326"/>
      <c r="C2" s="52">
        <v>1</v>
      </c>
      <c r="D2" s="52">
        <v>2</v>
      </c>
      <c r="E2" s="52">
        <v>3</v>
      </c>
      <c r="F2" s="52">
        <v>4</v>
      </c>
      <c r="G2" s="52">
        <v>5</v>
      </c>
      <c r="H2" s="52">
        <v>6</v>
      </c>
      <c r="I2" s="52">
        <v>7</v>
      </c>
      <c r="J2" s="52">
        <v>8</v>
      </c>
      <c r="K2" s="52">
        <v>9</v>
      </c>
      <c r="L2" s="52">
        <v>10</v>
      </c>
      <c r="M2" s="52">
        <v>11</v>
      </c>
      <c r="N2" s="52">
        <v>12</v>
      </c>
      <c r="O2" s="52">
        <v>13</v>
      </c>
      <c r="P2" s="52">
        <v>14</v>
      </c>
      <c r="Q2" s="52">
        <v>15</v>
      </c>
      <c r="R2" s="52">
        <v>16</v>
      </c>
      <c r="S2" s="52">
        <v>17</v>
      </c>
      <c r="T2" s="52">
        <v>18</v>
      </c>
      <c r="U2" s="52">
        <v>19</v>
      </c>
      <c r="V2" s="52">
        <v>20</v>
      </c>
      <c r="W2" s="52">
        <v>21</v>
      </c>
      <c r="X2" s="52">
        <v>22</v>
      </c>
      <c r="Y2" s="52">
        <v>23</v>
      </c>
      <c r="Z2" s="52">
        <v>24</v>
      </c>
      <c r="AA2" s="52">
        <v>25</v>
      </c>
      <c r="AB2" s="52">
        <v>26</v>
      </c>
      <c r="AC2" s="52">
        <v>27</v>
      </c>
      <c r="AD2" s="52">
        <v>28</v>
      </c>
      <c r="AE2" s="52">
        <v>29</v>
      </c>
      <c r="AF2" s="52">
        <v>30</v>
      </c>
      <c r="AG2" s="52">
        <v>31</v>
      </c>
    </row>
    <row r="3" spans="1:34" ht="18" customHeight="1" x14ac:dyDescent="0.25">
      <c r="A3" s="112" t="s">
        <v>56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4" spans="1:34" ht="21" customHeight="1" x14ac:dyDescent="0.25">
      <c r="A4" s="327" t="s">
        <v>57</v>
      </c>
      <c r="B4" s="328"/>
      <c r="C4" s="310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</row>
    <row r="5" spans="1:34" ht="20.5" customHeight="1" x14ac:dyDescent="0.25">
      <c r="A5" s="7" t="s">
        <v>3</v>
      </c>
      <c r="B5" s="14"/>
      <c r="C5" s="302" t="s">
        <v>209</v>
      </c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</row>
    <row r="6" spans="1:34" ht="30" customHeight="1" x14ac:dyDescent="0.25">
      <c r="A6" s="2" t="s">
        <v>58</v>
      </c>
      <c r="B6" s="29" t="s">
        <v>5</v>
      </c>
      <c r="C6" s="212">
        <v>0.99319614213197982</v>
      </c>
      <c r="D6" s="212">
        <v>0.99231736153846151</v>
      </c>
      <c r="E6" s="212">
        <v>1.0400660466839571</v>
      </c>
      <c r="F6" s="212">
        <v>0.99800790377358506</v>
      </c>
      <c r="G6" s="212">
        <v>0.99496931570881242</v>
      </c>
      <c r="H6" s="212">
        <v>1.0115631313320825</v>
      </c>
      <c r="I6" s="212">
        <v>1.044690576923077</v>
      </c>
      <c r="J6" s="212">
        <v>1.0236100211267602</v>
      </c>
      <c r="K6" s="212">
        <v>1.0262426165745857</v>
      </c>
      <c r="L6" s="212">
        <v>1.0296633008397227</v>
      </c>
      <c r="M6" s="212"/>
      <c r="N6" s="212"/>
      <c r="O6" s="212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115">
        <v>0.91947190672719781</v>
      </c>
    </row>
    <row r="7" spans="1:34" ht="30" customHeight="1" x14ac:dyDescent="0.25">
      <c r="A7" s="2" t="s">
        <v>59</v>
      </c>
      <c r="B7" s="29" t="s">
        <v>5</v>
      </c>
      <c r="C7" s="6">
        <v>0.99</v>
      </c>
      <c r="D7" s="6">
        <v>0.99</v>
      </c>
      <c r="E7" s="6">
        <v>1.0369999999999999</v>
      </c>
      <c r="F7" s="6">
        <v>0.995</v>
      </c>
      <c r="G7" s="6">
        <v>0.99099999999999999</v>
      </c>
      <c r="H7" s="6">
        <v>1.01</v>
      </c>
      <c r="I7" s="6">
        <v>1.04</v>
      </c>
      <c r="J7" s="6">
        <v>1.0209999999999999</v>
      </c>
      <c r="K7" s="6">
        <v>1.024</v>
      </c>
      <c r="L7" s="6">
        <v>1.0269999999999999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15">
        <v>0.91500000000000004</v>
      </c>
    </row>
    <row r="8" spans="1:34" ht="30" customHeight="1" x14ac:dyDescent="0.25">
      <c r="A8" s="2" t="s">
        <v>60</v>
      </c>
      <c r="B8" s="29" t="s">
        <v>5</v>
      </c>
      <c r="C8" s="6">
        <f>C6</f>
        <v>0.99319614213197982</v>
      </c>
      <c r="D8" s="6">
        <f t="shared" ref="D8:L8" si="0">D6+C8</f>
        <v>1.9855135036704414</v>
      </c>
      <c r="E8" s="6">
        <f t="shared" si="0"/>
        <v>3.0255795503543985</v>
      </c>
      <c r="F8" s="6">
        <f t="shared" si="0"/>
        <v>4.0235874541279832</v>
      </c>
      <c r="G8" s="6">
        <f t="shared" si="0"/>
        <v>5.0185567698367954</v>
      </c>
      <c r="H8" s="6">
        <f t="shared" si="0"/>
        <v>6.0301199011688782</v>
      </c>
      <c r="I8" s="6">
        <f t="shared" si="0"/>
        <v>7.0748104780919547</v>
      </c>
      <c r="J8" s="6">
        <f t="shared" si="0"/>
        <v>8.0984204992187152</v>
      </c>
      <c r="K8" s="6">
        <f t="shared" si="0"/>
        <v>9.1246631157933002</v>
      </c>
      <c r="L8" s="6">
        <f t="shared" si="0"/>
        <v>10.154326416633022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15">
        <v>30.224920152650085</v>
      </c>
    </row>
    <row r="9" spans="1:34" ht="30" customHeight="1" x14ac:dyDescent="0.25">
      <c r="A9" s="2" t="s">
        <v>8</v>
      </c>
      <c r="B9" s="29" t="s">
        <v>5</v>
      </c>
      <c r="C9" s="3">
        <f t="shared" ref="C9:H9" si="1">207.9769+C8</f>
        <v>208.97009614213198</v>
      </c>
      <c r="D9" s="3">
        <f t="shared" si="1"/>
        <v>209.96241350367043</v>
      </c>
      <c r="E9" s="3">
        <f t="shared" si="1"/>
        <v>211.00247955035439</v>
      </c>
      <c r="F9" s="3">
        <f t="shared" si="1"/>
        <v>212.00048745412798</v>
      </c>
      <c r="G9" s="3">
        <f t="shared" si="1"/>
        <v>212.99545676983681</v>
      </c>
      <c r="H9" s="3">
        <f t="shared" si="1"/>
        <v>214.00701990116889</v>
      </c>
      <c r="I9" s="3">
        <f t="shared" ref="I9:J9" si="2">207.9769+I8</f>
        <v>215.05171047809196</v>
      </c>
      <c r="J9" s="3">
        <f t="shared" si="2"/>
        <v>216.07532049921872</v>
      </c>
      <c r="K9" s="3">
        <f t="shared" ref="K9:L9" si="3">207.9769+K8</f>
        <v>217.10156311579331</v>
      </c>
      <c r="L9" s="3">
        <f t="shared" si="3"/>
        <v>218.13122641663301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15">
        <v>207.97692015265011</v>
      </c>
    </row>
    <row r="10" spans="1:34" ht="30" customHeight="1" x14ac:dyDescent="0.25">
      <c r="A10" s="2" t="s">
        <v>61</v>
      </c>
      <c r="B10" s="29" t="s">
        <v>10</v>
      </c>
      <c r="C10" s="150">
        <v>43</v>
      </c>
      <c r="D10" s="150">
        <v>44</v>
      </c>
      <c r="E10" s="150">
        <v>44</v>
      </c>
      <c r="F10" s="150">
        <v>43</v>
      </c>
      <c r="G10" s="150">
        <v>43</v>
      </c>
      <c r="H10" s="150">
        <v>43</v>
      </c>
      <c r="I10" s="150">
        <v>44</v>
      </c>
      <c r="J10" s="150">
        <v>44</v>
      </c>
      <c r="K10" s="150">
        <v>45</v>
      </c>
      <c r="L10" s="150">
        <v>44</v>
      </c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15">
        <v>43</v>
      </c>
    </row>
    <row r="11" spans="1:34" ht="30" customHeight="1" x14ac:dyDescent="0.25">
      <c r="A11" s="2" t="s">
        <v>62</v>
      </c>
      <c r="B11" s="29" t="s">
        <v>10</v>
      </c>
      <c r="C11" s="150">
        <v>37</v>
      </c>
      <c r="D11" s="150">
        <v>37</v>
      </c>
      <c r="E11" s="150">
        <v>41</v>
      </c>
      <c r="F11" s="150">
        <v>40</v>
      </c>
      <c r="G11" s="150">
        <v>41</v>
      </c>
      <c r="H11" s="150">
        <v>41</v>
      </c>
      <c r="I11" s="150">
        <v>43</v>
      </c>
      <c r="J11" s="150">
        <v>41</v>
      </c>
      <c r="K11" s="150">
        <v>42</v>
      </c>
      <c r="L11" s="150">
        <v>42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15">
        <v>29</v>
      </c>
    </row>
    <row r="12" spans="1:34" ht="30" customHeight="1" x14ac:dyDescent="0.25">
      <c r="A12" s="2" t="s">
        <v>63</v>
      </c>
      <c r="B12" s="29" t="s">
        <v>10</v>
      </c>
      <c r="C12" s="3">
        <f>C6*1000/24</f>
        <v>41.383172588832494</v>
      </c>
      <c r="D12" s="3">
        <f t="shared" ref="D12:E12" si="4">D6*1000/24</f>
        <v>41.34655673076923</v>
      </c>
      <c r="E12" s="3">
        <f t="shared" si="4"/>
        <v>43.33608527849821</v>
      </c>
      <c r="F12" s="3">
        <f t="shared" ref="F12" si="5">F6*1000/24</f>
        <v>41.583662657232715</v>
      </c>
      <c r="G12" s="3">
        <f t="shared" ref="G12:L12" si="6">G6*1000/24</f>
        <v>41.457054821200522</v>
      </c>
      <c r="H12" s="3">
        <f t="shared" si="6"/>
        <v>42.14846380550344</v>
      </c>
      <c r="I12" s="3">
        <f t="shared" si="6"/>
        <v>43.528774038461542</v>
      </c>
      <c r="J12" s="3">
        <f t="shared" si="6"/>
        <v>42.65041754694834</v>
      </c>
      <c r="K12" s="3">
        <f t="shared" si="6"/>
        <v>42.760109023941077</v>
      </c>
      <c r="L12" s="3">
        <f t="shared" si="6"/>
        <v>42.90263753498845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115">
        <v>38.311329446966575</v>
      </c>
    </row>
    <row r="13" spans="1:34" ht="30" customHeight="1" x14ac:dyDescent="0.25">
      <c r="A13" s="8" t="s">
        <v>12</v>
      </c>
      <c r="B13" s="14"/>
      <c r="C13" s="312" t="s">
        <v>220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</row>
    <row r="14" spans="1:34" ht="30" customHeight="1" x14ac:dyDescent="0.25">
      <c r="A14" s="2" t="s">
        <v>59</v>
      </c>
      <c r="B14" s="29" t="s">
        <v>13</v>
      </c>
      <c r="C14" s="3">
        <f>(C6*100000)/(42*24)</f>
        <v>98.531363306744041</v>
      </c>
      <c r="D14" s="3">
        <f t="shared" ref="D14:E14" si="7">(D6*100000)/(42*24)</f>
        <v>98.444182692307692</v>
      </c>
      <c r="E14" s="3">
        <f t="shared" si="7"/>
        <v>103.18115542499575</v>
      </c>
      <c r="F14" s="3">
        <f t="shared" ref="F14:G14" si="8">(F6*100000)/(42*24)</f>
        <v>99.008720612458845</v>
      </c>
      <c r="G14" s="3">
        <f t="shared" si="8"/>
        <v>98.707273383810744</v>
      </c>
      <c r="H14" s="3">
        <f t="shared" ref="H14:I14" si="9">(H6*100000)/(42*24)</f>
        <v>100.35348525119866</v>
      </c>
      <c r="I14" s="3">
        <f t="shared" si="9"/>
        <v>103.6399381868132</v>
      </c>
      <c r="J14" s="3">
        <f t="shared" ref="J14:K14" si="10">(J6*100000)/(42*24)</f>
        <v>101.54861320701987</v>
      </c>
      <c r="K14" s="3">
        <f t="shared" si="10"/>
        <v>101.80978339033588</v>
      </c>
      <c r="L14" s="3">
        <f t="shared" ref="L14" si="11">(L6*100000)/(42*24)</f>
        <v>102.14913698806772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115">
        <v>91.217451064206131</v>
      </c>
    </row>
    <row r="15" spans="1:34" ht="30" customHeight="1" x14ac:dyDescent="0.25">
      <c r="A15" s="2" t="s">
        <v>60</v>
      </c>
      <c r="B15" s="29" t="s">
        <v>13</v>
      </c>
      <c r="C15" s="3">
        <f t="shared" ref="C15:D15" si="12">(C8*1000)/(42*24*C2)%</f>
        <v>98.531363306744026</v>
      </c>
      <c r="D15" s="3">
        <f t="shared" si="12"/>
        <v>98.487772999525859</v>
      </c>
      <c r="E15" s="3">
        <f t="shared" ref="E15:F15" si="13">(E8*1000)/(42*24*E2)%</f>
        <v>100.05223380801583</v>
      </c>
      <c r="F15" s="3">
        <f t="shared" si="13"/>
        <v>99.791355509126561</v>
      </c>
      <c r="G15" s="3">
        <f t="shared" ref="G15:H15" si="14">(G8*1000)/(42*24*G2)%</f>
        <v>99.574539084063417</v>
      </c>
      <c r="H15" s="3">
        <f t="shared" si="14"/>
        <v>99.704363445252625</v>
      </c>
      <c r="I15" s="3">
        <f t="shared" ref="I15:J15" si="15">(I8*1000)/(42*24*I2)%</f>
        <v>100.26658840833269</v>
      </c>
      <c r="J15" s="3">
        <f t="shared" si="15"/>
        <v>100.42684150816859</v>
      </c>
      <c r="K15" s="3">
        <f t="shared" ref="K15:L15" si="16">(K8*1000)/(42*24*K2)%</f>
        <v>100.58050171729829</v>
      </c>
      <c r="L15" s="3">
        <f t="shared" si="16"/>
        <v>100.73736524437523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115">
        <v>96.725934948316961</v>
      </c>
    </row>
    <row r="16" spans="1:34" ht="30" customHeight="1" x14ac:dyDescent="0.25">
      <c r="A16" s="2" t="s">
        <v>8</v>
      </c>
      <c r="B16" s="29" t="s">
        <v>13</v>
      </c>
      <c r="C16" s="3">
        <f t="shared" ref="C16:H16" si="17">(C9*10^3)/(24*(C2+30+31+30+31+31+30+31)*42)%</f>
        <v>96.424001542142861</v>
      </c>
      <c r="D16" s="3">
        <f t="shared" si="17"/>
        <v>96.43335423265286</v>
      </c>
      <c r="E16" s="3">
        <f t="shared" si="17"/>
        <v>96.464450090682092</v>
      </c>
      <c r="F16" s="3">
        <f t="shared" si="17"/>
        <v>96.476121056378318</v>
      </c>
      <c r="G16" s="3">
        <f t="shared" si="17"/>
        <v>96.486308966549259</v>
      </c>
      <c r="H16" s="3">
        <f t="shared" si="17"/>
        <v>96.50388704057039</v>
      </c>
      <c r="I16" s="3">
        <f t="shared" ref="I16:J16" si="18">(I9*10^3)/(24*(I2+30+31+30+31+31+30+31)*42)%</f>
        <v>96.536176864761529</v>
      </c>
      <c r="J16" s="3">
        <f t="shared" si="18"/>
        <v>96.558755406843758</v>
      </c>
      <c r="K16" s="3">
        <f t="shared" ref="K16:L16" si="19">(K9*10^3)/(24*(K2+30+31+30+31+31+30+31)*42)%</f>
        <v>96.582302617532079</v>
      </c>
      <c r="L16" s="3">
        <f t="shared" si="19"/>
        <v>96.60715455668624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115">
        <v>96.414163399648658</v>
      </c>
    </row>
    <row r="17" spans="1:37" ht="30" customHeight="1" x14ac:dyDescent="0.25">
      <c r="A17" s="2" t="s">
        <v>64</v>
      </c>
      <c r="B17" s="29" t="s">
        <v>65</v>
      </c>
      <c r="C17" s="222">
        <v>24</v>
      </c>
      <c r="D17" s="3">
        <v>24</v>
      </c>
      <c r="E17" s="3">
        <v>24</v>
      </c>
      <c r="F17" s="3">
        <v>24</v>
      </c>
      <c r="G17" s="3">
        <v>24</v>
      </c>
      <c r="H17" s="3">
        <v>24</v>
      </c>
      <c r="I17" s="3">
        <v>24</v>
      </c>
      <c r="J17" s="3">
        <v>24</v>
      </c>
      <c r="K17" s="3">
        <v>24</v>
      </c>
      <c r="L17" s="3">
        <v>24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115">
        <v>24</v>
      </c>
      <c r="AK17" s="216"/>
    </row>
    <row r="18" spans="1:37" ht="30" customHeight="1" x14ac:dyDescent="0.25">
      <c r="A18" s="2" t="s">
        <v>66</v>
      </c>
      <c r="B18" s="29" t="s">
        <v>65</v>
      </c>
      <c r="C18" s="222">
        <f>C17</f>
        <v>24</v>
      </c>
      <c r="D18" s="222">
        <f t="shared" ref="D18:L18" si="20">D17+C18</f>
        <v>48</v>
      </c>
      <c r="E18" s="222">
        <f t="shared" si="20"/>
        <v>72</v>
      </c>
      <c r="F18" s="222">
        <f t="shared" si="20"/>
        <v>96</v>
      </c>
      <c r="G18" s="222">
        <f t="shared" si="20"/>
        <v>120</v>
      </c>
      <c r="H18" s="222">
        <f t="shared" si="20"/>
        <v>144</v>
      </c>
      <c r="I18" s="222">
        <f t="shared" si="20"/>
        <v>168</v>
      </c>
      <c r="J18" s="222">
        <f t="shared" si="20"/>
        <v>192</v>
      </c>
      <c r="K18" s="222">
        <f t="shared" si="20"/>
        <v>216</v>
      </c>
      <c r="L18" s="222">
        <f t="shared" si="20"/>
        <v>240</v>
      </c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115">
        <v>744</v>
      </c>
    </row>
    <row r="19" spans="1:37" ht="30" customHeight="1" x14ac:dyDescent="0.25">
      <c r="A19" s="2" t="s">
        <v>67</v>
      </c>
      <c r="B19" s="29" t="s">
        <v>65</v>
      </c>
      <c r="C19" s="170">
        <f t="shared" ref="C19:H19" si="21">5118+C18</f>
        <v>5142</v>
      </c>
      <c r="D19" s="170">
        <f t="shared" si="21"/>
        <v>5166</v>
      </c>
      <c r="E19" s="170">
        <f t="shared" si="21"/>
        <v>5190</v>
      </c>
      <c r="F19" s="170">
        <f t="shared" si="21"/>
        <v>5214</v>
      </c>
      <c r="G19" s="170">
        <f t="shared" si="21"/>
        <v>5238</v>
      </c>
      <c r="H19" s="170">
        <f t="shared" si="21"/>
        <v>5262</v>
      </c>
      <c r="I19" s="170">
        <f t="shared" ref="I19:J19" si="22">5118+I18</f>
        <v>5286</v>
      </c>
      <c r="J19" s="170">
        <f t="shared" si="22"/>
        <v>5310</v>
      </c>
      <c r="K19" s="170">
        <f t="shared" ref="K19:L19" si="23">5118+K18</f>
        <v>5334</v>
      </c>
      <c r="L19" s="170">
        <f t="shared" si="23"/>
        <v>5358</v>
      </c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15">
        <v>5118</v>
      </c>
    </row>
    <row r="20" spans="1:37" ht="30" customHeight="1" x14ac:dyDescent="0.25">
      <c r="A20" s="8" t="s">
        <v>200</v>
      </c>
      <c r="B20" s="14"/>
      <c r="C20" s="312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</row>
    <row r="21" spans="1:37" ht="30" customHeight="1" x14ac:dyDescent="0.25">
      <c r="A21" s="2" t="s">
        <v>59</v>
      </c>
      <c r="B21" s="29" t="s">
        <v>13</v>
      </c>
      <c r="C21" s="3">
        <f>MIN(C25,(BOILERS!D56/6*100))</f>
        <v>100</v>
      </c>
      <c r="D21" s="3">
        <f>MIN(D25,(BOILERS!E56/6*100))</f>
        <v>95.020833333333329</v>
      </c>
      <c r="E21" s="3">
        <f>MIN(E25,(BOILERS!F56/6*100))</f>
        <v>100</v>
      </c>
      <c r="F21" s="3">
        <f>MIN(F25,(BOILERS!G56/6*100))</f>
        <v>100</v>
      </c>
      <c r="G21" s="3">
        <f>MIN(G25,(BOILERS!H56/6*100))</f>
        <v>100</v>
      </c>
      <c r="H21" s="3">
        <f>MIN(H25,(BOILERS!I56/6*100))</f>
        <v>100</v>
      </c>
      <c r="I21" s="3">
        <f>MIN(I25,(BOILERS!J56/6*100))</f>
        <v>100</v>
      </c>
      <c r="J21" s="3">
        <f>MIN(J25,(BOILERS!K56/6*100))</f>
        <v>100</v>
      </c>
      <c r="K21" s="3">
        <f>MIN(K25,(BOILERS!L56/6*100))</f>
        <v>100</v>
      </c>
      <c r="L21" s="3">
        <f>MIN(L25,(BOILERS!M56/6*100))</f>
        <v>100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115">
        <v>91.666666666666657</v>
      </c>
    </row>
    <row r="22" spans="1:37" ht="30" customHeight="1" x14ac:dyDescent="0.25">
      <c r="A22" s="2" t="s">
        <v>60</v>
      </c>
      <c r="B22" s="29" t="s">
        <v>13</v>
      </c>
      <c r="C22" s="3">
        <f>C21</f>
        <v>100</v>
      </c>
      <c r="D22" s="3">
        <f>AVERAGE($C21:D21)</f>
        <v>97.510416666666657</v>
      </c>
      <c r="E22" s="3">
        <f>AVERAGE($C21:E21)</f>
        <v>98.340277777777771</v>
      </c>
      <c r="F22" s="3">
        <f>AVERAGE($C21:F21)</f>
        <v>98.755208333333329</v>
      </c>
      <c r="G22" s="3">
        <f>AVERAGE($C21:G21)</f>
        <v>99.004166666666663</v>
      </c>
      <c r="H22" s="3">
        <f>AVERAGE($C21:H21)</f>
        <v>99.170138888888872</v>
      </c>
      <c r="I22" s="3">
        <f>AVERAGE($C21:I21)</f>
        <v>99.288690476190467</v>
      </c>
      <c r="J22" s="3">
        <f>AVERAGE($C21:J21)</f>
        <v>99.377604166666657</v>
      </c>
      <c r="K22" s="3">
        <f>AVERAGE($C21:K21)</f>
        <v>99.446759259259252</v>
      </c>
      <c r="L22" s="3">
        <f>AVERAGE($C21:L21)</f>
        <v>99.502083333333331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115">
        <v>99.731182795698913</v>
      </c>
    </row>
    <row r="23" spans="1:37" ht="30" customHeight="1" x14ac:dyDescent="0.25">
      <c r="A23" s="2" t="s">
        <v>8</v>
      </c>
      <c r="B23" s="29" t="s">
        <v>13</v>
      </c>
      <c r="C23" s="3">
        <f t="shared" ref="C23:H23" si="24">((100*30+99.349*31+98.6017960927961*30+97.6754032258065*31+98.612186597716*31+97.5414*30+99.7312*31+C2*C22))/(C2+30+31+30+31+31+30+31)</f>
        <v>98.793941243316638</v>
      </c>
      <c r="D23" s="3">
        <f t="shared" si="24"/>
        <v>98.776473151140792</v>
      </c>
      <c r="E23" s="3">
        <f t="shared" si="24"/>
        <v>98.782111523716182</v>
      </c>
      <c r="F23" s="3">
        <f t="shared" si="24"/>
        <v>98.787698168102793</v>
      </c>
      <c r="G23" s="3">
        <f t="shared" si="24"/>
        <v>98.79323379290598</v>
      </c>
      <c r="H23" s="3">
        <f t="shared" si="24"/>
        <v>98.798719093847325</v>
      </c>
      <c r="I23" s="3">
        <f t="shared" ref="I23:J23" si="25">((100*30+99.349*31+98.6017960927961*30+97.6754032258065*31+98.612186597716*31+97.5414*30+99.7312*31+I2*I22))/(I2+30+31+30+31+31+30+31)</f>
        <v>98.804154754056157</v>
      </c>
      <c r="J23" s="3">
        <f t="shared" si="25"/>
        <v>98.809541444353201</v>
      </c>
      <c r="K23" s="3">
        <f t="shared" ref="K23:L23" si="26">((100*30+99.349*31+98.6017960927961*30+97.6754032258065*31+98.612186597716*31+97.5414*30+99.7312*31+K2*K22))/(K2+30+31+30+31+31+30+31)</f>
        <v>98.814879823526496</v>
      </c>
      <c r="L23" s="3">
        <f t="shared" si="26"/>
        <v>98.820170538600038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115">
        <v>99.068477447389213</v>
      </c>
    </row>
    <row r="24" spans="1:37" ht="30" customHeight="1" x14ac:dyDescent="0.25">
      <c r="A24" s="8" t="s">
        <v>68</v>
      </c>
      <c r="B24" s="14"/>
      <c r="C24" s="312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</row>
    <row r="25" spans="1:37" ht="30" customHeight="1" x14ac:dyDescent="0.25">
      <c r="A25" s="2" t="s">
        <v>59</v>
      </c>
      <c r="B25" s="29" t="s">
        <v>13</v>
      </c>
      <c r="C25" s="171">
        <f t="shared" ref="C25:D25" si="27">C17*42/(24*42)%</f>
        <v>100</v>
      </c>
      <c r="D25" s="171">
        <f t="shared" si="27"/>
        <v>100</v>
      </c>
      <c r="E25" s="171">
        <f t="shared" ref="E25:F25" si="28">E17*42/(24*42)%</f>
        <v>100</v>
      </c>
      <c r="F25" s="171">
        <f t="shared" si="28"/>
        <v>100</v>
      </c>
      <c r="G25" s="171">
        <f t="shared" ref="G25:H25" si="29">G17*42/(24*42)%</f>
        <v>100</v>
      </c>
      <c r="H25" s="171">
        <f t="shared" si="29"/>
        <v>100</v>
      </c>
      <c r="I25" s="171">
        <f t="shared" ref="I25:J25" si="30">I17*42/(24*42)%</f>
        <v>100</v>
      </c>
      <c r="J25" s="171">
        <f t="shared" si="30"/>
        <v>100</v>
      </c>
      <c r="K25" s="171">
        <f t="shared" ref="K25:L25" si="31">K17*42/(24*42)%</f>
        <v>100</v>
      </c>
      <c r="L25" s="171">
        <f t="shared" si="31"/>
        <v>100</v>
      </c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15">
        <v>100</v>
      </c>
    </row>
    <row r="26" spans="1:37" ht="30" customHeight="1" x14ac:dyDescent="0.25">
      <c r="A26" s="2" t="s">
        <v>60</v>
      </c>
      <c r="B26" s="29" t="s">
        <v>13</v>
      </c>
      <c r="C26" s="171">
        <f t="shared" ref="C26" si="32">C25</f>
        <v>100</v>
      </c>
      <c r="D26" s="171">
        <f>AVERAGE($C25:D25)</f>
        <v>100</v>
      </c>
      <c r="E26" s="171">
        <f>AVERAGE($C25:E25)</f>
        <v>100</v>
      </c>
      <c r="F26" s="171">
        <f>AVERAGE($C25:F25)</f>
        <v>100</v>
      </c>
      <c r="G26" s="171">
        <f>AVERAGE($C25:G25)</f>
        <v>100</v>
      </c>
      <c r="H26" s="171">
        <f>AVERAGE($C25:H25)</f>
        <v>100</v>
      </c>
      <c r="I26" s="171">
        <f>AVERAGE($C25:I25)</f>
        <v>100</v>
      </c>
      <c r="J26" s="171">
        <f>AVERAGE($C25:J25)</f>
        <v>100</v>
      </c>
      <c r="K26" s="171">
        <f>AVERAGE($C25:K25)</f>
        <v>100</v>
      </c>
      <c r="L26" s="171">
        <f>AVERAGE($C25:L25)</f>
        <v>100</v>
      </c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15">
        <v>100</v>
      </c>
    </row>
    <row r="27" spans="1:37" ht="30" customHeight="1" x14ac:dyDescent="0.25">
      <c r="A27" s="2" t="s">
        <v>8</v>
      </c>
      <c r="B27" s="29" t="s">
        <v>13</v>
      </c>
      <c r="C27" s="171">
        <f t="shared" ref="C27:H27" si="33">(100*30+99.38*31+99.7887912087912*30+100*31+99.4653185376715*31+100*30+100*31+C2*C26)/(C2+30+31+30+31+31+30+31)</f>
        <v>99.804040050844435</v>
      </c>
      <c r="D27" s="171">
        <f t="shared" si="33"/>
        <v>99.804947272831271</v>
      </c>
      <c r="E27" s="171">
        <f t="shared" si="33"/>
        <v>99.805846133325133</v>
      </c>
      <c r="F27" s="171">
        <f t="shared" si="33"/>
        <v>99.806736747392449</v>
      </c>
      <c r="G27" s="171">
        <f t="shared" si="33"/>
        <v>99.807619227997961</v>
      </c>
      <c r="H27" s="171">
        <f t="shared" si="33"/>
        <v>99.808493686052515</v>
      </c>
      <c r="I27" s="171">
        <f t="shared" ref="I27:J27" si="34">(100*30+99.38*31+99.7887912087912*30+100*31+99.4653185376715*31+100*30+100*31+I2*I26)/(I2+30+31+30+31+31+30+31)</f>
        <v>99.809360230459518</v>
      </c>
      <c r="J27" s="171">
        <f t="shared" si="34"/>
        <v>99.810218968160143</v>
      </c>
      <c r="K27" s="171">
        <f t="shared" ref="K27:L27" si="35">(100*30+99.38*31+99.7887912087912*30+100*31+99.4653185376715*31+100*30+100*31+K2*K26)/(K2+30+31+30+31+31+30+31)</f>
        <v>99.811070004177367</v>
      </c>
      <c r="L27" s="171">
        <f t="shared" si="35"/>
        <v>99.811913441658717</v>
      </c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15">
        <v>99.832965596495015</v>
      </c>
    </row>
    <row r="28" spans="1:37" ht="30" customHeight="1" x14ac:dyDescent="0.25">
      <c r="A28" s="4" t="s">
        <v>69</v>
      </c>
      <c r="B28" s="29" t="s">
        <v>70</v>
      </c>
      <c r="C28" s="134">
        <f>Totalizer!D29</f>
        <v>3872</v>
      </c>
      <c r="D28" s="134">
        <f>Totalizer!E29</f>
        <v>3902</v>
      </c>
      <c r="E28" s="134">
        <f>Totalizer!F29</f>
        <v>4028</v>
      </c>
      <c r="F28" s="134">
        <f>Totalizer!G29</f>
        <v>3906</v>
      </c>
      <c r="G28" s="134">
        <f>Totalizer!H29</f>
        <v>3934</v>
      </c>
      <c r="H28" s="134">
        <f>Totalizer!I29</f>
        <v>3958</v>
      </c>
      <c r="I28" s="134">
        <f>Totalizer!J29</f>
        <v>3950</v>
      </c>
      <c r="J28" s="134">
        <f>Totalizer!K29</f>
        <v>3918</v>
      </c>
      <c r="K28" s="134">
        <f>Totalizer!L29</f>
        <v>3922</v>
      </c>
      <c r="L28" s="134">
        <f>Totalizer!M29</f>
        <v>3926</v>
      </c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15">
        <v>3684</v>
      </c>
    </row>
    <row r="29" spans="1:37" ht="30" customHeight="1" x14ac:dyDescent="0.25">
      <c r="A29" s="4" t="s">
        <v>71</v>
      </c>
      <c r="B29" s="29" t="s">
        <v>72</v>
      </c>
      <c r="C29" s="3">
        <f t="shared" ref="C29:D29" si="36">C28/(C6*1000)</f>
        <v>3.898525010063393</v>
      </c>
      <c r="D29" s="3">
        <f t="shared" si="36"/>
        <v>3.932209745832167</v>
      </c>
      <c r="E29" s="3">
        <f t="shared" ref="E29:F29" si="37">E28/(E6*1000)</f>
        <v>3.8728309734198842</v>
      </c>
      <c r="F29" s="3">
        <f t="shared" si="37"/>
        <v>3.9137966595564575</v>
      </c>
      <c r="G29" s="3">
        <f t="shared" ref="G29:H29" si="38">G28/(G6*1000)</f>
        <v>3.9538907762169861</v>
      </c>
      <c r="H29" s="3">
        <f t="shared" si="38"/>
        <v>3.9127562852037574</v>
      </c>
      <c r="I29" s="3">
        <f t="shared" ref="I29:J29" si="39">I28/(I6*1000)</f>
        <v>3.78102386223672</v>
      </c>
      <c r="J29" s="3">
        <f t="shared" si="39"/>
        <v>3.8276295846412087</v>
      </c>
      <c r="K29" s="3">
        <f t="shared" ref="K29:L29" si="40">K28/(K6*1000)</f>
        <v>3.8217083725200713</v>
      </c>
      <c r="L29" s="3">
        <f t="shared" si="40"/>
        <v>3.8128968924096096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115">
        <v>4.0066476996703084</v>
      </c>
    </row>
    <row r="30" spans="1:37" s="42" customFormat="1" ht="9.75" customHeight="1" x14ac:dyDescent="0.25">
      <c r="A30" s="331"/>
      <c r="B30" s="331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</row>
    <row r="31" spans="1:37" ht="30" customHeight="1" x14ac:dyDescent="0.25">
      <c r="A31" s="329" t="s">
        <v>73</v>
      </c>
      <c r="B31" s="330"/>
      <c r="C31" s="333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  <c r="Y31" s="334"/>
      <c r="Z31" s="334"/>
      <c r="AA31" s="334"/>
      <c r="AB31" s="334"/>
      <c r="AC31" s="334"/>
      <c r="AD31" s="334"/>
      <c r="AE31" s="334"/>
      <c r="AF31" s="334"/>
      <c r="AG31" s="334"/>
    </row>
    <row r="32" spans="1:37" ht="30" customHeight="1" x14ac:dyDescent="0.25">
      <c r="A32" s="12" t="s">
        <v>3</v>
      </c>
      <c r="B32" s="223"/>
      <c r="C32" s="335" t="s">
        <v>210</v>
      </c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  <c r="AA32" s="336"/>
      <c r="AB32" s="336"/>
      <c r="AC32" s="336"/>
      <c r="AD32" s="336"/>
      <c r="AE32" s="336"/>
      <c r="AF32" s="336"/>
      <c r="AG32" s="336"/>
    </row>
    <row r="33" spans="1:34" ht="30" customHeight="1" x14ac:dyDescent="0.25">
      <c r="A33" s="10" t="s">
        <v>58</v>
      </c>
      <c r="B33" s="30" t="s">
        <v>5</v>
      </c>
      <c r="C33" s="213">
        <v>0.91494432487309652</v>
      </c>
      <c r="D33" s="213">
        <v>0.9391933007692308</v>
      </c>
      <c r="E33" s="213">
        <v>0.99593595405705826</v>
      </c>
      <c r="F33" s="213">
        <v>0.9719293052830188</v>
      </c>
      <c r="G33" s="213">
        <v>0.94577305287356317</v>
      </c>
      <c r="H33" s="213">
        <v>0.97751051106941833</v>
      </c>
      <c r="I33" s="213">
        <v>0.99145153790680474</v>
      </c>
      <c r="J33" s="213">
        <v>1.0005512253521125</v>
      </c>
      <c r="K33" s="213">
        <v>1.0072010055248619</v>
      </c>
      <c r="L33" s="213">
        <v>1.0116166217597664</v>
      </c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115">
        <v>0.89937416013206772</v>
      </c>
    </row>
    <row r="34" spans="1:34" ht="30" customHeight="1" x14ac:dyDescent="0.25">
      <c r="A34" s="10" t="s">
        <v>59</v>
      </c>
      <c r="B34" s="30" t="s">
        <v>5</v>
      </c>
      <c r="C34" s="11">
        <v>0.91200000000000003</v>
      </c>
      <c r="D34" s="11">
        <v>0.93700000000000006</v>
      </c>
      <c r="E34" s="11">
        <v>0.99299999999999999</v>
      </c>
      <c r="F34" s="11">
        <v>0.96899999999999997</v>
      </c>
      <c r="G34" s="11">
        <v>0.94199999999999995</v>
      </c>
      <c r="H34" s="11">
        <v>0.97599999999999998</v>
      </c>
      <c r="I34" s="11">
        <v>0.98699999999999999</v>
      </c>
      <c r="J34" s="11">
        <v>0.998</v>
      </c>
      <c r="K34" s="11">
        <v>1.0049999999999999</v>
      </c>
      <c r="L34" s="11">
        <v>1.0089999999999999</v>
      </c>
      <c r="M34" s="11"/>
      <c r="N34" s="215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5">
        <v>0.89500000000000002</v>
      </c>
    </row>
    <row r="35" spans="1:34" ht="30" customHeight="1" x14ac:dyDescent="0.25">
      <c r="A35" s="10" t="s">
        <v>60</v>
      </c>
      <c r="B35" s="30" t="s">
        <v>5</v>
      </c>
      <c r="C35" s="11">
        <f>C33</f>
        <v>0.91494432487309652</v>
      </c>
      <c r="D35" s="11">
        <f t="shared" ref="D35:L35" si="41">D33+C35</f>
        <v>1.8541376256423274</v>
      </c>
      <c r="E35" s="11">
        <f t="shared" si="41"/>
        <v>2.8500735796993855</v>
      </c>
      <c r="F35" s="11">
        <f t="shared" si="41"/>
        <v>3.8220028849824041</v>
      </c>
      <c r="G35" s="11">
        <f t="shared" si="41"/>
        <v>4.7677759378559674</v>
      </c>
      <c r="H35" s="11">
        <f t="shared" si="41"/>
        <v>5.7452864489253859</v>
      </c>
      <c r="I35" s="11">
        <f t="shared" si="41"/>
        <v>6.7367379868321908</v>
      </c>
      <c r="J35" s="11">
        <f t="shared" si="41"/>
        <v>7.7372892121843035</v>
      </c>
      <c r="K35" s="11">
        <f t="shared" si="41"/>
        <v>8.7444902177091652</v>
      </c>
      <c r="L35" s="11">
        <f t="shared" si="41"/>
        <v>9.7561068394689308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5">
        <v>28.836369251004509</v>
      </c>
    </row>
    <row r="36" spans="1:34" ht="30" customHeight="1" x14ac:dyDescent="0.25">
      <c r="A36" s="10" t="s">
        <v>8</v>
      </c>
      <c r="B36" s="30" t="s">
        <v>5</v>
      </c>
      <c r="C36" s="224">
        <f t="shared" ref="C36:H36" si="42">205.4964+C35</f>
        <v>206.41134432487308</v>
      </c>
      <c r="D36" s="224">
        <f t="shared" si="42"/>
        <v>207.35053762564232</v>
      </c>
      <c r="E36" s="224">
        <f t="shared" si="42"/>
        <v>208.34647357969939</v>
      </c>
      <c r="F36" s="224">
        <f t="shared" si="42"/>
        <v>209.31840288498239</v>
      </c>
      <c r="G36" s="224">
        <f t="shared" si="42"/>
        <v>210.26417593785595</v>
      </c>
      <c r="H36" s="224">
        <f t="shared" si="42"/>
        <v>211.24168644892538</v>
      </c>
      <c r="I36" s="224">
        <f t="shared" ref="I36:J36" si="43">205.4964+I35</f>
        <v>212.23313798683219</v>
      </c>
      <c r="J36" s="224">
        <f t="shared" si="43"/>
        <v>213.23368921218429</v>
      </c>
      <c r="K36" s="224">
        <f t="shared" ref="K36:L36" si="44">205.4964+K35</f>
        <v>214.24089021770916</v>
      </c>
      <c r="L36" s="224">
        <f t="shared" si="44"/>
        <v>215.25250683946894</v>
      </c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115">
        <v>205.4963692510045</v>
      </c>
    </row>
    <row r="37" spans="1:34" ht="30" customHeight="1" x14ac:dyDescent="0.25">
      <c r="A37" s="10" t="s">
        <v>61</v>
      </c>
      <c r="B37" s="30" t="s">
        <v>10</v>
      </c>
      <c r="C37" s="225">
        <v>40</v>
      </c>
      <c r="D37" s="225">
        <v>43</v>
      </c>
      <c r="E37" s="225">
        <v>43</v>
      </c>
      <c r="F37" s="225">
        <v>43</v>
      </c>
      <c r="G37" s="225">
        <v>40</v>
      </c>
      <c r="H37" s="225">
        <v>42</v>
      </c>
      <c r="I37" s="225">
        <v>43</v>
      </c>
      <c r="J37" s="225">
        <v>43</v>
      </c>
      <c r="K37" s="225">
        <v>43</v>
      </c>
      <c r="L37" s="225">
        <v>43</v>
      </c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  <c r="AE37" s="225"/>
      <c r="AF37" s="225"/>
      <c r="AG37" s="225"/>
      <c r="AH37" s="115">
        <v>41</v>
      </c>
    </row>
    <row r="38" spans="1:34" ht="30" customHeight="1" x14ac:dyDescent="0.25">
      <c r="A38" s="10" t="s">
        <v>62</v>
      </c>
      <c r="B38" s="30" t="s">
        <v>10</v>
      </c>
      <c r="C38" s="225">
        <v>34</v>
      </c>
      <c r="D38" s="225">
        <v>34</v>
      </c>
      <c r="E38" s="225">
        <v>38</v>
      </c>
      <c r="F38" s="225">
        <v>39</v>
      </c>
      <c r="G38" s="225">
        <v>38</v>
      </c>
      <c r="H38" s="225">
        <v>40</v>
      </c>
      <c r="I38" s="225">
        <v>40</v>
      </c>
      <c r="J38" s="225">
        <v>41</v>
      </c>
      <c r="K38" s="225">
        <v>41</v>
      </c>
      <c r="L38" s="225">
        <v>41</v>
      </c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115">
        <v>31</v>
      </c>
    </row>
    <row r="39" spans="1:34" ht="30" customHeight="1" x14ac:dyDescent="0.25">
      <c r="A39" s="10" t="s">
        <v>63</v>
      </c>
      <c r="B39" s="30" t="s">
        <v>10</v>
      </c>
      <c r="C39" s="224">
        <f>C33*1000/24</f>
        <v>38.122680203045689</v>
      </c>
      <c r="D39" s="224">
        <f t="shared" ref="D39:E39" si="45">D33*1000/24</f>
        <v>39.13305419871795</v>
      </c>
      <c r="E39" s="224">
        <f t="shared" si="45"/>
        <v>41.497331419044095</v>
      </c>
      <c r="F39" s="224">
        <f t="shared" ref="F39:G39" si="46">F33*1000/24</f>
        <v>40.497054386792449</v>
      </c>
      <c r="G39" s="224">
        <f t="shared" si="46"/>
        <v>39.407210536398466</v>
      </c>
      <c r="H39" s="224">
        <f t="shared" ref="H39:I39" si="47">H33*1000/24</f>
        <v>40.729604627892435</v>
      </c>
      <c r="I39" s="224">
        <f t="shared" si="47"/>
        <v>41.310480746116866</v>
      </c>
      <c r="J39" s="224">
        <f t="shared" ref="J39:K39" si="48">J33*1000/24</f>
        <v>41.689634389671355</v>
      </c>
      <c r="K39" s="224">
        <f t="shared" si="48"/>
        <v>41.96670856353591</v>
      </c>
      <c r="L39" s="224">
        <f t="shared" ref="L39" si="49">L33*1000/24</f>
        <v>42.150692573323603</v>
      </c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115">
        <v>37.473923338836151</v>
      </c>
    </row>
    <row r="40" spans="1:34" ht="30" customHeight="1" x14ac:dyDescent="0.25">
      <c r="A40" s="13" t="s">
        <v>12</v>
      </c>
      <c r="B40" s="223"/>
      <c r="C40" s="337" t="s">
        <v>221</v>
      </c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38"/>
      <c r="AB40" s="338"/>
      <c r="AC40" s="338"/>
      <c r="AD40" s="338"/>
      <c r="AE40" s="338"/>
      <c r="AF40" s="338"/>
      <c r="AG40" s="338"/>
    </row>
    <row r="41" spans="1:34" ht="30" customHeight="1" x14ac:dyDescent="0.25">
      <c r="A41" s="10" t="s">
        <v>59</v>
      </c>
      <c r="B41" s="30" t="s">
        <v>13</v>
      </c>
      <c r="C41" s="164">
        <f t="shared" ref="C41:D41" si="50">(C33*100000)/(42*24)</f>
        <v>90.768286197727832</v>
      </c>
      <c r="D41" s="164">
        <f t="shared" si="50"/>
        <v>93.173938568376073</v>
      </c>
      <c r="E41" s="164">
        <f t="shared" ref="E41:F41" si="51">(E33*100000)/(42*24)</f>
        <v>98.80317004534308</v>
      </c>
      <c r="F41" s="164">
        <f t="shared" si="51"/>
        <v>96.421558063791551</v>
      </c>
      <c r="G41" s="164">
        <f t="shared" ref="G41:H41" si="52">(G33*100000)/(42*24)</f>
        <v>93.826691753329683</v>
      </c>
      <c r="H41" s="164">
        <f t="shared" si="52"/>
        <v>96.975249114029594</v>
      </c>
      <c r="I41" s="164">
        <f t="shared" ref="I41:J41" si="53">(I33*100000)/(42*24)</f>
        <v>98.358287490754435</v>
      </c>
      <c r="J41" s="164">
        <f t="shared" si="53"/>
        <v>99.261034261122276</v>
      </c>
      <c r="K41" s="164">
        <f t="shared" ref="K41:L41" si="54">(K33*100000)/(42*24)</f>
        <v>99.920734675085512</v>
      </c>
      <c r="L41" s="164">
        <f t="shared" si="54"/>
        <v>100.35879184124667</v>
      </c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15">
        <v>89.223626997228948</v>
      </c>
    </row>
    <row r="42" spans="1:34" ht="30" customHeight="1" x14ac:dyDescent="0.25">
      <c r="A42" s="10" t="s">
        <v>60</v>
      </c>
      <c r="B42" s="30" t="s">
        <v>13</v>
      </c>
      <c r="C42" s="164">
        <f>(C35*1000)/(42*24*C2)%</f>
        <v>90.768286197727832</v>
      </c>
      <c r="D42" s="164">
        <f t="shared" ref="D42:E42" si="55">(D35*1000)/(42*24*D2)%</f>
        <v>91.97111238305196</v>
      </c>
      <c r="E42" s="164">
        <f t="shared" si="55"/>
        <v>94.248464937148995</v>
      </c>
      <c r="F42" s="164">
        <f t="shared" ref="F42:G42" si="56">(F35*1000)/(42*24*F2)%</f>
        <v>94.791738218809627</v>
      </c>
      <c r="G42" s="164">
        <f t="shared" si="56"/>
        <v>94.598728925713644</v>
      </c>
      <c r="H42" s="164">
        <f t="shared" ref="H42:I42" si="57">(H35*1000)/(42*24*H2)%</f>
        <v>94.994815623766314</v>
      </c>
      <c r="I42" s="164">
        <f t="shared" si="57"/>
        <v>95.475311604764599</v>
      </c>
      <c r="J42" s="164">
        <f t="shared" ref="J42:K42" si="58">(J35*1000)/(42*24*J2)%</f>
        <v>95.948526936809316</v>
      </c>
      <c r="K42" s="164">
        <f t="shared" si="58"/>
        <v>96.389883352173328</v>
      </c>
      <c r="L42" s="164">
        <f t="shared" ref="L42" si="59">(L35*1000)/(42*24*L2)%</f>
        <v>96.786774201080661</v>
      </c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15">
        <v>92.282287669625276</v>
      </c>
    </row>
    <row r="43" spans="1:34" ht="30" customHeight="1" x14ac:dyDescent="0.25">
      <c r="A43" s="10" t="s">
        <v>8</v>
      </c>
      <c r="B43" s="30" t="s">
        <v>13</v>
      </c>
      <c r="C43" s="164">
        <f t="shared" ref="C43:H43" si="60">(C36*10^3)/((24*(30+31+30+31+31+30+31+C2)*42)%)</f>
        <v>95.243329791838832</v>
      </c>
      <c r="D43" s="164">
        <f t="shared" si="60"/>
        <v>95.233749276915376</v>
      </c>
      <c r="E43" s="164">
        <f t="shared" si="60"/>
        <v>95.250198220548697</v>
      </c>
      <c r="F43" s="164">
        <f t="shared" si="60"/>
        <v>95.255571430838785</v>
      </c>
      <c r="G43" s="164">
        <f t="shared" si="60"/>
        <v>95.24904686610131</v>
      </c>
      <c r="H43" s="164">
        <f t="shared" si="60"/>
        <v>95.256893239955531</v>
      </c>
      <c r="I43" s="164">
        <f t="shared" ref="I43:J43" si="61">(I36*10^3)/((24*(30+31+30+31+31+30+31+I2)*42)%)</f>
        <v>95.270926698103949</v>
      </c>
      <c r="J43" s="164">
        <f t="shared" si="61"/>
        <v>95.288900155595002</v>
      </c>
      <c r="K43" s="164">
        <f t="shared" ref="K43:L43" si="62">(K36*10^3)/((24*(30+31+30+31+31+30+31+K2)*42)%)</f>
        <v>95.309670713978363</v>
      </c>
      <c r="L43" s="164">
        <f t="shared" si="62"/>
        <v>95.332211433296536</v>
      </c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15">
        <v>110.79643787256541</v>
      </c>
    </row>
    <row r="44" spans="1:34" ht="30" customHeight="1" x14ac:dyDescent="0.25">
      <c r="A44" s="10" t="s">
        <v>64</v>
      </c>
      <c r="B44" s="30" t="s">
        <v>65</v>
      </c>
      <c r="C44" s="226">
        <v>24</v>
      </c>
      <c r="D44" s="226">
        <v>24</v>
      </c>
      <c r="E44" s="226">
        <v>24</v>
      </c>
      <c r="F44" s="226">
        <v>24</v>
      </c>
      <c r="G44" s="226">
        <v>24</v>
      </c>
      <c r="H44" s="226">
        <v>24</v>
      </c>
      <c r="I44" s="226">
        <v>24</v>
      </c>
      <c r="J44" s="226">
        <v>24</v>
      </c>
      <c r="K44" s="226">
        <v>24</v>
      </c>
      <c r="L44" s="226">
        <v>24</v>
      </c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115">
        <v>24</v>
      </c>
    </row>
    <row r="45" spans="1:34" ht="30" customHeight="1" x14ac:dyDescent="0.25">
      <c r="A45" s="10" t="s">
        <v>66</v>
      </c>
      <c r="B45" s="30" t="s">
        <v>65</v>
      </c>
      <c r="C45" s="226">
        <f>C44</f>
        <v>24</v>
      </c>
      <c r="D45" s="164">
        <f t="shared" ref="D45:L45" si="63">D44+C45</f>
        <v>48</v>
      </c>
      <c r="E45" s="164">
        <f t="shared" si="63"/>
        <v>72</v>
      </c>
      <c r="F45" s="164">
        <f t="shared" si="63"/>
        <v>96</v>
      </c>
      <c r="G45" s="164">
        <f t="shared" si="63"/>
        <v>120</v>
      </c>
      <c r="H45" s="164">
        <f t="shared" si="63"/>
        <v>144</v>
      </c>
      <c r="I45" s="164">
        <f t="shared" si="63"/>
        <v>168</v>
      </c>
      <c r="J45" s="164">
        <f t="shared" si="63"/>
        <v>192</v>
      </c>
      <c r="K45" s="164">
        <f t="shared" si="63"/>
        <v>216</v>
      </c>
      <c r="L45" s="164">
        <f t="shared" si="63"/>
        <v>240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15">
        <v>744</v>
      </c>
    </row>
    <row r="46" spans="1:34" ht="30" customHeight="1" x14ac:dyDescent="0.25">
      <c r="A46" s="10" t="s">
        <v>67</v>
      </c>
      <c r="B46" s="30" t="s">
        <v>65</v>
      </c>
      <c r="C46" s="11">
        <f t="shared" ref="C46:H46" si="64">5114.253+C45</f>
        <v>5138.2529999999997</v>
      </c>
      <c r="D46" s="11">
        <f t="shared" si="64"/>
        <v>5162.2529999999997</v>
      </c>
      <c r="E46" s="11">
        <f t="shared" si="64"/>
        <v>5186.2529999999997</v>
      </c>
      <c r="F46" s="11">
        <f t="shared" si="64"/>
        <v>5210.2529999999997</v>
      </c>
      <c r="G46" s="11">
        <f t="shared" si="64"/>
        <v>5234.2529999999997</v>
      </c>
      <c r="H46" s="11">
        <f t="shared" si="64"/>
        <v>5258.2529999999997</v>
      </c>
      <c r="I46" s="11">
        <f t="shared" ref="I46:J46" si="65">5114.253+I45</f>
        <v>5282.2529999999997</v>
      </c>
      <c r="J46" s="11">
        <f t="shared" si="65"/>
        <v>5306.2529999999997</v>
      </c>
      <c r="K46" s="11">
        <f t="shared" ref="K46:L46" si="66">5114.253+K45</f>
        <v>5330.2529999999997</v>
      </c>
      <c r="L46" s="11">
        <f t="shared" si="66"/>
        <v>5354.2529999999997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5">
        <v>5114.2533333333304</v>
      </c>
    </row>
    <row r="47" spans="1:34" ht="30" customHeight="1" x14ac:dyDescent="0.25">
      <c r="A47" s="13" t="s">
        <v>200</v>
      </c>
      <c r="B47" s="13"/>
      <c r="C47" s="339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340"/>
      <c r="AB47" s="340"/>
      <c r="AC47" s="340"/>
      <c r="AD47" s="340"/>
      <c r="AE47" s="340"/>
      <c r="AF47" s="340"/>
      <c r="AG47" s="340"/>
    </row>
    <row r="48" spans="1:34" ht="30" customHeight="1" x14ac:dyDescent="0.25">
      <c r="A48" s="247" t="s">
        <v>59</v>
      </c>
      <c r="B48" s="248" t="s">
        <v>13</v>
      </c>
      <c r="C48" s="224">
        <f>MIN(C52,(BOILERS!D61/6*100))</f>
        <v>96.027777777777771</v>
      </c>
      <c r="D48" s="224">
        <f>MIN(D52,(BOILERS!E61/6*100))</f>
        <v>95</v>
      </c>
      <c r="E48" s="224">
        <f>MIN(E52,(BOILERS!F61/6*100))</f>
        <v>100</v>
      </c>
      <c r="F48" s="224">
        <f>MIN(F52,(BOILERS!G61/6*100))</f>
        <v>100</v>
      </c>
      <c r="G48" s="224">
        <f>MIN(G52,(BOILERS!H61/6*100))</f>
        <v>100</v>
      </c>
      <c r="H48" s="224">
        <f>MIN(H52,(BOILERS!I61/6*100))</f>
        <v>100</v>
      </c>
      <c r="I48" s="224">
        <f>MIN(I52,(BOILERS!J61/6*100))</f>
        <v>100</v>
      </c>
      <c r="J48" s="224">
        <f>MIN(J52,(BOILERS!K61/6*100))</f>
        <v>100</v>
      </c>
      <c r="K48" s="224">
        <f>MIN(K52,(BOILERS!L61/6*100))</f>
        <v>100</v>
      </c>
      <c r="L48" s="224">
        <f>MIN(L52,(BOILERS!M61/6*100))</f>
        <v>100</v>
      </c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>
        <v>95.833333333333343</v>
      </c>
    </row>
    <row r="49" spans="1:128" ht="30" customHeight="1" x14ac:dyDescent="0.25">
      <c r="A49" s="247" t="s">
        <v>60</v>
      </c>
      <c r="B49" s="248" t="s">
        <v>13</v>
      </c>
      <c r="C49" s="224">
        <f>C48</f>
        <v>96.027777777777771</v>
      </c>
      <c r="D49" s="224">
        <f>AVERAGE($C48:D48)</f>
        <v>95.513888888888886</v>
      </c>
      <c r="E49" s="224">
        <f>AVERAGE($C48:E48)</f>
        <v>97.009259259259252</v>
      </c>
      <c r="F49" s="224">
        <f>AVERAGE($C48:F48)</f>
        <v>97.756944444444443</v>
      </c>
      <c r="G49" s="224">
        <f>AVERAGE($C48:G48)</f>
        <v>98.205555555555549</v>
      </c>
      <c r="H49" s="224">
        <f>AVERAGE($C48:H48)</f>
        <v>98.504629629629633</v>
      </c>
      <c r="I49" s="224">
        <f>AVERAGE($C48:I48)</f>
        <v>98.718253968253975</v>
      </c>
      <c r="J49" s="224">
        <f>AVERAGE($C48:J48)</f>
        <v>98.878472222222229</v>
      </c>
      <c r="K49" s="224">
        <f>AVERAGE($C48:K48)</f>
        <v>99.003086419753089</v>
      </c>
      <c r="L49" s="224">
        <f>AVERAGE($C48:L48)</f>
        <v>99.102777777777789</v>
      </c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>
        <v>99.865591397849471</v>
      </c>
    </row>
    <row r="50" spans="1:128" ht="30" customHeight="1" x14ac:dyDescent="0.25">
      <c r="A50" s="247" t="s">
        <v>8</v>
      </c>
      <c r="B50" s="248" t="s">
        <v>13</v>
      </c>
      <c r="C50" s="224">
        <f t="shared" ref="C50:H50" si="67">((99.99*30+97.07*31+98.5187942612942*30+93.6104390681003*31+96.2605061369277*31+97.84*30+100*31+C2*C49))/(C2+30+31+30+31+31+30+31)</f>
        <v>97.589120497546361</v>
      </c>
      <c r="D50" s="224">
        <f t="shared" si="67"/>
        <v>97.577133828576251</v>
      </c>
      <c r="E50" s="224">
        <f t="shared" si="67"/>
        <v>97.588299110472207</v>
      </c>
      <c r="F50" s="224">
        <f t="shared" si="67"/>
        <v>97.599361958589313</v>
      </c>
      <c r="G50" s="224">
        <f t="shared" si="67"/>
        <v>97.610323776130002</v>
      </c>
      <c r="H50" s="224">
        <f t="shared" si="67"/>
        <v>97.621185940783946</v>
      </c>
      <c r="I50" s="224">
        <f t="shared" ref="I50:J50" si="68">((99.99*30+97.07*31+98.5187942612942*30+93.6104390681003*31+96.2605061369277*31+97.84*30+100*31+I2*I49))/(I2+30+31+30+31+31+30+31)</f>
        <v>97.631949805305297</v>
      </c>
      <c r="J50" s="224">
        <f t="shared" si="68"/>
        <v>97.642616698074178</v>
      </c>
      <c r="K50" s="224">
        <f t="shared" ref="K50:L50" si="69">((99.99*30+97.07*31+98.5187942612942*30+93.6104390681003*31+96.2605061369277*31+97.84*30+100*31+K2*K49))/(K2+30+31+30+31+31+30+31)</f>
        <v>97.653187923643358</v>
      </c>
      <c r="L50" s="224">
        <f t="shared" si="69"/>
        <v>97.663664763269949</v>
      </c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>
        <v>97.792096550871022</v>
      </c>
    </row>
    <row r="51" spans="1:128" ht="30" customHeight="1" x14ac:dyDescent="0.25">
      <c r="A51" s="13" t="s">
        <v>68</v>
      </c>
      <c r="B51" s="223"/>
      <c r="C51" s="337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38"/>
      <c r="AB51" s="338"/>
      <c r="AC51" s="338"/>
      <c r="AD51" s="338"/>
      <c r="AE51" s="338"/>
      <c r="AF51" s="338"/>
      <c r="AG51" s="338"/>
    </row>
    <row r="52" spans="1:128" ht="30" customHeight="1" x14ac:dyDescent="0.25">
      <c r="A52" s="10" t="s">
        <v>59</v>
      </c>
      <c r="B52" s="30" t="s">
        <v>13</v>
      </c>
      <c r="C52" s="164">
        <f t="shared" ref="C52:D52" si="70">C44*42/(24*42)%</f>
        <v>100</v>
      </c>
      <c r="D52" s="164">
        <f t="shared" si="70"/>
        <v>100</v>
      </c>
      <c r="E52" s="164">
        <f t="shared" ref="E52:F52" si="71">E44*42/(24*42)%</f>
        <v>100</v>
      </c>
      <c r="F52" s="164">
        <f t="shared" si="71"/>
        <v>100</v>
      </c>
      <c r="G52" s="164">
        <f t="shared" ref="G52:H52" si="72">G44*42/(24*42)%</f>
        <v>100</v>
      </c>
      <c r="H52" s="164">
        <f t="shared" si="72"/>
        <v>100</v>
      </c>
      <c r="I52" s="164">
        <f t="shared" ref="I52:J52" si="73">I44*42/(24*42)%</f>
        <v>100</v>
      </c>
      <c r="J52" s="164">
        <f t="shared" si="73"/>
        <v>100</v>
      </c>
      <c r="K52" s="164">
        <f t="shared" ref="K52:L52" si="74">K44*42/(24*42)%</f>
        <v>100</v>
      </c>
      <c r="L52" s="164">
        <f t="shared" si="74"/>
        <v>100</v>
      </c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>
        <v>100</v>
      </c>
    </row>
    <row r="53" spans="1:128" s="263" customFormat="1" ht="32.15" customHeight="1" x14ac:dyDescent="0.25">
      <c r="A53" s="10" t="s">
        <v>74</v>
      </c>
      <c r="B53" s="30" t="s">
        <v>13</v>
      </c>
      <c r="C53" s="164">
        <f>C52</f>
        <v>100</v>
      </c>
      <c r="D53" s="164">
        <f>AVERAGE($C52:D52)</f>
        <v>100</v>
      </c>
      <c r="E53" s="164">
        <f>AVERAGE($C52:E52)</f>
        <v>100</v>
      </c>
      <c r="F53" s="164">
        <f>AVERAGE($C52:F52)</f>
        <v>100</v>
      </c>
      <c r="G53" s="164">
        <f>AVERAGE($C52:G52)</f>
        <v>100</v>
      </c>
      <c r="H53" s="164">
        <f>AVERAGE($C52:H52)</f>
        <v>100</v>
      </c>
      <c r="I53" s="164">
        <f>AVERAGE($C52:I52)</f>
        <v>100</v>
      </c>
      <c r="J53" s="164">
        <f>AVERAGE($C52:J52)</f>
        <v>100</v>
      </c>
      <c r="K53" s="164">
        <f>AVERAGE($C52:K52)</f>
        <v>100</v>
      </c>
      <c r="L53" s="164">
        <f>AVERAGE($C52:L52)</f>
        <v>100</v>
      </c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264">
        <v>100</v>
      </c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</row>
    <row r="54" spans="1:128" ht="38.25" customHeight="1" x14ac:dyDescent="0.25">
      <c r="A54" s="10" t="s">
        <v>8</v>
      </c>
      <c r="B54" s="30" t="s">
        <v>13</v>
      </c>
      <c r="C54" s="164">
        <f t="shared" ref="C54:H54" si="75">(100*30+97.07*31+99.0018681318681*30+100*31+99.2106277382748*31+100*30+100*31+C2*C53)/(C2+30+31+30+31+31+30+31)</f>
        <v>99.324444203918901</v>
      </c>
      <c r="D54" s="164">
        <f t="shared" si="75"/>
        <v>99.327571777048902</v>
      </c>
      <c r="E54" s="164">
        <f t="shared" si="75"/>
        <v>99.330670524620103</v>
      </c>
      <c r="F54" s="164">
        <f t="shared" si="75"/>
        <v>99.333740843314516</v>
      </c>
      <c r="G54" s="164">
        <f t="shared" si="75"/>
        <v>99.336783122568789</v>
      </c>
      <c r="H54" s="164">
        <f t="shared" si="75"/>
        <v>99.339797744738931</v>
      </c>
      <c r="I54" s="164">
        <f t="shared" ref="I54:J54" si="76">(100*30+97.07*31+99.0018681318681*30+100*31+99.2106277382748*31+100*30+100*31+I2*I53)/(I2+30+31+30+31+31+30+31)</f>
        <v>99.342785085260473</v>
      </c>
      <c r="J54" s="164">
        <f t="shared" si="76"/>
        <v>99.345745512804342</v>
      </c>
      <c r="K54" s="164">
        <f t="shared" ref="K54:L54" si="77">(100*30+97.07*31+99.0018681318681*30+100*31+99.2106277382748*31+100*30+100*31+K2*K53)/(K2+30+31+30+31+31+30+31)</f>
        <v>99.34867938942854</v>
      </c>
      <c r="L54" s="164">
        <f t="shared" si="77"/>
        <v>99.351587070725728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>
        <v>99.210627738274795</v>
      </c>
    </row>
    <row r="55" spans="1:128" ht="30" customHeight="1" x14ac:dyDescent="0.25">
      <c r="A55" s="9" t="s">
        <v>75</v>
      </c>
      <c r="B55" s="30" t="s">
        <v>70</v>
      </c>
      <c r="C55" s="227">
        <f>Totalizer!D30</f>
        <v>3524</v>
      </c>
      <c r="D55" s="227">
        <f>Totalizer!E30</f>
        <v>3650</v>
      </c>
      <c r="E55" s="227">
        <f>Totalizer!F30</f>
        <v>3852</v>
      </c>
      <c r="F55" s="227">
        <f>Totalizer!G30</f>
        <v>3752</v>
      </c>
      <c r="G55" s="227">
        <f>Totalizer!H30</f>
        <v>3698</v>
      </c>
      <c r="H55" s="227">
        <f>Totalizer!I30</f>
        <v>3866</v>
      </c>
      <c r="I55" s="227">
        <f>Totalizer!J30</f>
        <v>3898</v>
      </c>
      <c r="J55" s="227">
        <f>Totalizer!K30</f>
        <v>3896</v>
      </c>
      <c r="K55" s="227">
        <f>Totalizer!L30</f>
        <v>3908</v>
      </c>
      <c r="L55" s="227">
        <f>Totalizer!M30</f>
        <v>3920</v>
      </c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>
        <v>3478</v>
      </c>
    </row>
    <row r="56" spans="1:128" ht="30" customHeight="1" x14ac:dyDescent="0.25">
      <c r="A56" s="9" t="s">
        <v>71</v>
      </c>
      <c r="B56" s="30" t="s">
        <v>72</v>
      </c>
      <c r="C56" s="11">
        <f t="shared" ref="C56:D56" si="78">C55/(C33*1000)</f>
        <v>3.8516004790660694</v>
      </c>
      <c r="D56" s="11">
        <f t="shared" si="78"/>
        <v>3.8863139217566052</v>
      </c>
      <c r="E56" s="11">
        <f t="shared" ref="E56:F56" si="79">E55/(E33*1000)</f>
        <v>3.8677185860279875</v>
      </c>
      <c r="F56" s="11">
        <f t="shared" si="79"/>
        <v>3.8603630733281005</v>
      </c>
      <c r="G56" s="11">
        <f t="shared" ref="G56:H56" si="80">G55/(G33*1000)</f>
        <v>3.9100289321674842</v>
      </c>
      <c r="H56" s="11">
        <f t="shared" si="80"/>
        <v>3.9549446847077987</v>
      </c>
      <c r="I56" s="11">
        <f t="shared" ref="I56:J56" si="81">I55/(I33*1000)</f>
        <v>3.9316092123167468</v>
      </c>
      <c r="J56" s="11">
        <f t="shared" si="81"/>
        <v>3.8938536091732088</v>
      </c>
      <c r="K56" s="11">
        <f t="shared" ref="K56:L56" si="82">K55/(K33*1000)</f>
        <v>3.8800596688875468</v>
      </c>
      <c r="L56" s="11">
        <f t="shared" si="82"/>
        <v>3.8749857561463652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5">
        <v>3.8671335626201189</v>
      </c>
    </row>
    <row r="57" spans="1:128" ht="30" customHeight="1" x14ac:dyDescent="0.3">
      <c r="A57" s="53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42"/>
      <c r="AH57" s="115"/>
    </row>
    <row r="58" spans="1:128" ht="30" customHeight="1" x14ac:dyDescent="0.25">
      <c r="A58" s="66" t="s">
        <v>76</v>
      </c>
      <c r="B58" s="314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  <c r="AE58" s="315"/>
      <c r="AF58" s="315"/>
      <c r="AG58" s="315"/>
      <c r="AH58" s="115"/>
    </row>
    <row r="59" spans="1:128" ht="30" customHeight="1" x14ac:dyDescent="0.25">
      <c r="A59" s="37" t="s">
        <v>3</v>
      </c>
      <c r="B59" s="228"/>
      <c r="C59" s="319" t="s">
        <v>211</v>
      </c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20"/>
      <c r="AG59" s="320"/>
      <c r="AH59" s="115"/>
    </row>
    <row r="60" spans="1:128" ht="30" customHeight="1" x14ac:dyDescent="0.25">
      <c r="A60" s="21" t="s">
        <v>77</v>
      </c>
      <c r="B60" s="31" t="s">
        <v>5</v>
      </c>
      <c r="C60" s="211">
        <v>0.66112753299492388</v>
      </c>
      <c r="D60" s="211">
        <v>0.67457533769230771</v>
      </c>
      <c r="E60" s="211">
        <v>0.67097799925898505</v>
      </c>
      <c r="F60" s="211">
        <v>0.68807379094339638</v>
      </c>
      <c r="G60" s="211">
        <v>0.67971163141762458</v>
      </c>
      <c r="H60" s="211">
        <v>0.68005085759849915</v>
      </c>
      <c r="I60" s="211">
        <v>0.68005338517011837</v>
      </c>
      <c r="J60" s="211">
        <v>0.6807357535211267</v>
      </c>
      <c r="K60" s="211">
        <v>0.68750237790055257</v>
      </c>
      <c r="L60" s="211">
        <v>0.70482307740051131</v>
      </c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115">
        <v>0.61599593314073464</v>
      </c>
    </row>
    <row r="61" spans="1:128" ht="30" customHeight="1" x14ac:dyDescent="0.25">
      <c r="A61" s="21" t="s">
        <v>78</v>
      </c>
      <c r="B61" s="31" t="s">
        <v>5</v>
      </c>
      <c r="C61" s="167">
        <v>0.65900000000000003</v>
      </c>
      <c r="D61" s="167">
        <v>0.67300000000000004</v>
      </c>
      <c r="E61" s="167">
        <v>0.66900000000000004</v>
      </c>
      <c r="F61" s="167">
        <v>0.68600000000000005</v>
      </c>
      <c r="G61" s="167">
        <v>0.67700000000000005</v>
      </c>
      <c r="H61" s="167">
        <v>0.67900000000000005</v>
      </c>
      <c r="I61" s="167">
        <v>0.67700000000000005</v>
      </c>
      <c r="J61" s="167">
        <v>0.67900000000000005</v>
      </c>
      <c r="K61" s="167">
        <v>0.68600000000000005</v>
      </c>
      <c r="L61" s="167">
        <v>0.70299999999999996</v>
      </c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15">
        <v>0.61299999999999999</v>
      </c>
    </row>
    <row r="62" spans="1:128" ht="30" customHeight="1" x14ac:dyDescent="0.25">
      <c r="A62" s="21" t="s">
        <v>79</v>
      </c>
      <c r="B62" s="31" t="s">
        <v>5</v>
      </c>
      <c r="C62" s="167">
        <f>C60</f>
        <v>0.66112753299492388</v>
      </c>
      <c r="D62" s="167">
        <f t="shared" ref="D62:L62" si="83">D60+C62</f>
        <v>1.3357028706872316</v>
      </c>
      <c r="E62" s="167">
        <f t="shared" si="83"/>
        <v>2.0066808699462166</v>
      </c>
      <c r="F62" s="167">
        <f t="shared" si="83"/>
        <v>2.6947546608896129</v>
      </c>
      <c r="G62" s="167">
        <f t="shared" si="83"/>
        <v>3.3744662923072375</v>
      </c>
      <c r="H62" s="167">
        <f t="shared" si="83"/>
        <v>4.0545171499057364</v>
      </c>
      <c r="I62" s="167">
        <f t="shared" si="83"/>
        <v>4.7345705350758545</v>
      </c>
      <c r="J62" s="167">
        <f t="shared" si="83"/>
        <v>5.4153062885969812</v>
      </c>
      <c r="K62" s="167">
        <f t="shared" si="83"/>
        <v>6.1028086664975341</v>
      </c>
      <c r="L62" s="167">
        <f t="shared" si="83"/>
        <v>6.8076317438980452</v>
      </c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15">
        <v>21.063443721345411</v>
      </c>
    </row>
    <row r="63" spans="1:128" ht="30" customHeight="1" x14ac:dyDescent="0.25">
      <c r="A63" s="21" t="s">
        <v>8</v>
      </c>
      <c r="B63" s="31" t="s">
        <v>5</v>
      </c>
      <c r="C63" s="172">
        <f t="shared" ref="C63:H63" si="84">143.328+C62</f>
        <v>143.98912753299493</v>
      </c>
      <c r="D63" s="172">
        <f t="shared" si="84"/>
        <v>144.66370287068725</v>
      </c>
      <c r="E63" s="172">
        <f t="shared" si="84"/>
        <v>145.33468086994623</v>
      </c>
      <c r="F63" s="172">
        <f t="shared" si="84"/>
        <v>146.0227546608896</v>
      </c>
      <c r="G63" s="172">
        <f t="shared" si="84"/>
        <v>146.70246629230724</v>
      </c>
      <c r="H63" s="172">
        <f t="shared" si="84"/>
        <v>147.38251714990574</v>
      </c>
      <c r="I63" s="172">
        <f t="shared" ref="I63:J63" si="85">143.328+I62</f>
        <v>148.06257053507585</v>
      </c>
      <c r="J63" s="172">
        <f t="shared" si="85"/>
        <v>148.74330628859698</v>
      </c>
      <c r="K63" s="172">
        <f t="shared" ref="K63:L63" si="86">143.328+K62</f>
        <v>149.43080866649754</v>
      </c>
      <c r="L63" s="172">
        <f t="shared" si="86"/>
        <v>150.13563174389805</v>
      </c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>
        <v>143.32844372134542</v>
      </c>
    </row>
    <row r="64" spans="1:128" ht="30" customHeight="1" x14ac:dyDescent="0.25">
      <c r="A64" s="21" t="s">
        <v>61</v>
      </c>
      <c r="B64" s="31" t="s">
        <v>10</v>
      </c>
      <c r="C64" s="168">
        <v>30</v>
      </c>
      <c r="D64" s="168">
        <v>30</v>
      </c>
      <c r="E64" s="168">
        <v>30</v>
      </c>
      <c r="F64" s="168">
        <v>30</v>
      </c>
      <c r="G64" s="168">
        <v>29</v>
      </c>
      <c r="H64" s="168">
        <v>29</v>
      </c>
      <c r="I64" s="168">
        <v>29</v>
      </c>
      <c r="J64" s="168">
        <v>29</v>
      </c>
      <c r="K64" s="168">
        <v>29</v>
      </c>
      <c r="L64" s="168">
        <v>30</v>
      </c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15">
        <v>29</v>
      </c>
    </row>
    <row r="65" spans="1:35" ht="30" customHeight="1" x14ac:dyDescent="0.25">
      <c r="A65" s="21" t="s">
        <v>62</v>
      </c>
      <c r="B65" s="31" t="s">
        <v>10</v>
      </c>
      <c r="C65" s="168">
        <v>27</v>
      </c>
      <c r="D65" s="168">
        <v>28</v>
      </c>
      <c r="E65" s="168">
        <v>28</v>
      </c>
      <c r="F65" s="168">
        <v>28</v>
      </c>
      <c r="G65" s="168">
        <v>29</v>
      </c>
      <c r="H65" s="168">
        <v>29</v>
      </c>
      <c r="I65" s="168">
        <v>29</v>
      </c>
      <c r="J65" s="168">
        <v>29</v>
      </c>
      <c r="K65" s="168">
        <v>29</v>
      </c>
      <c r="L65" s="168">
        <v>30</v>
      </c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15">
        <v>20</v>
      </c>
    </row>
    <row r="66" spans="1:35" ht="30" customHeight="1" x14ac:dyDescent="0.25">
      <c r="A66" s="21" t="s">
        <v>63</v>
      </c>
      <c r="B66" s="31" t="s">
        <v>10</v>
      </c>
      <c r="C66" s="168">
        <f>C60*1000/24</f>
        <v>27.546980541455159</v>
      </c>
      <c r="D66" s="168">
        <f t="shared" ref="D66:E66" si="87">D60*1000/24</f>
        <v>28.107305737179487</v>
      </c>
      <c r="E66" s="168">
        <f t="shared" si="87"/>
        <v>27.957416635791045</v>
      </c>
      <c r="F66" s="168">
        <f t="shared" ref="F66:G66" si="88">F60*1000/24</f>
        <v>28.669741289308181</v>
      </c>
      <c r="G66" s="168">
        <f t="shared" si="88"/>
        <v>28.32131797573436</v>
      </c>
      <c r="H66" s="168">
        <f t="shared" ref="H66:I66" si="89">H60*1000/24</f>
        <v>28.335452399937466</v>
      </c>
      <c r="I66" s="168">
        <f t="shared" si="89"/>
        <v>28.335557715421601</v>
      </c>
      <c r="J66" s="168">
        <f t="shared" ref="J66:K66" si="90">J60*1000/24</f>
        <v>28.363989730046949</v>
      </c>
      <c r="K66" s="168">
        <f t="shared" si="90"/>
        <v>28.645932412523024</v>
      </c>
      <c r="L66" s="168">
        <f t="shared" ref="L66" si="91">L60*1000/24</f>
        <v>29.367628225021306</v>
      </c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15">
        <v>25.666497214197278</v>
      </c>
    </row>
    <row r="67" spans="1:35" ht="30" customHeight="1" x14ac:dyDescent="0.25">
      <c r="A67" s="38" t="s">
        <v>12</v>
      </c>
      <c r="B67" s="229"/>
      <c r="C67" s="321" t="s">
        <v>222</v>
      </c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22"/>
      <c r="AB67" s="322"/>
      <c r="AC67" s="322"/>
      <c r="AD67" s="322"/>
      <c r="AE67" s="322"/>
      <c r="AF67" s="322"/>
      <c r="AG67" s="322"/>
      <c r="AH67" s="115"/>
    </row>
    <row r="68" spans="1:35" ht="30" customHeight="1" x14ac:dyDescent="0.25">
      <c r="A68" s="21" t="s">
        <v>78</v>
      </c>
      <c r="B68" s="31" t="s">
        <v>13</v>
      </c>
      <c r="C68" s="165">
        <f>(C60*100000)/(28*24)</f>
        <v>98.382073362339852</v>
      </c>
      <c r="D68" s="165">
        <f t="shared" ref="D68:E68" si="92">(D60*100000)/(28*24)</f>
        <v>100.38323477564101</v>
      </c>
      <c r="E68" s="165">
        <f t="shared" si="92"/>
        <v>99.847916556396584</v>
      </c>
      <c r="F68" s="165">
        <f t="shared" ref="F68:G68" si="93">(F60*100000)/(28*24)</f>
        <v>102.39193317610064</v>
      </c>
      <c r="G68" s="165">
        <f t="shared" si="93"/>
        <v>101.14756419905127</v>
      </c>
      <c r="H68" s="165">
        <f t="shared" ref="H68:I68" si="94">(H60*100000)/(28*24)</f>
        <v>101.19804428549094</v>
      </c>
      <c r="I68" s="165">
        <f t="shared" si="94"/>
        <v>101.19842041222</v>
      </c>
      <c r="J68" s="165">
        <f t="shared" ref="J68:K68" si="95">(J60*100000)/(28*24)</f>
        <v>101.29996332159624</v>
      </c>
      <c r="K68" s="165">
        <f t="shared" si="95"/>
        <v>102.30690147329651</v>
      </c>
      <c r="L68" s="165">
        <f t="shared" ref="L68" si="96">(L60*100000)/(28*24)</f>
        <v>104.88438651793322</v>
      </c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15">
        <v>91.666061479275982</v>
      </c>
    </row>
    <row r="69" spans="1:35" ht="30" customHeight="1" x14ac:dyDescent="0.25">
      <c r="A69" s="21" t="s">
        <v>79</v>
      </c>
      <c r="B69" s="31" t="s">
        <v>13</v>
      </c>
      <c r="C69" s="165">
        <f t="shared" ref="C69:D69" si="97">(C62*1000)/(28*24*C2)%</f>
        <v>98.382073362339867</v>
      </c>
      <c r="D69" s="165">
        <f t="shared" si="97"/>
        <v>99.382654068990448</v>
      </c>
      <c r="E69" s="165">
        <f t="shared" ref="E69:F69" si="98">(E62*1000)/(28*24*E2)%</f>
        <v>99.537741564792498</v>
      </c>
      <c r="F69" s="165">
        <f t="shared" si="98"/>
        <v>100.25128946761953</v>
      </c>
      <c r="G69" s="165">
        <f t="shared" ref="G69:H69" si="99">(G62*1000)/(28*24*G2)%</f>
        <v>100.43054441390586</v>
      </c>
      <c r="H69" s="165">
        <f t="shared" si="99"/>
        <v>100.55846105917006</v>
      </c>
      <c r="I69" s="165">
        <f t="shared" ref="I69:J69" si="100">(I62*1000)/(28*24*I2)%</f>
        <v>100.64988382389147</v>
      </c>
      <c r="J69" s="165">
        <f t="shared" si="100"/>
        <v>100.73114376110456</v>
      </c>
      <c r="K69" s="165">
        <f t="shared" ref="K69:L69" si="101">(K62*1000)/(28*24*K2)%</f>
        <v>100.90622795134813</v>
      </c>
      <c r="L69" s="165">
        <f t="shared" si="101"/>
        <v>101.30404380800661</v>
      </c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15">
        <v>101.11100096651984</v>
      </c>
    </row>
    <row r="70" spans="1:35" ht="30" customHeight="1" x14ac:dyDescent="0.25">
      <c r="A70" s="21" t="s">
        <v>8</v>
      </c>
      <c r="B70" s="31" t="s">
        <v>13</v>
      </c>
      <c r="C70" s="165">
        <f t="shared" ref="C70:H70" si="102">(C63*10^3)/((24*(30+C2+31+30+31+31+30+31)*28)%)</f>
        <v>99.660248846203586</v>
      </c>
      <c r="D70" s="165">
        <f t="shared" si="102"/>
        <v>99.663596003284312</v>
      </c>
      <c r="E70" s="165">
        <f t="shared" si="102"/>
        <v>99.664445406754879</v>
      </c>
      <c r="F70" s="165">
        <f t="shared" si="102"/>
        <v>99.676956818540845</v>
      </c>
      <c r="G70" s="165">
        <f t="shared" si="102"/>
        <v>99.683671920734966</v>
      </c>
      <c r="H70" s="165">
        <f t="shared" si="102"/>
        <v>99.690555431483844</v>
      </c>
      <c r="I70" s="165">
        <f t="shared" ref="I70:J70" si="103">(I63*10^3)/((24*(30+I2+31+30+31+31+30+31)*28)%)</f>
        <v>99.697378349948735</v>
      </c>
      <c r="J70" s="165">
        <f t="shared" si="103"/>
        <v>99.704597201172362</v>
      </c>
      <c r="K70" s="165">
        <f t="shared" ref="K70:L70" si="104">(K63*10^3)/((24*(30+K2+31+30+31+31+30+31)*28)%)</f>
        <v>99.716266727056336</v>
      </c>
      <c r="L70" s="165">
        <f t="shared" si="104"/>
        <v>99.739338690408459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>
        <v>99.666530180063305</v>
      </c>
    </row>
    <row r="71" spans="1:35" ht="30" customHeight="1" x14ac:dyDescent="0.25">
      <c r="A71" s="21" t="s">
        <v>64</v>
      </c>
      <c r="B71" s="31" t="s">
        <v>65</v>
      </c>
      <c r="C71" s="168">
        <v>24</v>
      </c>
      <c r="D71" s="168">
        <v>24</v>
      </c>
      <c r="E71" s="168">
        <v>24</v>
      </c>
      <c r="F71" s="168">
        <v>24</v>
      </c>
      <c r="G71" s="168">
        <v>24</v>
      </c>
      <c r="H71" s="168">
        <v>24</v>
      </c>
      <c r="I71" s="168">
        <v>24</v>
      </c>
      <c r="J71" s="168">
        <v>24</v>
      </c>
      <c r="K71" s="168">
        <v>24</v>
      </c>
      <c r="L71" s="168">
        <v>24</v>
      </c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15">
        <v>24</v>
      </c>
    </row>
    <row r="72" spans="1:35" ht="30" customHeight="1" x14ac:dyDescent="0.25">
      <c r="A72" s="21" t="s">
        <v>66</v>
      </c>
      <c r="B72" s="31" t="s">
        <v>65</v>
      </c>
      <c r="C72" s="169">
        <f>C71</f>
        <v>24</v>
      </c>
      <c r="D72" s="169">
        <f t="shared" ref="D72:L72" si="105">D71+C72</f>
        <v>48</v>
      </c>
      <c r="E72" s="169">
        <f t="shared" si="105"/>
        <v>72</v>
      </c>
      <c r="F72" s="169">
        <f t="shared" si="105"/>
        <v>96</v>
      </c>
      <c r="G72" s="169">
        <f t="shared" si="105"/>
        <v>120</v>
      </c>
      <c r="H72" s="169">
        <f t="shared" si="105"/>
        <v>144</v>
      </c>
      <c r="I72" s="169">
        <f t="shared" si="105"/>
        <v>168</v>
      </c>
      <c r="J72" s="169">
        <f t="shared" si="105"/>
        <v>192</v>
      </c>
      <c r="K72" s="169">
        <f t="shared" si="105"/>
        <v>216</v>
      </c>
      <c r="L72" s="169">
        <f t="shared" si="105"/>
        <v>240</v>
      </c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15">
        <v>744</v>
      </c>
    </row>
    <row r="73" spans="1:35" ht="30" customHeight="1" x14ac:dyDescent="0.25">
      <c r="A73" s="21" t="s">
        <v>67</v>
      </c>
      <c r="B73" s="262" t="s">
        <v>65</v>
      </c>
      <c r="C73" s="169">
        <f t="shared" ref="C73:H73" si="106">4410+C72</f>
        <v>4434</v>
      </c>
      <c r="D73" s="169">
        <f t="shared" si="106"/>
        <v>4458</v>
      </c>
      <c r="E73" s="169">
        <f t="shared" si="106"/>
        <v>4482</v>
      </c>
      <c r="F73" s="169">
        <f t="shared" si="106"/>
        <v>4506</v>
      </c>
      <c r="G73" s="169">
        <f t="shared" si="106"/>
        <v>4530</v>
      </c>
      <c r="H73" s="169">
        <f t="shared" si="106"/>
        <v>4554</v>
      </c>
      <c r="I73" s="169">
        <f t="shared" ref="I73:J73" si="107">4410+I72</f>
        <v>4578</v>
      </c>
      <c r="J73" s="169">
        <f t="shared" si="107"/>
        <v>4602</v>
      </c>
      <c r="K73" s="169">
        <f t="shared" ref="K73:L73" si="108">4410+K72</f>
        <v>4626</v>
      </c>
      <c r="L73" s="169">
        <f t="shared" si="108"/>
        <v>4650</v>
      </c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69"/>
      <c r="AH73" s="115">
        <v>4410</v>
      </c>
    </row>
    <row r="74" spans="1:35" ht="30" customHeight="1" x14ac:dyDescent="0.25">
      <c r="A74" s="38" t="s">
        <v>200</v>
      </c>
      <c r="B74" s="316"/>
      <c r="C74" s="317"/>
      <c r="D74" s="317"/>
      <c r="E74" s="317"/>
      <c r="F74" s="317"/>
      <c r="G74" s="317"/>
      <c r="H74" s="317"/>
      <c r="I74" s="317"/>
      <c r="J74" s="317"/>
      <c r="K74" s="317"/>
      <c r="L74" s="317"/>
      <c r="M74" s="317"/>
      <c r="N74" s="317"/>
      <c r="O74" s="317"/>
      <c r="P74" s="317"/>
      <c r="Q74" s="317"/>
      <c r="R74" s="317"/>
      <c r="S74" s="317"/>
      <c r="T74" s="317"/>
      <c r="U74" s="317"/>
      <c r="V74" s="317"/>
      <c r="W74" s="317"/>
      <c r="X74" s="317"/>
      <c r="Y74" s="317"/>
      <c r="Z74" s="317"/>
      <c r="AA74" s="317"/>
      <c r="AB74" s="317"/>
      <c r="AC74" s="318"/>
      <c r="AD74" s="38"/>
      <c r="AE74" s="38"/>
      <c r="AF74" s="38"/>
      <c r="AG74" s="38"/>
      <c r="AH74" s="38"/>
      <c r="AI74" s="38"/>
    </row>
    <row r="75" spans="1:35" ht="30" customHeight="1" x14ac:dyDescent="0.25">
      <c r="A75" s="249" t="s">
        <v>59</v>
      </c>
      <c r="B75" s="250" t="s">
        <v>13</v>
      </c>
      <c r="C75" s="251">
        <f>MIN(C79,(BOILERS!D66/4*100))</f>
        <v>93.302083333333329</v>
      </c>
      <c r="D75" s="251">
        <f>MIN(D79,(BOILERS!E66/4*100))</f>
        <v>100</v>
      </c>
      <c r="E75" s="251">
        <f>MIN(E79,(BOILERS!F66/4*100))</f>
        <v>93.75</v>
      </c>
      <c r="F75" s="251">
        <f>MIN(F79,(BOILERS!G66/4*100))</f>
        <v>100</v>
      </c>
      <c r="G75" s="251">
        <f>MIN(G79,(BOILERS!H66/4*100))</f>
        <v>100</v>
      </c>
      <c r="H75" s="251">
        <f>MIN(H79,(BOILERS!I66/4*100))</f>
        <v>100</v>
      </c>
      <c r="I75" s="251">
        <f>MIN(I79,(BOILERS!J66/4*100))</f>
        <v>100</v>
      </c>
      <c r="J75" s="251">
        <f>MIN(J79,(BOILERS!K66/4*100))</f>
        <v>100</v>
      </c>
      <c r="K75" s="251">
        <f>MIN(K79,(BOILERS!L66/4*100))</f>
        <v>100</v>
      </c>
      <c r="L75" s="251">
        <f>MIN(L79,(BOILERS!M66/4*100))</f>
        <v>100</v>
      </c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>
        <v>92.291666666666671</v>
      </c>
    </row>
    <row r="76" spans="1:35" ht="30" customHeight="1" x14ac:dyDescent="0.25">
      <c r="A76" s="249" t="s">
        <v>60</v>
      </c>
      <c r="B76" s="250" t="s">
        <v>13</v>
      </c>
      <c r="C76" s="251">
        <f>C75</f>
        <v>93.302083333333329</v>
      </c>
      <c r="D76" s="165">
        <f>AVERAGE($C75:D75)</f>
        <v>96.651041666666657</v>
      </c>
      <c r="E76" s="165">
        <f>AVERAGE($C75:E75)</f>
        <v>95.684027777777771</v>
      </c>
      <c r="F76" s="165">
        <f>AVERAGE($C75:F75)</f>
        <v>96.763020833333329</v>
      </c>
      <c r="G76" s="165">
        <f>AVERAGE($C75:G75)</f>
        <v>97.410416666666663</v>
      </c>
      <c r="H76" s="165">
        <f>AVERAGE($C75:H75)</f>
        <v>97.842013888888872</v>
      </c>
      <c r="I76" s="165">
        <f>AVERAGE($C75:I75)</f>
        <v>98.150297619047606</v>
      </c>
      <c r="J76" s="165">
        <f>AVERAGE($C75:J75)</f>
        <v>98.381510416666657</v>
      </c>
      <c r="K76" s="165">
        <f>AVERAGE($C75:K75)</f>
        <v>98.561342592592581</v>
      </c>
      <c r="L76" s="165">
        <f>AVERAGE($C75:L75)</f>
        <v>98.705208333333331</v>
      </c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>
        <v>99.684699831989235</v>
      </c>
    </row>
    <row r="77" spans="1:35" ht="30" customHeight="1" x14ac:dyDescent="0.25">
      <c r="A77" s="249" t="s">
        <v>8</v>
      </c>
      <c r="B77" s="250" t="s">
        <v>13</v>
      </c>
      <c r="C77" s="251">
        <f t="shared" ref="C77:H77" si="109">((100*30+99.2*31+99.6170772006379*30+100*31+99.7628255948963*31+99.62*30+100*31+C2*C76))/(C2+30+31+30+31+31+30+31)</f>
        <v>99.712846478112809</v>
      </c>
      <c r="D77" s="251">
        <f t="shared" si="109"/>
        <v>99.71417589256599</v>
      </c>
      <c r="E77" s="251">
        <f t="shared" si="109"/>
        <v>99.686691211033434</v>
      </c>
      <c r="F77" s="251">
        <f t="shared" si="109"/>
        <v>99.688128407313087</v>
      </c>
      <c r="G77" s="251">
        <f t="shared" si="109"/>
        <v>99.689552478512582</v>
      </c>
      <c r="H77" s="251">
        <f t="shared" si="109"/>
        <v>99.690963603610243</v>
      </c>
      <c r="I77" s="251">
        <f t="shared" ref="I77:J77" si="110">((100*30+99.2*31+99.6170772006379*30+100*31+99.7628255948963*31+99.62*30+100*31+I2*I76))/(I2+30+31+30+31+31+30+31)</f>
        <v>99.692361958345046</v>
      </c>
      <c r="J77" s="251">
        <f t="shared" si="110"/>
        <v>99.693747715289433</v>
      </c>
      <c r="K77" s="251">
        <f t="shared" ref="K77:L77" si="111">((100*30+99.2*31+99.6170772006379*30+100*31+99.7628255948963*31+99.62*30+100*31+K2*K76))/(K2+30+31+30+31+31+30+31)</f>
        <v>99.695121043920423</v>
      </c>
      <c r="L77" s="251">
        <f t="shared" si="111"/>
        <v>99.696482110688635</v>
      </c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>
        <v>99.69894124712944</v>
      </c>
    </row>
    <row r="78" spans="1:35" ht="30" customHeight="1" x14ac:dyDescent="0.25">
      <c r="A78" s="38" t="s">
        <v>212</v>
      </c>
      <c r="B78" s="229"/>
      <c r="C78" s="323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324"/>
      <c r="AB78" s="324"/>
      <c r="AC78" s="324"/>
      <c r="AD78" s="324"/>
      <c r="AE78" s="324"/>
      <c r="AF78" s="324"/>
      <c r="AG78" s="324"/>
      <c r="AH78" s="115"/>
    </row>
    <row r="79" spans="1:35" ht="25.5" customHeight="1" x14ac:dyDescent="0.25">
      <c r="A79" s="21" t="s">
        <v>78</v>
      </c>
      <c r="B79" s="31" t="s">
        <v>13</v>
      </c>
      <c r="C79" s="165">
        <f t="shared" ref="C79:D79" si="112">C71*28/(24*28)%</f>
        <v>100</v>
      </c>
      <c r="D79" s="165">
        <f t="shared" si="112"/>
        <v>100</v>
      </c>
      <c r="E79" s="165">
        <f t="shared" ref="E79:F79" si="113">E71*28/(24*28)%</f>
        <v>100</v>
      </c>
      <c r="F79" s="165">
        <f t="shared" si="113"/>
        <v>100</v>
      </c>
      <c r="G79" s="165">
        <f t="shared" ref="G79:H79" si="114">G71*28/(24*28)%</f>
        <v>100</v>
      </c>
      <c r="H79" s="165">
        <f t="shared" si="114"/>
        <v>100</v>
      </c>
      <c r="I79" s="165">
        <f t="shared" ref="I79:J79" si="115">I71*28/(24*28)%</f>
        <v>100</v>
      </c>
      <c r="J79" s="165">
        <f t="shared" si="115"/>
        <v>100</v>
      </c>
      <c r="K79" s="165">
        <f t="shared" ref="K79:L79" si="116">K71*28/(24*28)%</f>
        <v>100</v>
      </c>
      <c r="L79" s="165">
        <f t="shared" si="116"/>
        <v>100</v>
      </c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15">
        <v>100</v>
      </c>
    </row>
    <row r="80" spans="1:35" ht="25.5" customHeight="1" x14ac:dyDescent="0.25">
      <c r="A80" s="21" t="s">
        <v>79</v>
      </c>
      <c r="B80" s="31" t="s">
        <v>13</v>
      </c>
      <c r="C80" s="165">
        <f>C79</f>
        <v>100</v>
      </c>
      <c r="D80" s="165">
        <f>AVERAGE($C79:D79)</f>
        <v>100</v>
      </c>
      <c r="E80" s="165">
        <f>AVERAGE($C79:E79)</f>
        <v>100</v>
      </c>
      <c r="F80" s="165">
        <f>AVERAGE($C79:F79)</f>
        <v>100</v>
      </c>
      <c r="G80" s="165">
        <f>AVERAGE($C79:G79)</f>
        <v>100</v>
      </c>
      <c r="H80" s="165">
        <f>AVERAGE($C79:H79)</f>
        <v>100</v>
      </c>
      <c r="I80" s="165">
        <f>AVERAGE($C79:I79)</f>
        <v>100</v>
      </c>
      <c r="J80" s="165">
        <f>AVERAGE($C79:J79)</f>
        <v>100</v>
      </c>
      <c r="K80" s="165">
        <f>AVERAGE($C79:K79)</f>
        <v>100</v>
      </c>
      <c r="L80" s="165">
        <f>AVERAGE($C79:L79)</f>
        <v>100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>
        <v>100</v>
      </c>
    </row>
    <row r="81" spans="1:34" ht="25.5" customHeight="1" x14ac:dyDescent="0.25">
      <c r="A81" s="21" t="s">
        <v>8</v>
      </c>
      <c r="B81" s="31" t="s">
        <v>13</v>
      </c>
      <c r="C81" s="165">
        <f t="shared" ref="C81:H81" si="117">(30*100+31*99.21+30*100+31*100+31*100+30*100+31*100+C2*C80)/(C2+30+31+30+31+31+30+31)</f>
        <v>99.886093023255825</v>
      </c>
      <c r="D81" s="165">
        <f t="shared" si="117"/>
        <v>99.88662037037038</v>
      </c>
      <c r="E81" s="165">
        <f t="shared" si="117"/>
        <v>99.887142857142862</v>
      </c>
      <c r="F81" s="165">
        <f t="shared" si="117"/>
        <v>99.887660550458719</v>
      </c>
      <c r="G81" s="165">
        <f t="shared" si="117"/>
        <v>99.888173515981748</v>
      </c>
      <c r="H81" s="165">
        <f t="shared" si="117"/>
        <v>99.888681818181823</v>
      </c>
      <c r="I81" s="165">
        <f t="shared" ref="I81:J81" si="118">(30*100+31*99.21+30*100+31*100+31*100+30*100+31*100+I2*I80)/(I2+30+31+30+31+31+30+31)</f>
        <v>99.889185520362005</v>
      </c>
      <c r="J81" s="165">
        <f t="shared" si="118"/>
        <v>99.889684684684696</v>
      </c>
      <c r="K81" s="165">
        <f t="shared" ref="K81:L81" si="119">(30*100+31*99.21+30*100+31*100+31*100+30*100+31*100+K2*K80)/(K2+30+31+30+31+31+30+31)</f>
        <v>99.890179372197323</v>
      </c>
      <c r="L81" s="165">
        <f t="shared" si="119"/>
        <v>99.890669642857148</v>
      </c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>
        <v>99.885560747663561</v>
      </c>
    </row>
    <row r="82" spans="1:34" ht="25.5" customHeight="1" x14ac:dyDescent="0.25">
      <c r="A82" s="39" t="s">
        <v>80</v>
      </c>
      <c r="B82" s="31" t="s">
        <v>70</v>
      </c>
      <c r="C82" s="169">
        <f>Totalizer!D31</f>
        <v>2562</v>
      </c>
      <c r="D82" s="169">
        <f>Totalizer!E31</f>
        <v>2664</v>
      </c>
      <c r="E82" s="169">
        <f>Totalizer!F31</f>
        <v>2637</v>
      </c>
      <c r="F82" s="169">
        <f>Totalizer!G31</f>
        <v>2651</v>
      </c>
      <c r="G82" s="169">
        <f>Totalizer!H31</f>
        <v>2623</v>
      </c>
      <c r="H82" s="169">
        <f>Totalizer!I31</f>
        <v>2608</v>
      </c>
      <c r="I82" s="169">
        <f>Totalizer!J31</f>
        <v>2653</v>
      </c>
      <c r="J82" s="169">
        <f>Totalizer!K31</f>
        <v>2588</v>
      </c>
      <c r="K82" s="169">
        <f>Totalizer!L31</f>
        <v>2623</v>
      </c>
      <c r="L82" s="169">
        <f>Totalizer!M31</f>
        <v>2642</v>
      </c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>
        <v>2394</v>
      </c>
    </row>
    <row r="83" spans="1:34" ht="25.5" customHeight="1" x14ac:dyDescent="0.25">
      <c r="A83" s="39" t="s">
        <v>71</v>
      </c>
      <c r="B83" s="31" t="s">
        <v>72</v>
      </c>
      <c r="C83" s="167">
        <f t="shared" ref="C83:D83" si="120">C82/(C60*1000)</f>
        <v>3.875197858413304</v>
      </c>
      <c r="D83" s="167">
        <f t="shared" si="120"/>
        <v>3.949151193569314</v>
      </c>
      <c r="E83" s="167">
        <f t="shared" ref="E83:F83" si="121">E82/(E60*1000)</f>
        <v>3.9300841501692321</v>
      </c>
      <c r="F83" s="167">
        <f t="shared" si="121"/>
        <v>3.852784446803732</v>
      </c>
      <c r="G83" s="167">
        <f t="shared" ref="G83:H83" si="122">G82/(G60*1000)</f>
        <v>3.8589894283983366</v>
      </c>
      <c r="H83" s="167">
        <f t="shared" si="122"/>
        <v>3.8350072952040279</v>
      </c>
      <c r="I83" s="167">
        <f t="shared" ref="I83:J83" si="123">I82/(I60*1000)</f>
        <v>3.9011643171753936</v>
      </c>
      <c r="J83" s="167">
        <f t="shared" si="123"/>
        <v>3.8017688752404877</v>
      </c>
      <c r="K83" s="167">
        <f t="shared" ref="K83:L83" si="124">K82/(K60*1000)</f>
        <v>3.815259531188731</v>
      </c>
      <c r="L83" s="167">
        <f t="shared" si="124"/>
        <v>3.7484584212879</v>
      </c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>
        <v>3.8863892944777776</v>
      </c>
    </row>
    <row r="102" spans="17:38" x14ac:dyDescent="0.25">
      <c r="AH102" s="231"/>
      <c r="AI102" s="231"/>
      <c r="AJ102" s="231"/>
      <c r="AK102" s="231"/>
      <c r="AL102" s="231"/>
    </row>
    <row r="106" spans="17:38" x14ac:dyDescent="0.25">
      <c r="Q106" s="231"/>
      <c r="R106" s="231"/>
      <c r="S106" s="231"/>
      <c r="T106" s="231"/>
      <c r="U106" s="175"/>
      <c r="V106" s="175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</row>
  </sheetData>
  <autoFilter ref="A1:AH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>
      <filters blank="1"/>
    </filterColumn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</autoFilter>
  <mergeCells count="20">
    <mergeCell ref="B74:AC74"/>
    <mergeCell ref="C59:AG59"/>
    <mergeCell ref="C67:AG67"/>
    <mergeCell ref="C78:AG78"/>
    <mergeCell ref="A2:B2"/>
    <mergeCell ref="A4:B4"/>
    <mergeCell ref="A31:B31"/>
    <mergeCell ref="A30:AF30"/>
    <mergeCell ref="C31:AG31"/>
    <mergeCell ref="C32:AG32"/>
    <mergeCell ref="C40:AG40"/>
    <mergeCell ref="C51:AG51"/>
    <mergeCell ref="C24:AG24"/>
    <mergeCell ref="C20:AG20"/>
    <mergeCell ref="C47:AG47"/>
    <mergeCell ref="B1:AG1"/>
    <mergeCell ref="C4:AG4"/>
    <mergeCell ref="C5:AG5"/>
    <mergeCell ref="C13:AG13"/>
    <mergeCell ref="B58:AG58"/>
  </mergeCells>
  <phoneticPr fontId="24" type="noConversion"/>
  <printOptions horizontalCentered="1" verticalCentered="1"/>
  <pageMargins left="0" right="0" top="0" bottom="0" header="0" footer="0"/>
  <pageSetup paperSize="9" scale="4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P92"/>
  <sheetViews>
    <sheetView zoomScale="90" zoomScaleNormal="90" zoomScaleSheetLayoutView="80" workbookViewId="0">
      <pane xSplit="3" ySplit="2" topLeftCell="G66" activePane="bottomRight" state="frozen"/>
      <selection pane="topRight" activeCell="D1" sqref="D1"/>
      <selection pane="bottomLeft" activeCell="A3" sqref="A3"/>
      <selection pane="bottomRight" activeCell="N68" sqref="N68"/>
    </sheetView>
  </sheetViews>
  <sheetFormatPr defaultColWidth="9.1796875" defaultRowHeight="14" x14ac:dyDescent="0.25"/>
  <cols>
    <col min="1" max="1" width="9" style="107" customWidth="1"/>
    <col min="2" max="2" width="31.54296875" style="108" customWidth="1"/>
    <col min="3" max="3" width="1.54296875" style="109" customWidth="1"/>
    <col min="4" max="4" width="14.453125" style="109" customWidth="1"/>
    <col min="5" max="5" width="13.81640625" style="73" customWidth="1"/>
    <col min="6" max="6" width="13.26953125" style="109" customWidth="1"/>
    <col min="7" max="7" width="11.54296875" style="109" customWidth="1"/>
    <col min="8" max="8" width="11.81640625" style="109" customWidth="1"/>
    <col min="9" max="9" width="11.453125" style="109" customWidth="1"/>
    <col min="10" max="10" width="11.54296875" style="109" customWidth="1"/>
    <col min="11" max="11" width="12.7265625" style="109" customWidth="1"/>
    <col min="12" max="12" width="12.54296875" style="109" customWidth="1"/>
    <col min="13" max="13" width="11.81640625" style="109" customWidth="1"/>
    <col min="14" max="14" width="13.1796875" style="109" customWidth="1"/>
    <col min="15" max="15" width="12.26953125" style="109" customWidth="1"/>
    <col min="16" max="16" width="12" style="109" customWidth="1"/>
    <col min="17" max="17" width="11.54296875" style="109" customWidth="1"/>
    <col min="18" max="18" width="12.26953125" style="109" customWidth="1"/>
    <col min="19" max="19" width="15.54296875" style="109" customWidth="1"/>
    <col min="20" max="20" width="13.26953125" style="109" customWidth="1"/>
    <col min="21" max="21" width="13.81640625" style="109" customWidth="1"/>
    <col min="22" max="22" width="14.7265625" style="109" customWidth="1"/>
    <col min="23" max="23" width="13.54296875" style="109" customWidth="1"/>
    <col min="24" max="24" width="12.81640625" style="109" customWidth="1"/>
    <col min="25" max="25" width="12.1796875" style="109" customWidth="1"/>
    <col min="26" max="26" width="13.1796875" style="109" customWidth="1"/>
    <col min="27" max="28" width="11.453125" style="109" customWidth="1"/>
    <col min="29" max="29" width="12.1796875" style="109" customWidth="1"/>
    <col min="30" max="30" width="11.26953125" style="109" customWidth="1"/>
    <col min="31" max="31" width="12.26953125" style="109" customWidth="1"/>
    <col min="32" max="32" width="12.453125" style="109" customWidth="1"/>
    <col min="33" max="33" width="11.1796875" style="109" customWidth="1"/>
    <col min="34" max="34" width="10.54296875" style="109" customWidth="1"/>
    <col min="35" max="35" width="11.1796875" style="109" customWidth="1"/>
    <col min="36" max="36" width="13.81640625" style="41" customWidth="1"/>
    <col min="37" max="37" width="13" style="72" customWidth="1"/>
    <col min="38" max="38" width="13.1796875" style="72" bestFit="1" customWidth="1"/>
    <col min="39" max="224" width="9.1796875" style="72"/>
    <col min="225" max="16384" width="9.1796875" style="73"/>
  </cols>
  <sheetData>
    <row r="1" spans="1:224" ht="25" x14ac:dyDescent="0.25">
      <c r="A1" s="345" t="s">
        <v>81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210"/>
      <c r="AI1" s="210"/>
      <c r="AJ1" s="347" t="s">
        <v>82</v>
      </c>
    </row>
    <row r="2" spans="1:224" s="41" customFormat="1" ht="18.649999999999999" customHeight="1" thickBot="1" x14ac:dyDescent="0.3">
      <c r="A2" s="348" t="s">
        <v>0</v>
      </c>
      <c r="B2" s="348"/>
      <c r="C2" s="189">
        <v>45596</v>
      </c>
      <c r="D2" s="189">
        <v>45597</v>
      </c>
      <c r="E2" s="189">
        <v>45598</v>
      </c>
      <c r="F2" s="189">
        <v>45599</v>
      </c>
      <c r="G2" s="189">
        <v>45600</v>
      </c>
      <c r="H2" s="189">
        <v>45601</v>
      </c>
      <c r="I2" s="189">
        <v>45602</v>
      </c>
      <c r="J2" s="189">
        <v>45603</v>
      </c>
      <c r="K2" s="189">
        <v>45604</v>
      </c>
      <c r="L2" s="189">
        <v>45605</v>
      </c>
      <c r="M2" s="189">
        <v>45606</v>
      </c>
      <c r="N2" s="189">
        <v>45607</v>
      </c>
      <c r="O2" s="189">
        <v>45608</v>
      </c>
      <c r="P2" s="189">
        <v>45609</v>
      </c>
      <c r="Q2" s="189">
        <v>45610</v>
      </c>
      <c r="R2" s="189">
        <v>45611</v>
      </c>
      <c r="S2" s="189">
        <v>45612</v>
      </c>
      <c r="T2" s="189">
        <v>45613</v>
      </c>
      <c r="U2" s="189">
        <v>45614</v>
      </c>
      <c r="V2" s="189">
        <v>45615</v>
      </c>
      <c r="W2" s="189">
        <v>45616</v>
      </c>
      <c r="X2" s="189">
        <v>45617</v>
      </c>
      <c r="Y2" s="189">
        <v>45618</v>
      </c>
      <c r="Z2" s="189">
        <v>45619</v>
      </c>
      <c r="AA2" s="189">
        <v>45620</v>
      </c>
      <c r="AB2" s="189">
        <v>45621</v>
      </c>
      <c r="AC2" s="189">
        <v>45622</v>
      </c>
      <c r="AD2" s="189">
        <v>45623</v>
      </c>
      <c r="AE2" s="189">
        <v>45624</v>
      </c>
      <c r="AF2" s="189">
        <v>45625</v>
      </c>
      <c r="AG2" s="189">
        <v>45626</v>
      </c>
      <c r="AH2" s="189">
        <v>45627</v>
      </c>
      <c r="AI2" s="290"/>
      <c r="AJ2" s="347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</row>
    <row r="3" spans="1:224" ht="20.25" customHeight="1" thickBot="1" x14ac:dyDescent="0.3">
      <c r="A3" s="349" t="s">
        <v>83</v>
      </c>
      <c r="B3" s="75" t="s">
        <v>84</v>
      </c>
      <c r="C3" s="208">
        <v>19635488</v>
      </c>
      <c r="D3" s="266">
        <v>19639360</v>
      </c>
      <c r="E3" s="267">
        <v>19643262</v>
      </c>
      <c r="F3" s="267">
        <v>19647290</v>
      </c>
      <c r="G3" s="267">
        <v>19651196</v>
      </c>
      <c r="H3" s="267">
        <v>19655130</v>
      </c>
      <c r="I3" s="267">
        <v>19659088</v>
      </c>
      <c r="J3" s="268">
        <v>19663038</v>
      </c>
      <c r="K3" s="267">
        <v>19666956</v>
      </c>
      <c r="L3" s="76">
        <v>19670878</v>
      </c>
      <c r="M3" s="76">
        <v>19674804</v>
      </c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208"/>
      <c r="AI3" s="208"/>
      <c r="AJ3" s="209">
        <f t="shared" ref="AJ3:AJ28" si="0">(AH3-D3)/30/24</f>
        <v>-27276.888888888891</v>
      </c>
      <c r="AK3" s="72">
        <v>19409156</v>
      </c>
      <c r="HP3" s="73"/>
    </row>
    <row r="4" spans="1:224" ht="20.25" customHeight="1" thickBot="1" x14ac:dyDescent="0.3">
      <c r="A4" s="349"/>
      <c r="B4" s="78" t="s">
        <v>85</v>
      </c>
      <c r="C4" s="208">
        <v>18614828</v>
      </c>
      <c r="D4" s="266">
        <v>18618352</v>
      </c>
      <c r="E4" s="266">
        <v>18622002</v>
      </c>
      <c r="F4" s="266">
        <v>18625854</v>
      </c>
      <c r="G4" s="266">
        <v>18629606</v>
      </c>
      <c r="H4" s="266">
        <v>18633304</v>
      </c>
      <c r="I4" s="269">
        <v>18637170</v>
      </c>
      <c r="J4" s="269">
        <v>18641068</v>
      </c>
      <c r="K4" s="266">
        <v>18644964</v>
      </c>
      <c r="L4" s="79">
        <v>18648872</v>
      </c>
      <c r="M4" s="79">
        <v>18652792</v>
      </c>
      <c r="N4" s="79"/>
      <c r="O4" s="79"/>
      <c r="P4" s="79"/>
      <c r="Q4" s="79"/>
      <c r="R4" s="79"/>
      <c r="S4" s="79"/>
      <c r="T4" s="79"/>
      <c r="U4" s="156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208"/>
      <c r="AI4" s="79"/>
      <c r="AJ4" s="77">
        <f t="shared" si="0"/>
        <v>-25858.822222222221</v>
      </c>
      <c r="AK4" s="72">
        <v>18399596</v>
      </c>
      <c r="HP4" s="73"/>
    </row>
    <row r="5" spans="1:224" ht="20.25" customHeight="1" thickBot="1" x14ac:dyDescent="0.3">
      <c r="A5" s="349"/>
      <c r="B5" s="78" t="s">
        <v>86</v>
      </c>
      <c r="C5" s="79">
        <v>11884915</v>
      </c>
      <c r="D5" s="266">
        <v>11887477</v>
      </c>
      <c r="E5" s="266">
        <v>11890141</v>
      </c>
      <c r="F5" s="266">
        <v>11892778</v>
      </c>
      <c r="G5" s="266">
        <v>11895429</v>
      </c>
      <c r="H5" s="266">
        <v>11898052</v>
      </c>
      <c r="I5" s="266">
        <v>11900660</v>
      </c>
      <c r="J5" s="266">
        <v>11903313</v>
      </c>
      <c r="K5" s="266">
        <v>11905901</v>
      </c>
      <c r="L5" s="79">
        <v>11908524</v>
      </c>
      <c r="M5" s="79">
        <v>11911166</v>
      </c>
      <c r="N5" s="79"/>
      <c r="O5" s="79"/>
      <c r="P5" s="79"/>
      <c r="Q5" s="79"/>
      <c r="R5" s="79"/>
      <c r="S5" s="79"/>
      <c r="T5" s="79"/>
      <c r="U5" s="156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7">
        <f t="shared" si="0"/>
        <v>-16510.384722222221</v>
      </c>
      <c r="AK5" s="72">
        <v>11727882</v>
      </c>
      <c r="HP5" s="73"/>
    </row>
    <row r="6" spans="1:224" ht="20.25" customHeight="1" thickBot="1" x14ac:dyDescent="0.3">
      <c r="A6" s="349"/>
      <c r="B6" s="78" t="s">
        <v>87</v>
      </c>
      <c r="C6" s="79">
        <v>3425061</v>
      </c>
      <c r="D6" s="266">
        <v>3425705</v>
      </c>
      <c r="E6" s="266">
        <v>3426374</v>
      </c>
      <c r="F6" s="266">
        <v>3427047</v>
      </c>
      <c r="G6" s="266">
        <v>3427722</v>
      </c>
      <c r="H6" s="266">
        <v>3428413</v>
      </c>
      <c r="I6" s="266">
        <v>3429078</v>
      </c>
      <c r="J6" s="266">
        <v>3429759</v>
      </c>
      <c r="K6" s="266">
        <v>3430460</v>
      </c>
      <c r="L6" s="79">
        <v>3431067</v>
      </c>
      <c r="M6" s="79">
        <v>3431677</v>
      </c>
      <c r="N6" s="79"/>
      <c r="O6" s="79"/>
      <c r="P6" s="79"/>
      <c r="Q6" s="79"/>
      <c r="R6" s="79"/>
      <c r="S6" s="79"/>
      <c r="T6" s="79"/>
      <c r="U6" s="156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7">
        <f t="shared" si="0"/>
        <v>-4757.9236111111113</v>
      </c>
      <c r="AK6" s="72">
        <v>3385243</v>
      </c>
      <c r="HP6" s="73"/>
    </row>
    <row r="7" spans="1:224" ht="20.25" customHeight="1" thickBot="1" x14ac:dyDescent="0.3">
      <c r="A7" s="349"/>
      <c r="B7" s="78" t="s">
        <v>88</v>
      </c>
      <c r="C7" s="79">
        <v>3422840</v>
      </c>
      <c r="D7" s="266">
        <v>3423506</v>
      </c>
      <c r="E7" s="266">
        <v>3424166</v>
      </c>
      <c r="F7" s="266">
        <v>3424644</v>
      </c>
      <c r="G7" s="266">
        <v>3425325</v>
      </c>
      <c r="H7" s="266">
        <v>3426001</v>
      </c>
      <c r="I7" s="266">
        <v>3426660</v>
      </c>
      <c r="J7" s="266">
        <v>3427338</v>
      </c>
      <c r="K7" s="266">
        <v>3428017</v>
      </c>
      <c r="L7" s="79">
        <v>3428596</v>
      </c>
      <c r="M7" s="79">
        <v>3429200</v>
      </c>
      <c r="N7" s="79"/>
      <c r="O7" s="79"/>
      <c r="P7" s="79"/>
      <c r="Q7" s="79"/>
      <c r="R7" s="79"/>
      <c r="S7" s="79"/>
      <c r="T7" s="79"/>
      <c r="U7" s="156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7">
        <f t="shared" si="0"/>
        <v>-4754.8694444444445</v>
      </c>
      <c r="AK7" s="72">
        <v>3382990</v>
      </c>
      <c r="HP7" s="73"/>
    </row>
    <row r="8" spans="1:224" ht="20.25" customHeight="1" thickBot="1" x14ac:dyDescent="0.3">
      <c r="A8" s="349"/>
      <c r="B8" s="78" t="s">
        <v>89</v>
      </c>
      <c r="C8" s="79">
        <v>3440521</v>
      </c>
      <c r="D8" s="266">
        <v>3441021</v>
      </c>
      <c r="E8" s="266">
        <v>3441703</v>
      </c>
      <c r="F8" s="266">
        <v>3442381</v>
      </c>
      <c r="G8" s="266">
        <v>3443077</v>
      </c>
      <c r="H8" s="266">
        <v>3443775</v>
      </c>
      <c r="I8" s="266">
        <v>3444450</v>
      </c>
      <c r="J8" s="266">
        <v>3445139</v>
      </c>
      <c r="K8" s="266">
        <v>3445863</v>
      </c>
      <c r="L8" s="79">
        <v>3446476</v>
      </c>
      <c r="M8" s="79">
        <v>3447112</v>
      </c>
      <c r="N8" s="79"/>
      <c r="O8" s="79"/>
      <c r="P8" s="79"/>
      <c r="Q8" s="79"/>
      <c r="R8" s="79"/>
      <c r="S8" s="79"/>
      <c r="T8" s="79"/>
      <c r="U8" s="156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7">
        <f t="shared" si="0"/>
        <v>-4779.1958333333332</v>
      </c>
      <c r="AK8" s="72">
        <v>3400646</v>
      </c>
      <c r="HP8" s="73"/>
    </row>
    <row r="9" spans="1:224" ht="20.25" customHeight="1" thickBot="1" x14ac:dyDescent="0.3">
      <c r="A9" s="349"/>
      <c r="B9" s="78" t="s">
        <v>90</v>
      </c>
      <c r="C9" s="79">
        <v>3425043</v>
      </c>
      <c r="D9" s="266">
        <v>3425691</v>
      </c>
      <c r="E9" s="266">
        <v>3426351</v>
      </c>
      <c r="F9" s="266">
        <v>3427024</v>
      </c>
      <c r="G9" s="266">
        <v>3427710</v>
      </c>
      <c r="H9" s="266">
        <v>3428385</v>
      </c>
      <c r="I9" s="266">
        <v>3429054</v>
      </c>
      <c r="J9" s="266">
        <v>3429721</v>
      </c>
      <c r="K9" s="266">
        <v>3430401</v>
      </c>
      <c r="L9" s="79">
        <v>3430989</v>
      </c>
      <c r="M9" s="79">
        <v>3431614</v>
      </c>
      <c r="N9" s="79"/>
      <c r="O9" s="79"/>
      <c r="P9" s="79"/>
      <c r="Q9" s="79"/>
      <c r="R9" s="79"/>
      <c r="S9" s="79"/>
      <c r="T9" s="79"/>
      <c r="U9" s="158"/>
      <c r="V9" s="79"/>
      <c r="W9" s="79"/>
      <c r="X9" s="79"/>
      <c r="Y9" s="79"/>
      <c r="Z9" s="79"/>
      <c r="AA9" s="79"/>
      <c r="AB9" s="79"/>
      <c r="AC9" s="79"/>
      <c r="AD9" s="79"/>
      <c r="AE9" s="152"/>
      <c r="AF9" s="79"/>
      <c r="AG9" s="79"/>
      <c r="AH9" s="79"/>
      <c r="AI9" s="79"/>
      <c r="AJ9" s="77">
        <f t="shared" si="0"/>
        <v>-4757.9041666666662</v>
      </c>
      <c r="AK9" s="72">
        <v>3386681</v>
      </c>
      <c r="HP9" s="73"/>
    </row>
    <row r="10" spans="1:224" ht="20.25" customHeight="1" thickBot="1" x14ac:dyDescent="0.3">
      <c r="A10" s="349"/>
      <c r="B10" s="78" t="s">
        <v>91</v>
      </c>
      <c r="C10" s="79">
        <v>3336161</v>
      </c>
      <c r="D10" s="266">
        <v>3336754</v>
      </c>
      <c r="E10" s="266">
        <v>3337452</v>
      </c>
      <c r="F10" s="266">
        <v>3338143</v>
      </c>
      <c r="G10" s="266">
        <v>3338820</v>
      </c>
      <c r="H10" s="266">
        <v>3339390</v>
      </c>
      <c r="I10" s="266">
        <v>3340013</v>
      </c>
      <c r="J10" s="266">
        <v>3340653</v>
      </c>
      <c r="K10" s="266">
        <v>3341322</v>
      </c>
      <c r="L10" s="79">
        <v>3342013</v>
      </c>
      <c r="M10" s="79">
        <v>3342721</v>
      </c>
      <c r="N10" s="79"/>
      <c r="O10" s="79"/>
      <c r="P10" s="79"/>
      <c r="Q10" s="79"/>
      <c r="R10" s="79"/>
      <c r="S10" s="79"/>
      <c r="T10" s="79"/>
      <c r="U10" s="158"/>
      <c r="V10" s="79"/>
      <c r="W10" s="79"/>
      <c r="X10" s="79"/>
      <c r="Y10" s="79"/>
      <c r="Z10" s="79"/>
      <c r="AA10" s="79"/>
      <c r="AB10" s="79"/>
      <c r="AC10" s="79"/>
      <c r="AD10" s="79"/>
      <c r="AE10" s="152"/>
      <c r="AF10" s="79"/>
      <c r="AG10" s="79"/>
      <c r="AH10" s="79"/>
      <c r="AI10" s="79"/>
      <c r="AJ10" s="77">
        <f t="shared" si="0"/>
        <v>-4634.3805555555555</v>
      </c>
      <c r="AK10" s="72">
        <v>3296666</v>
      </c>
      <c r="HP10" s="73"/>
    </row>
    <row r="11" spans="1:224" ht="20.25" customHeight="1" thickBot="1" x14ac:dyDescent="0.3">
      <c r="A11" s="349"/>
      <c r="B11" s="78" t="s">
        <v>92</v>
      </c>
      <c r="C11" s="79">
        <v>3280492</v>
      </c>
      <c r="D11" s="266">
        <v>3281197</v>
      </c>
      <c r="E11" s="266">
        <v>3281908</v>
      </c>
      <c r="F11" s="266">
        <v>3282606</v>
      </c>
      <c r="G11" s="266">
        <v>3283318</v>
      </c>
      <c r="H11" s="266">
        <v>3283914</v>
      </c>
      <c r="I11" s="266">
        <v>3284556</v>
      </c>
      <c r="J11" s="266">
        <v>3285252</v>
      </c>
      <c r="K11" s="266">
        <v>3285954</v>
      </c>
      <c r="L11" s="79">
        <v>3286684</v>
      </c>
      <c r="M11" s="79">
        <v>3287429</v>
      </c>
      <c r="N11" s="79"/>
      <c r="O11" s="79"/>
      <c r="P11" s="79"/>
      <c r="Q11" s="79"/>
      <c r="R11" s="79"/>
      <c r="S11" s="79"/>
      <c r="T11" s="79"/>
      <c r="U11" s="158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7">
        <f t="shared" si="0"/>
        <v>-4557.218055555556</v>
      </c>
      <c r="AK11" s="72">
        <v>3242241</v>
      </c>
      <c r="HP11" s="73"/>
    </row>
    <row r="12" spans="1:224" ht="20.25" customHeight="1" thickBot="1" x14ac:dyDescent="0.3">
      <c r="A12" s="349"/>
      <c r="B12" s="78" t="s">
        <v>93</v>
      </c>
      <c r="C12" s="79">
        <v>3203375</v>
      </c>
      <c r="D12" s="266">
        <v>3204013</v>
      </c>
      <c r="E12" s="267">
        <v>3204682</v>
      </c>
      <c r="F12" s="266">
        <v>3205350</v>
      </c>
      <c r="G12" s="266">
        <v>3206015</v>
      </c>
      <c r="H12" s="266">
        <v>3206691</v>
      </c>
      <c r="I12" s="266">
        <v>3207356</v>
      </c>
      <c r="J12" s="266">
        <v>3208031</v>
      </c>
      <c r="K12" s="266">
        <v>3208695</v>
      </c>
      <c r="L12" s="79">
        <v>3209380</v>
      </c>
      <c r="M12" s="79">
        <v>3210073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7">
        <f t="shared" si="0"/>
        <v>-4450.0180555555553</v>
      </c>
      <c r="AK12" s="72">
        <v>3166763</v>
      </c>
      <c r="HP12" s="73"/>
    </row>
    <row r="13" spans="1:224" ht="20.25" customHeight="1" thickBot="1" x14ac:dyDescent="0.3">
      <c r="A13" s="349"/>
      <c r="B13" s="78" t="s">
        <v>94</v>
      </c>
      <c r="C13" s="79">
        <v>3251240</v>
      </c>
      <c r="D13" s="266">
        <v>3251741</v>
      </c>
      <c r="E13" s="266">
        <v>3252413</v>
      </c>
      <c r="F13" s="266">
        <v>3253097</v>
      </c>
      <c r="G13" s="266">
        <v>3253763</v>
      </c>
      <c r="H13" s="266">
        <v>3254456</v>
      </c>
      <c r="I13" s="266">
        <v>3255120</v>
      </c>
      <c r="J13" s="266">
        <v>3255789</v>
      </c>
      <c r="K13" s="266">
        <v>3256493</v>
      </c>
      <c r="L13" s="79">
        <v>3257071</v>
      </c>
      <c r="M13" s="79">
        <v>3257865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7">
        <f t="shared" si="0"/>
        <v>-4516.3069444444445</v>
      </c>
      <c r="AK13" s="72">
        <v>3212891</v>
      </c>
      <c r="HP13" s="73"/>
    </row>
    <row r="14" spans="1:224" ht="20.25" customHeight="1" thickBot="1" x14ac:dyDescent="0.3">
      <c r="A14" s="349"/>
      <c r="B14" s="78" t="s">
        <v>95</v>
      </c>
      <c r="C14" s="79">
        <v>3329267</v>
      </c>
      <c r="D14" s="266">
        <v>3329912</v>
      </c>
      <c r="E14" s="266">
        <v>3330578</v>
      </c>
      <c r="F14" s="266">
        <v>3331260</v>
      </c>
      <c r="G14" s="266">
        <v>3331922</v>
      </c>
      <c r="H14" s="266">
        <v>3332603</v>
      </c>
      <c r="I14" s="266">
        <v>3333283</v>
      </c>
      <c r="J14" s="266">
        <v>3333958</v>
      </c>
      <c r="K14" s="266">
        <v>3334629</v>
      </c>
      <c r="L14" s="79">
        <v>3335310</v>
      </c>
      <c r="M14" s="79">
        <v>3335998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7">
        <f t="shared" si="0"/>
        <v>-4624.8777777777777</v>
      </c>
      <c r="AK14" s="72">
        <v>3294507</v>
      </c>
      <c r="HP14" s="73"/>
    </row>
    <row r="15" spans="1:224" ht="20.25" customHeight="1" thickBot="1" x14ac:dyDescent="0.3">
      <c r="A15" s="349"/>
      <c r="B15" s="78" t="s">
        <v>96</v>
      </c>
      <c r="C15" s="79">
        <v>3297746</v>
      </c>
      <c r="D15" s="266">
        <v>3298449</v>
      </c>
      <c r="E15" s="266">
        <v>3299127</v>
      </c>
      <c r="F15" s="266">
        <v>3299822</v>
      </c>
      <c r="G15" s="266">
        <v>3300524</v>
      </c>
      <c r="H15" s="266">
        <v>3301218</v>
      </c>
      <c r="I15" s="266">
        <v>3301928</v>
      </c>
      <c r="J15" s="266">
        <v>3302628</v>
      </c>
      <c r="K15" s="266">
        <v>3303305</v>
      </c>
      <c r="L15" s="79">
        <v>3304040</v>
      </c>
      <c r="M15" s="79">
        <v>3304743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7">
        <f t="shared" si="0"/>
        <v>-4581.1791666666668</v>
      </c>
      <c r="AK15" s="72">
        <v>3259688</v>
      </c>
      <c r="HP15" s="73"/>
    </row>
    <row r="16" spans="1:224" ht="20.25" customHeight="1" thickBot="1" x14ac:dyDescent="0.3">
      <c r="A16" s="349"/>
      <c r="B16" s="78" t="s">
        <v>97</v>
      </c>
      <c r="C16" s="79">
        <v>3402515</v>
      </c>
      <c r="D16" s="266">
        <v>3403253</v>
      </c>
      <c r="E16" s="266">
        <v>3403764</v>
      </c>
      <c r="F16" s="266">
        <v>3404494</v>
      </c>
      <c r="G16" s="266">
        <v>3405183</v>
      </c>
      <c r="H16" s="266">
        <v>3405815</v>
      </c>
      <c r="I16" s="266">
        <v>3406496</v>
      </c>
      <c r="J16" s="266">
        <v>3407203</v>
      </c>
      <c r="K16" s="266">
        <v>3407915</v>
      </c>
      <c r="L16" s="79">
        <v>3408649</v>
      </c>
      <c r="M16" s="79">
        <v>3409392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7">
        <f t="shared" si="0"/>
        <v>-4726.7402777777779</v>
      </c>
      <c r="AK16" s="72">
        <v>3360335</v>
      </c>
      <c r="HP16" s="73"/>
    </row>
    <row r="17" spans="1:224" ht="20.25" customHeight="1" thickBot="1" x14ac:dyDescent="0.3">
      <c r="A17" s="349"/>
      <c r="B17" s="78" t="s">
        <v>98</v>
      </c>
      <c r="C17" s="79">
        <v>3207232</v>
      </c>
      <c r="D17" s="266">
        <v>3207897</v>
      </c>
      <c r="E17" s="266">
        <v>3208604</v>
      </c>
      <c r="F17" s="266">
        <v>3209293</v>
      </c>
      <c r="G17" s="266">
        <v>3209977</v>
      </c>
      <c r="H17" s="266">
        <v>3210523</v>
      </c>
      <c r="I17" s="266">
        <v>3211114</v>
      </c>
      <c r="J17" s="266">
        <v>3211754</v>
      </c>
      <c r="K17" s="266">
        <v>3212430</v>
      </c>
      <c r="L17" s="79">
        <v>3213149</v>
      </c>
      <c r="M17" s="79">
        <v>3213869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7">
        <f t="shared" si="0"/>
        <v>-4455.4124999999995</v>
      </c>
      <c r="AK17" s="72">
        <v>3167173</v>
      </c>
      <c r="HP17" s="73"/>
    </row>
    <row r="18" spans="1:224" ht="20.25" customHeight="1" thickBot="1" x14ac:dyDescent="0.3">
      <c r="A18" s="349"/>
      <c r="B18" s="78" t="s">
        <v>99</v>
      </c>
      <c r="C18" s="79">
        <v>3135387</v>
      </c>
      <c r="D18" s="266">
        <v>3136032</v>
      </c>
      <c r="E18" s="266">
        <v>3136734</v>
      </c>
      <c r="F18" s="266">
        <v>3137445</v>
      </c>
      <c r="G18" s="266">
        <v>3138138</v>
      </c>
      <c r="H18" s="266">
        <v>3138844</v>
      </c>
      <c r="I18" s="266">
        <v>3139546</v>
      </c>
      <c r="J18" s="266">
        <v>3140244</v>
      </c>
      <c r="K18" s="266">
        <v>3140966</v>
      </c>
      <c r="L18" s="79">
        <v>3141685</v>
      </c>
      <c r="M18" s="79">
        <v>3142364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7">
        <f t="shared" si="0"/>
        <v>-4355.5999999999995</v>
      </c>
      <c r="AK18" s="72">
        <v>3096184</v>
      </c>
      <c r="HP18" s="73"/>
    </row>
    <row r="19" spans="1:224" ht="20.25" customHeight="1" thickBot="1" x14ac:dyDescent="0.3">
      <c r="A19" s="349"/>
      <c r="B19" s="78" t="s">
        <v>100</v>
      </c>
      <c r="C19" s="79">
        <v>3237028</v>
      </c>
      <c r="D19" s="266">
        <v>3237643</v>
      </c>
      <c r="E19" s="266">
        <v>3238303</v>
      </c>
      <c r="F19" s="266">
        <v>3238987</v>
      </c>
      <c r="G19" s="266">
        <v>3239637</v>
      </c>
      <c r="H19" s="266">
        <v>3240316</v>
      </c>
      <c r="I19" s="266">
        <v>3241012</v>
      </c>
      <c r="J19" s="266">
        <v>3241702</v>
      </c>
      <c r="K19" s="266">
        <v>3242421</v>
      </c>
      <c r="L19" s="79">
        <v>3243123</v>
      </c>
      <c r="M19" s="79">
        <v>3243804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7">
        <f t="shared" si="0"/>
        <v>-4496.7263888888892</v>
      </c>
      <c r="AK19" s="72">
        <v>3199332</v>
      </c>
      <c r="HP19" s="73"/>
    </row>
    <row r="20" spans="1:224" ht="20.25" customHeight="1" thickBot="1" x14ac:dyDescent="0.3">
      <c r="A20" s="349"/>
      <c r="B20" s="78" t="s">
        <v>101</v>
      </c>
      <c r="C20" s="79">
        <v>3113983</v>
      </c>
      <c r="D20" s="266">
        <v>3114431</v>
      </c>
      <c r="E20" s="266">
        <v>3115126</v>
      </c>
      <c r="F20" s="266">
        <v>3115646</v>
      </c>
      <c r="G20" s="266">
        <v>3116308</v>
      </c>
      <c r="H20" s="266">
        <v>3116993</v>
      </c>
      <c r="I20" s="266">
        <v>3117658</v>
      </c>
      <c r="J20" s="266">
        <v>3118357</v>
      </c>
      <c r="K20" s="266">
        <v>3119064</v>
      </c>
      <c r="L20" s="79">
        <v>3119749</v>
      </c>
      <c r="M20" s="79">
        <v>3120442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7">
        <f t="shared" si="0"/>
        <v>-4325.5986111111115</v>
      </c>
      <c r="AK20" s="72">
        <v>3076524</v>
      </c>
      <c r="HP20" s="73"/>
    </row>
    <row r="21" spans="1:224" ht="20.25" customHeight="1" thickBot="1" x14ac:dyDescent="0.3">
      <c r="A21" s="349"/>
      <c r="B21" s="78" t="s">
        <v>102</v>
      </c>
      <c r="C21" s="79">
        <v>3092908</v>
      </c>
      <c r="D21" s="266">
        <v>3093520</v>
      </c>
      <c r="E21" s="266">
        <v>3094185</v>
      </c>
      <c r="F21" s="266">
        <v>3094871</v>
      </c>
      <c r="G21" s="266">
        <v>3095534</v>
      </c>
      <c r="H21" s="266">
        <v>3096205</v>
      </c>
      <c r="I21" s="266">
        <v>3096886</v>
      </c>
      <c r="J21" s="266">
        <v>3097582</v>
      </c>
      <c r="K21" s="266">
        <v>3098277</v>
      </c>
      <c r="L21" s="79">
        <v>3098973</v>
      </c>
      <c r="M21" s="79">
        <v>3099655</v>
      </c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7">
        <f t="shared" si="0"/>
        <v>-4296.5555555555557</v>
      </c>
      <c r="AK21" s="72">
        <v>3054894</v>
      </c>
      <c r="HP21" s="73"/>
    </row>
    <row r="22" spans="1:224" ht="20.25" customHeight="1" thickBot="1" x14ac:dyDescent="0.3">
      <c r="A22" s="349"/>
      <c r="B22" s="81" t="s">
        <v>103</v>
      </c>
      <c r="C22" s="79">
        <v>1288416</v>
      </c>
      <c r="D22" s="266">
        <v>1288609</v>
      </c>
      <c r="E22" s="266">
        <v>1288827</v>
      </c>
      <c r="F22" s="266">
        <v>1289026</v>
      </c>
      <c r="G22" s="266">
        <v>1289228</v>
      </c>
      <c r="H22" s="266">
        <v>1289455</v>
      </c>
      <c r="I22" s="266">
        <v>1289683</v>
      </c>
      <c r="J22" s="266">
        <v>1289881</v>
      </c>
      <c r="K22" s="266">
        <v>1290035</v>
      </c>
      <c r="L22" s="79">
        <v>1290223</v>
      </c>
      <c r="M22" s="79">
        <v>1290405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7">
        <f t="shared" si="0"/>
        <v>-1789.7347222222222</v>
      </c>
      <c r="AK22" s="72">
        <v>1276763</v>
      </c>
      <c r="HP22" s="73"/>
    </row>
    <row r="23" spans="1:224" ht="20.25" customHeight="1" thickBot="1" x14ac:dyDescent="0.3">
      <c r="A23" s="349"/>
      <c r="B23" s="81" t="s">
        <v>104</v>
      </c>
      <c r="C23" s="79">
        <v>1442716</v>
      </c>
      <c r="D23" s="266">
        <v>1442739</v>
      </c>
      <c r="E23" s="266">
        <v>1442779</v>
      </c>
      <c r="F23" s="266">
        <v>1442846</v>
      </c>
      <c r="G23" s="266">
        <v>1442931</v>
      </c>
      <c r="H23" s="266">
        <v>1442946</v>
      </c>
      <c r="I23" s="266">
        <v>1442976</v>
      </c>
      <c r="J23" s="266">
        <v>1443004</v>
      </c>
      <c r="K23" s="266">
        <v>1443034</v>
      </c>
      <c r="L23" s="79">
        <v>1443050</v>
      </c>
      <c r="M23" s="79">
        <v>1443156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7">
        <f t="shared" si="0"/>
        <v>-2003.8041666666668</v>
      </c>
      <c r="AK23" s="72">
        <v>1439033</v>
      </c>
      <c r="HP23" s="73"/>
    </row>
    <row r="24" spans="1:224" ht="20.25" customHeight="1" thickBot="1" x14ac:dyDescent="0.3">
      <c r="A24" s="349"/>
      <c r="B24" s="81" t="s">
        <v>105</v>
      </c>
      <c r="C24" s="79">
        <v>250503</v>
      </c>
      <c r="D24" s="266">
        <v>250513</v>
      </c>
      <c r="E24" s="266">
        <v>250520</v>
      </c>
      <c r="F24" s="266">
        <v>250526</v>
      </c>
      <c r="G24" s="266">
        <v>250537</v>
      </c>
      <c r="H24" s="266">
        <v>250545</v>
      </c>
      <c r="I24" s="266">
        <v>250547</v>
      </c>
      <c r="J24" s="266">
        <v>250550</v>
      </c>
      <c r="K24" s="266">
        <v>250553</v>
      </c>
      <c r="L24" s="79">
        <v>250557</v>
      </c>
      <c r="M24" s="79">
        <v>250563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7">
        <f t="shared" si="0"/>
        <v>-347.93472222222221</v>
      </c>
      <c r="AK24" s="72">
        <v>249946</v>
      </c>
      <c r="HP24" s="73"/>
    </row>
    <row r="25" spans="1:224" ht="20.25" customHeight="1" thickBot="1" x14ac:dyDescent="0.3">
      <c r="A25" s="349"/>
      <c r="B25" s="81" t="s">
        <v>106</v>
      </c>
      <c r="C25" s="79">
        <v>2239821</v>
      </c>
      <c r="D25" s="266">
        <v>2240462</v>
      </c>
      <c r="E25" s="266">
        <v>2241092</v>
      </c>
      <c r="F25" s="266">
        <v>2241751</v>
      </c>
      <c r="G25" s="266">
        <v>2242338</v>
      </c>
      <c r="H25" s="266">
        <v>2242906</v>
      </c>
      <c r="I25" s="266">
        <v>2243470</v>
      </c>
      <c r="J25" s="266">
        <v>2244044</v>
      </c>
      <c r="K25" s="266">
        <v>2244640</v>
      </c>
      <c r="L25" s="79">
        <v>2245228</v>
      </c>
      <c r="M25" s="79">
        <v>2245787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7">
        <f t="shared" si="0"/>
        <v>-3111.7527777777777</v>
      </c>
      <c r="AK25" s="72">
        <v>2198103</v>
      </c>
      <c r="HP25" s="73"/>
    </row>
    <row r="26" spans="1:224" s="83" customFormat="1" ht="20.25" customHeight="1" thickBot="1" x14ac:dyDescent="0.3">
      <c r="A26" s="349"/>
      <c r="B26" s="81" t="s">
        <v>107</v>
      </c>
      <c r="C26" s="79">
        <v>35139</v>
      </c>
      <c r="D26" s="266">
        <v>37539</v>
      </c>
      <c r="E26" s="266">
        <v>39985</v>
      </c>
      <c r="F26" s="266">
        <v>42540</v>
      </c>
      <c r="G26" s="266">
        <v>44993.917999999998</v>
      </c>
      <c r="H26" s="266">
        <v>47457</v>
      </c>
      <c r="I26" s="266">
        <v>49988</v>
      </c>
      <c r="J26" s="266">
        <v>52593</v>
      </c>
      <c r="K26" s="266">
        <v>55060</v>
      </c>
      <c r="L26" s="79">
        <v>57590</v>
      </c>
      <c r="M26" s="79">
        <v>60129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7">
        <f t="shared" si="0"/>
        <v>-52.137499999999996</v>
      </c>
      <c r="AK26" s="82">
        <v>596855</v>
      </c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</row>
    <row r="27" spans="1:224" ht="20.25" customHeight="1" thickBot="1" x14ac:dyDescent="0.3">
      <c r="A27" s="349"/>
      <c r="B27" s="81" t="s">
        <v>108</v>
      </c>
      <c r="C27" s="80">
        <v>26241</v>
      </c>
      <c r="D27" s="270">
        <v>26345</v>
      </c>
      <c r="E27" s="266">
        <v>26466</v>
      </c>
      <c r="F27" s="266">
        <v>26574</v>
      </c>
      <c r="G27" s="266">
        <v>26684.745999999999</v>
      </c>
      <c r="H27" s="266">
        <v>26810</v>
      </c>
      <c r="I27" s="266">
        <v>26936</v>
      </c>
      <c r="J27" s="266">
        <v>27043</v>
      </c>
      <c r="K27" s="266">
        <v>27124</v>
      </c>
      <c r="L27" s="79">
        <v>27226</v>
      </c>
      <c r="M27" s="79">
        <v>27324</v>
      </c>
      <c r="N27" s="79"/>
      <c r="O27" s="79"/>
      <c r="P27" s="85"/>
      <c r="Q27" s="79"/>
      <c r="R27" s="79"/>
      <c r="S27" s="79"/>
      <c r="T27" s="79"/>
      <c r="U27" s="79"/>
      <c r="V27" s="85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80"/>
      <c r="AI27" s="80"/>
      <c r="AJ27" s="77">
        <f t="shared" si="0"/>
        <v>-36.590277777777779</v>
      </c>
      <c r="AK27" s="72">
        <v>20053</v>
      </c>
      <c r="HP27" s="73"/>
    </row>
    <row r="28" spans="1:224" ht="20.25" customHeight="1" thickBot="1" x14ac:dyDescent="0.3">
      <c r="A28" s="349"/>
      <c r="B28" s="84" t="s">
        <v>109</v>
      </c>
      <c r="C28" s="80">
        <v>380174</v>
      </c>
      <c r="D28" s="270">
        <v>380754</v>
      </c>
      <c r="E28" s="271">
        <v>381322</v>
      </c>
      <c r="F28" s="271">
        <v>381720</v>
      </c>
      <c r="G28" s="271">
        <v>381901.93</v>
      </c>
      <c r="H28" s="271">
        <v>383000</v>
      </c>
      <c r="I28" s="271">
        <v>388035</v>
      </c>
      <c r="J28" s="271">
        <v>383995</v>
      </c>
      <c r="K28" s="266">
        <v>384473</v>
      </c>
      <c r="L28" s="85">
        <v>384973</v>
      </c>
      <c r="M28" s="79">
        <v>385491</v>
      </c>
      <c r="N28" s="79"/>
      <c r="O28" s="85"/>
      <c r="P28" s="85"/>
      <c r="Q28" s="79"/>
      <c r="R28" s="85"/>
      <c r="S28" s="85"/>
      <c r="T28" s="79"/>
      <c r="U28" s="85"/>
      <c r="V28" s="79"/>
      <c r="W28" s="79"/>
      <c r="X28" s="79"/>
      <c r="Y28" s="79"/>
      <c r="Z28" s="85"/>
      <c r="AA28" s="85"/>
      <c r="AB28" s="85"/>
      <c r="AC28" s="79"/>
      <c r="AD28" s="85"/>
      <c r="AE28" s="85"/>
      <c r="AF28" s="85"/>
      <c r="AG28" s="80"/>
      <c r="AH28" s="80"/>
      <c r="AJ28" s="77">
        <f t="shared" si="0"/>
        <v>-528.82499999999993</v>
      </c>
      <c r="AK28" s="72">
        <v>342112</v>
      </c>
      <c r="HP28" s="73"/>
    </row>
    <row r="29" spans="1:224" s="83" customFormat="1" ht="20.25" customHeight="1" x14ac:dyDescent="0.25">
      <c r="A29" s="350" t="s">
        <v>110</v>
      </c>
      <c r="B29" s="86" t="s">
        <v>111</v>
      </c>
      <c r="C29" s="190">
        <v>3816</v>
      </c>
      <c r="D29" s="272">
        <f t="shared" ref="D29:M29" si="1">D3-C3</f>
        <v>3872</v>
      </c>
      <c r="E29" s="272">
        <f t="shared" si="1"/>
        <v>3902</v>
      </c>
      <c r="F29" s="272">
        <f t="shared" si="1"/>
        <v>4028</v>
      </c>
      <c r="G29" s="272">
        <f t="shared" si="1"/>
        <v>3906</v>
      </c>
      <c r="H29" s="272">
        <f t="shared" si="1"/>
        <v>3934</v>
      </c>
      <c r="I29" s="272">
        <f t="shared" si="1"/>
        <v>3958</v>
      </c>
      <c r="J29" s="272">
        <f t="shared" si="1"/>
        <v>3950</v>
      </c>
      <c r="K29" s="272">
        <f t="shared" si="1"/>
        <v>3918</v>
      </c>
      <c r="L29" s="272">
        <f t="shared" si="1"/>
        <v>3922</v>
      </c>
      <c r="M29" s="272">
        <f t="shared" si="1"/>
        <v>3926</v>
      </c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05"/>
      <c r="AJ29" s="173">
        <f t="shared" ref="AJ29:AJ39" si="2">AVERAGE(D29:AH29)/24</f>
        <v>163.81666666666666</v>
      </c>
      <c r="AK29" s="82">
        <v>3870</v>
      </c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</row>
    <row r="30" spans="1:224" s="83" customFormat="1" ht="20.25" customHeight="1" x14ac:dyDescent="0.25">
      <c r="A30" s="351"/>
      <c r="B30" s="87" t="s">
        <v>112</v>
      </c>
      <c r="C30" s="190">
        <v>3714</v>
      </c>
      <c r="D30" s="272">
        <f t="shared" ref="D30:M31" si="3">D4-C4</f>
        <v>3524</v>
      </c>
      <c r="E30" s="272">
        <f t="shared" si="3"/>
        <v>3650</v>
      </c>
      <c r="F30" s="272">
        <f t="shared" si="3"/>
        <v>3852</v>
      </c>
      <c r="G30" s="272">
        <f t="shared" si="3"/>
        <v>3752</v>
      </c>
      <c r="H30" s="272">
        <f t="shared" si="3"/>
        <v>3698</v>
      </c>
      <c r="I30" s="272">
        <f t="shared" si="3"/>
        <v>3866</v>
      </c>
      <c r="J30" s="272">
        <f t="shared" si="3"/>
        <v>3898</v>
      </c>
      <c r="K30" s="272">
        <f t="shared" si="3"/>
        <v>3896</v>
      </c>
      <c r="L30" s="272">
        <f t="shared" si="3"/>
        <v>3908</v>
      </c>
      <c r="M30" s="272">
        <f t="shared" si="3"/>
        <v>3920</v>
      </c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06"/>
      <c r="AJ30" s="174">
        <f t="shared" si="2"/>
        <v>158.18333333333334</v>
      </c>
      <c r="AK30" s="82">
        <v>3870</v>
      </c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</row>
    <row r="31" spans="1:224" s="83" customFormat="1" ht="20.25" customHeight="1" x14ac:dyDescent="0.25">
      <c r="A31" s="351"/>
      <c r="B31" s="87" t="s">
        <v>113</v>
      </c>
      <c r="C31" s="190">
        <v>2619</v>
      </c>
      <c r="D31" s="272">
        <f t="shared" si="3"/>
        <v>2562</v>
      </c>
      <c r="E31" s="272">
        <f t="shared" si="3"/>
        <v>2664</v>
      </c>
      <c r="F31" s="272">
        <f t="shared" si="3"/>
        <v>2637</v>
      </c>
      <c r="G31" s="272">
        <f t="shared" si="3"/>
        <v>2651</v>
      </c>
      <c r="H31" s="272">
        <f t="shared" si="3"/>
        <v>2623</v>
      </c>
      <c r="I31" s="272">
        <f t="shared" si="3"/>
        <v>2608</v>
      </c>
      <c r="J31" s="272">
        <f t="shared" si="3"/>
        <v>2653</v>
      </c>
      <c r="K31" s="272">
        <f t="shared" si="3"/>
        <v>2588</v>
      </c>
      <c r="L31" s="272">
        <f t="shared" si="3"/>
        <v>2623</v>
      </c>
      <c r="M31" s="272">
        <f t="shared" si="3"/>
        <v>2642</v>
      </c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06"/>
      <c r="AJ31" s="174">
        <f t="shared" si="2"/>
        <v>109.37916666666666</v>
      </c>
      <c r="AK31" s="82">
        <v>2654</v>
      </c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</row>
    <row r="32" spans="1:224" s="83" customFormat="1" ht="20.25" customHeight="1" x14ac:dyDescent="0.25">
      <c r="A32" s="351"/>
      <c r="B32" s="88" t="s">
        <v>114</v>
      </c>
      <c r="C32" s="190">
        <v>173</v>
      </c>
      <c r="D32" s="272">
        <f t="shared" ref="D32:M38" si="4">D22-C22</f>
        <v>193</v>
      </c>
      <c r="E32" s="272">
        <f t="shared" si="4"/>
        <v>218</v>
      </c>
      <c r="F32" s="272">
        <f t="shared" si="4"/>
        <v>199</v>
      </c>
      <c r="G32" s="272">
        <f t="shared" si="4"/>
        <v>202</v>
      </c>
      <c r="H32" s="272">
        <f t="shared" si="4"/>
        <v>227</v>
      </c>
      <c r="I32" s="272">
        <f t="shared" si="4"/>
        <v>228</v>
      </c>
      <c r="J32" s="272">
        <f t="shared" si="4"/>
        <v>198</v>
      </c>
      <c r="K32" s="272">
        <f t="shared" si="4"/>
        <v>154</v>
      </c>
      <c r="L32" s="272">
        <f t="shared" si="4"/>
        <v>188</v>
      </c>
      <c r="M32" s="272">
        <f t="shared" si="4"/>
        <v>182</v>
      </c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06"/>
      <c r="AJ32" s="174">
        <f t="shared" si="2"/>
        <v>8.2874999999999996</v>
      </c>
      <c r="AK32" s="82">
        <v>72</v>
      </c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</row>
    <row r="33" spans="1:224" s="83" customFormat="1" ht="20.25" customHeight="1" x14ac:dyDescent="0.25">
      <c r="A33" s="351"/>
      <c r="B33" s="88" t="s">
        <v>115</v>
      </c>
      <c r="C33" s="190">
        <v>21</v>
      </c>
      <c r="D33" s="272">
        <f t="shared" si="4"/>
        <v>23</v>
      </c>
      <c r="E33" s="272">
        <f t="shared" si="4"/>
        <v>40</v>
      </c>
      <c r="F33" s="272">
        <f t="shared" si="4"/>
        <v>67</v>
      </c>
      <c r="G33" s="272">
        <f t="shared" si="4"/>
        <v>85</v>
      </c>
      <c r="H33" s="272">
        <f t="shared" si="4"/>
        <v>15</v>
      </c>
      <c r="I33" s="272">
        <f t="shared" si="4"/>
        <v>30</v>
      </c>
      <c r="J33" s="272">
        <f t="shared" si="4"/>
        <v>28</v>
      </c>
      <c r="K33" s="272">
        <f t="shared" si="4"/>
        <v>30</v>
      </c>
      <c r="L33" s="272">
        <f t="shared" si="4"/>
        <v>16</v>
      </c>
      <c r="M33" s="272">
        <f t="shared" si="4"/>
        <v>106</v>
      </c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06"/>
      <c r="AJ33" s="174">
        <f t="shared" si="2"/>
        <v>1.8333333333333333</v>
      </c>
      <c r="AK33" s="82">
        <v>83</v>
      </c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2"/>
      <c r="FX33" s="82"/>
      <c r="FY33" s="82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82"/>
      <c r="GN33" s="82"/>
      <c r="GO33" s="82"/>
      <c r="GP33" s="82"/>
      <c r="GQ33" s="82"/>
      <c r="GR33" s="82"/>
      <c r="GS33" s="82"/>
      <c r="GT33" s="82"/>
      <c r="GU33" s="82"/>
      <c r="GV33" s="82"/>
      <c r="GW33" s="82"/>
      <c r="GX33" s="82"/>
      <c r="GY33" s="82"/>
      <c r="GZ33" s="82"/>
      <c r="HA33" s="82"/>
      <c r="HB33" s="82"/>
      <c r="HC33" s="82"/>
      <c r="HD33" s="82"/>
      <c r="HE33" s="82"/>
      <c r="HF33" s="82"/>
      <c r="HG33" s="82"/>
      <c r="HH33" s="82"/>
      <c r="HI33" s="82"/>
      <c r="HJ33" s="82"/>
      <c r="HK33" s="82"/>
      <c r="HL33" s="82"/>
      <c r="HM33" s="82"/>
      <c r="HN33" s="82"/>
      <c r="HO33" s="82"/>
      <c r="HP33" s="82"/>
    </row>
    <row r="34" spans="1:224" s="83" customFormat="1" ht="20.25" customHeight="1" x14ac:dyDescent="0.25">
      <c r="A34" s="351"/>
      <c r="B34" s="88" t="s">
        <v>116</v>
      </c>
      <c r="C34" s="190">
        <v>3</v>
      </c>
      <c r="D34" s="272">
        <f t="shared" si="4"/>
        <v>10</v>
      </c>
      <c r="E34" s="272">
        <f t="shared" si="4"/>
        <v>7</v>
      </c>
      <c r="F34" s="272">
        <f t="shared" si="4"/>
        <v>6</v>
      </c>
      <c r="G34" s="272">
        <f t="shared" si="4"/>
        <v>11</v>
      </c>
      <c r="H34" s="272">
        <f t="shared" si="4"/>
        <v>8</v>
      </c>
      <c r="I34" s="272">
        <f t="shared" si="4"/>
        <v>2</v>
      </c>
      <c r="J34" s="272">
        <f t="shared" si="4"/>
        <v>3</v>
      </c>
      <c r="K34" s="272">
        <f t="shared" si="4"/>
        <v>3</v>
      </c>
      <c r="L34" s="272">
        <f t="shared" si="4"/>
        <v>4</v>
      </c>
      <c r="M34" s="272">
        <f t="shared" si="4"/>
        <v>6</v>
      </c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  <c r="AI34" s="206"/>
      <c r="AJ34" s="174">
        <f t="shared" si="2"/>
        <v>0.25</v>
      </c>
      <c r="AK34" s="82">
        <v>9</v>
      </c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2"/>
      <c r="FX34" s="82"/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</row>
    <row r="35" spans="1:224" s="83" customFormat="1" ht="20.25" customHeight="1" x14ac:dyDescent="0.25">
      <c r="A35" s="351"/>
      <c r="B35" s="88" t="s">
        <v>117</v>
      </c>
      <c r="C35" s="190">
        <v>610</v>
      </c>
      <c r="D35" s="272">
        <f t="shared" si="4"/>
        <v>641</v>
      </c>
      <c r="E35" s="272">
        <f t="shared" si="4"/>
        <v>630</v>
      </c>
      <c r="F35" s="272">
        <f t="shared" si="4"/>
        <v>659</v>
      </c>
      <c r="G35" s="272">
        <f t="shared" si="4"/>
        <v>587</v>
      </c>
      <c r="H35" s="272">
        <f t="shared" si="4"/>
        <v>568</v>
      </c>
      <c r="I35" s="272">
        <f t="shared" si="4"/>
        <v>564</v>
      </c>
      <c r="J35" s="272">
        <f t="shared" si="4"/>
        <v>574</v>
      </c>
      <c r="K35" s="272">
        <f t="shared" si="4"/>
        <v>596</v>
      </c>
      <c r="L35" s="272">
        <f t="shared" si="4"/>
        <v>588</v>
      </c>
      <c r="M35" s="272">
        <f t="shared" si="4"/>
        <v>559</v>
      </c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06"/>
      <c r="AJ35" s="174">
        <f t="shared" si="2"/>
        <v>24.858333333333334</v>
      </c>
      <c r="AK35" s="82">
        <v>678</v>
      </c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82"/>
      <c r="GL35" s="82"/>
      <c r="GM35" s="82"/>
      <c r="GN35" s="82"/>
      <c r="GO35" s="82"/>
      <c r="GP35" s="82"/>
      <c r="GQ35" s="82"/>
      <c r="GR35" s="82"/>
      <c r="GS35" s="82"/>
      <c r="GT35" s="82"/>
      <c r="GU35" s="82"/>
      <c r="GV35" s="82"/>
      <c r="GW35" s="82"/>
      <c r="GX35" s="82"/>
      <c r="GY35" s="82"/>
      <c r="GZ35" s="82"/>
      <c r="HA35" s="82"/>
      <c r="HB35" s="82"/>
      <c r="HC35" s="82"/>
      <c r="HD35" s="82"/>
      <c r="HE35" s="82"/>
      <c r="HF35" s="82"/>
      <c r="HG35" s="82"/>
      <c r="HH35" s="82"/>
      <c r="HI35" s="82"/>
      <c r="HJ35" s="82"/>
      <c r="HK35" s="82"/>
      <c r="HL35" s="82"/>
      <c r="HM35" s="82"/>
      <c r="HN35" s="82"/>
      <c r="HO35" s="82"/>
      <c r="HP35" s="82"/>
    </row>
    <row r="36" spans="1:224" ht="27" customHeight="1" x14ac:dyDescent="0.25">
      <c r="A36" s="351"/>
      <c r="B36" s="88" t="s">
        <v>118</v>
      </c>
      <c r="C36" s="190">
        <v>2931</v>
      </c>
      <c r="D36" s="272">
        <f t="shared" ref="D36:M36" si="5">D26-C26</f>
        <v>2400</v>
      </c>
      <c r="E36" s="272">
        <f t="shared" si="5"/>
        <v>2446</v>
      </c>
      <c r="F36" s="272">
        <f t="shared" si="5"/>
        <v>2555</v>
      </c>
      <c r="G36" s="272">
        <f t="shared" si="5"/>
        <v>2453.9179999999978</v>
      </c>
      <c r="H36" s="272">
        <f t="shared" si="5"/>
        <v>2463.0820000000022</v>
      </c>
      <c r="I36" s="272">
        <f t="shared" si="5"/>
        <v>2531</v>
      </c>
      <c r="J36" s="272">
        <f t="shared" si="5"/>
        <v>2605</v>
      </c>
      <c r="K36" s="272">
        <f t="shared" si="5"/>
        <v>2467</v>
      </c>
      <c r="L36" s="272">
        <f t="shared" si="5"/>
        <v>2530</v>
      </c>
      <c r="M36" s="272">
        <f t="shared" si="5"/>
        <v>2539</v>
      </c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  <c r="AI36" s="206"/>
      <c r="AJ36" s="174">
        <f t="shared" si="2"/>
        <v>104.125</v>
      </c>
      <c r="AK36" s="72">
        <v>2931.4399999999441</v>
      </c>
    </row>
    <row r="37" spans="1:224" ht="20.25" customHeight="1" x14ac:dyDescent="0.25">
      <c r="A37" s="351"/>
      <c r="B37" s="88" t="s">
        <v>119</v>
      </c>
      <c r="C37" s="190">
        <v>95</v>
      </c>
      <c r="D37" s="272">
        <f t="shared" si="4"/>
        <v>104</v>
      </c>
      <c r="E37" s="272">
        <f t="shared" si="4"/>
        <v>121</v>
      </c>
      <c r="F37" s="272">
        <f t="shared" si="4"/>
        <v>108</v>
      </c>
      <c r="G37" s="272">
        <f t="shared" si="4"/>
        <v>110.74599999999919</v>
      </c>
      <c r="H37" s="272">
        <f t="shared" si="4"/>
        <v>125.25400000000081</v>
      </c>
      <c r="I37" s="272">
        <f t="shared" si="4"/>
        <v>126</v>
      </c>
      <c r="J37" s="272">
        <f t="shared" si="4"/>
        <v>107</v>
      </c>
      <c r="K37" s="272">
        <f t="shared" si="4"/>
        <v>81</v>
      </c>
      <c r="L37" s="272">
        <f t="shared" si="4"/>
        <v>102</v>
      </c>
      <c r="M37" s="272">
        <f t="shared" si="4"/>
        <v>98</v>
      </c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06"/>
      <c r="AJ37" s="174">
        <f t="shared" si="2"/>
        <v>4.5125000000000002</v>
      </c>
      <c r="AK37" s="72">
        <v>37.004000000000815</v>
      </c>
    </row>
    <row r="38" spans="1:224" s="83" customFormat="1" ht="36.75" customHeight="1" x14ac:dyDescent="0.25">
      <c r="A38" s="351"/>
      <c r="B38" s="88" t="s">
        <v>120</v>
      </c>
      <c r="C38" s="190">
        <v>30</v>
      </c>
      <c r="D38" s="272">
        <f t="shared" si="4"/>
        <v>580</v>
      </c>
      <c r="E38" s="272">
        <f t="shared" si="4"/>
        <v>568</v>
      </c>
      <c r="F38" s="272">
        <f t="shared" si="4"/>
        <v>398</v>
      </c>
      <c r="G38" s="272">
        <f t="shared" si="4"/>
        <v>181.92999999999302</v>
      </c>
      <c r="H38" s="272">
        <f t="shared" si="4"/>
        <v>1098.070000000007</v>
      </c>
      <c r="I38" s="272">
        <f t="shared" si="4"/>
        <v>5035</v>
      </c>
      <c r="J38" s="272">
        <f t="shared" si="4"/>
        <v>-4040</v>
      </c>
      <c r="K38" s="272">
        <f t="shared" si="4"/>
        <v>478</v>
      </c>
      <c r="L38" s="272">
        <f t="shared" si="4"/>
        <v>500</v>
      </c>
      <c r="M38" s="272">
        <f t="shared" si="4"/>
        <v>518</v>
      </c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  <c r="AI38" s="206"/>
      <c r="AJ38" s="174">
        <f t="shared" si="2"/>
        <v>22.154166666666669</v>
      </c>
      <c r="AK38" s="82">
        <v>570</v>
      </c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</row>
    <row r="39" spans="1:224" s="83" customFormat="1" ht="28.5" thickBot="1" x14ac:dyDescent="0.3">
      <c r="A39" s="352"/>
      <c r="B39" s="89" t="s">
        <v>121</v>
      </c>
      <c r="C39" s="190">
        <v>777</v>
      </c>
      <c r="D39" s="272">
        <f t="shared" ref="D39:E39" si="6">SUM(D32:D35)-D38</f>
        <v>287</v>
      </c>
      <c r="E39" s="272">
        <f t="shared" si="6"/>
        <v>327</v>
      </c>
      <c r="F39" s="272">
        <f t="shared" ref="F39:G39" si="7">SUM(F32:F35)-F38</f>
        <v>533</v>
      </c>
      <c r="G39" s="272">
        <f t="shared" si="7"/>
        <v>703.07000000000698</v>
      </c>
      <c r="H39" s="272">
        <f t="shared" ref="H39:I39" si="8">SUM(H32:H35)-H38</f>
        <v>-280.07000000000698</v>
      </c>
      <c r="I39" s="272">
        <f t="shared" si="8"/>
        <v>-4211</v>
      </c>
      <c r="J39" s="272">
        <f t="shared" ref="J39:K39" si="9">SUM(J32:J35)-J38</f>
        <v>4843</v>
      </c>
      <c r="K39" s="272">
        <f t="shared" si="9"/>
        <v>305</v>
      </c>
      <c r="L39" s="272">
        <f t="shared" ref="L39:M39" si="10">SUM(L32:L35)-L38</f>
        <v>296</v>
      </c>
      <c r="M39" s="272">
        <f t="shared" si="10"/>
        <v>335</v>
      </c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  <c r="AH39" s="272"/>
      <c r="AI39" s="207"/>
      <c r="AJ39" s="179">
        <f t="shared" si="2"/>
        <v>13.075000000000001</v>
      </c>
      <c r="AK39" s="82">
        <v>272</v>
      </c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</row>
    <row r="40" spans="1:224" ht="28.5" customHeight="1" thickBot="1" x14ac:dyDescent="0.3">
      <c r="A40" s="353" t="s">
        <v>122</v>
      </c>
      <c r="B40" s="90" t="s">
        <v>123</v>
      </c>
      <c r="C40" s="93"/>
      <c r="D40" s="273"/>
      <c r="E40" s="274"/>
      <c r="F40" s="274"/>
      <c r="G40" s="274"/>
      <c r="H40" s="274"/>
      <c r="I40" s="274"/>
      <c r="J40" s="274"/>
      <c r="K40" s="274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3"/>
      <c r="AH40" s="93"/>
      <c r="AI40" s="93"/>
      <c r="AJ40" s="180"/>
    </row>
    <row r="41" spans="1:224" ht="28.5" thickBot="1" x14ac:dyDescent="0.3">
      <c r="A41" s="354"/>
      <c r="B41" s="92" t="s">
        <v>124</v>
      </c>
      <c r="C41" s="93">
        <v>18045428</v>
      </c>
      <c r="D41" s="273">
        <v>18047678</v>
      </c>
      <c r="E41" s="274">
        <v>18052332</v>
      </c>
      <c r="F41" s="273">
        <v>18055790</v>
      </c>
      <c r="G41" s="273">
        <v>18060224</v>
      </c>
      <c r="H41" s="273">
        <v>18063528</v>
      </c>
      <c r="I41" s="273">
        <v>18066652</v>
      </c>
      <c r="J41" s="273">
        <v>18070772</v>
      </c>
      <c r="K41" s="273">
        <v>18072094</v>
      </c>
      <c r="L41" s="93">
        <v>18078252</v>
      </c>
      <c r="M41" s="93">
        <v>18079904</v>
      </c>
      <c r="N41" s="93">
        <v>18082564</v>
      </c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181"/>
      <c r="AK41" s="72">
        <v>17892570</v>
      </c>
      <c r="AL41" s="233">
        <v>16012053</v>
      </c>
    </row>
    <row r="42" spans="1:224" ht="28" x14ac:dyDescent="0.25">
      <c r="A42" s="354"/>
      <c r="B42" s="92" t="s">
        <v>125</v>
      </c>
      <c r="C42" s="93">
        <v>23346910</v>
      </c>
      <c r="D42" s="273">
        <v>23349043</v>
      </c>
      <c r="E42" s="274">
        <v>23352595</v>
      </c>
      <c r="F42" s="273">
        <v>23357584</v>
      </c>
      <c r="G42" s="273">
        <v>23333731</v>
      </c>
      <c r="H42" s="273">
        <v>23339355</v>
      </c>
      <c r="I42" s="273">
        <v>23346498</v>
      </c>
      <c r="J42" s="273">
        <v>23353755</v>
      </c>
      <c r="K42" s="273">
        <v>23359521</v>
      </c>
      <c r="L42" s="93">
        <v>23370614</v>
      </c>
      <c r="M42" s="93">
        <v>23376721</v>
      </c>
      <c r="N42" s="93">
        <v>23384369</v>
      </c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181"/>
      <c r="AK42" s="72">
        <v>22975668</v>
      </c>
      <c r="AL42" s="233">
        <v>20325959</v>
      </c>
    </row>
    <row r="43" spans="1:224" ht="28.5" thickBot="1" x14ac:dyDescent="0.3">
      <c r="A43" s="354"/>
      <c r="B43" s="92" t="s">
        <v>126</v>
      </c>
      <c r="C43" s="93"/>
      <c r="D43" s="273"/>
      <c r="E43" s="273"/>
      <c r="F43" s="273"/>
      <c r="G43" s="273"/>
      <c r="H43" s="273"/>
      <c r="I43" s="273"/>
      <c r="J43" s="273"/>
      <c r="K43" s="27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181"/>
      <c r="AL43" s="233"/>
    </row>
    <row r="44" spans="1:224" ht="28.5" thickBot="1" x14ac:dyDescent="0.3">
      <c r="A44" s="354"/>
      <c r="B44" s="92" t="s">
        <v>127</v>
      </c>
      <c r="C44" s="93">
        <v>12226017</v>
      </c>
      <c r="D44" s="273">
        <v>12228166</v>
      </c>
      <c r="E44" s="274">
        <v>12229961</v>
      </c>
      <c r="F44" s="273">
        <v>12231544</v>
      </c>
      <c r="G44" s="273">
        <v>12232654</v>
      </c>
      <c r="H44" s="273">
        <v>12233798</v>
      </c>
      <c r="I44" s="273">
        <v>12234972</v>
      </c>
      <c r="J44" s="273">
        <v>12236750</v>
      </c>
      <c r="K44" s="273">
        <v>12238277</v>
      </c>
      <c r="L44" s="93">
        <v>12239270</v>
      </c>
      <c r="M44" s="93">
        <v>12240515</v>
      </c>
      <c r="N44" s="93">
        <v>12241549</v>
      </c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181"/>
      <c r="AK44" s="72">
        <v>12142504</v>
      </c>
      <c r="AL44" s="233">
        <v>10789170</v>
      </c>
    </row>
    <row r="45" spans="1:224" ht="28.5" thickBot="1" x14ac:dyDescent="0.3">
      <c r="A45" s="354"/>
      <c r="B45" s="151" t="s">
        <v>128</v>
      </c>
      <c r="C45" s="93">
        <v>18142244</v>
      </c>
      <c r="D45" s="273">
        <v>18144612</v>
      </c>
      <c r="E45" s="274">
        <v>18147882</v>
      </c>
      <c r="F45" s="273">
        <v>18151392</v>
      </c>
      <c r="G45" s="273">
        <v>18155938</v>
      </c>
      <c r="H45" s="273">
        <v>18160186</v>
      </c>
      <c r="I45" s="273">
        <v>18164282</v>
      </c>
      <c r="J45" s="273">
        <v>18167712</v>
      </c>
      <c r="K45" s="273">
        <v>18171712</v>
      </c>
      <c r="L45" s="93">
        <v>18176230</v>
      </c>
      <c r="M45" s="93">
        <v>18180458</v>
      </c>
      <c r="N45" s="93">
        <v>18185168</v>
      </c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181"/>
      <c r="AK45" s="72">
        <v>17927392</v>
      </c>
      <c r="AL45" s="233">
        <v>16514611</v>
      </c>
    </row>
    <row r="46" spans="1:224" ht="29.25" customHeight="1" thickBot="1" x14ac:dyDescent="0.3">
      <c r="A46" s="354"/>
      <c r="B46" s="151" t="s">
        <v>129</v>
      </c>
      <c r="C46" s="93"/>
      <c r="D46" s="273"/>
      <c r="E46" s="274"/>
      <c r="F46" s="273"/>
      <c r="G46" s="273"/>
      <c r="H46" s="273"/>
      <c r="I46" s="273"/>
      <c r="J46" s="273"/>
      <c r="K46" s="27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181"/>
      <c r="AL46" s="233"/>
    </row>
    <row r="47" spans="1:224" ht="30.75" customHeight="1" thickBot="1" x14ac:dyDescent="0.3">
      <c r="A47" s="354"/>
      <c r="B47" s="160" t="s">
        <v>130</v>
      </c>
      <c r="C47" s="93">
        <v>1760386</v>
      </c>
      <c r="D47" s="273">
        <v>1761778</v>
      </c>
      <c r="E47" s="274">
        <v>1764033</v>
      </c>
      <c r="F47" s="273">
        <v>1765810</v>
      </c>
      <c r="G47" s="273">
        <v>1767802</v>
      </c>
      <c r="H47" s="273">
        <v>1769881</v>
      </c>
      <c r="I47" s="273">
        <v>1771349</v>
      </c>
      <c r="J47" s="273">
        <v>1773566</v>
      </c>
      <c r="K47" s="273">
        <v>1776005</v>
      </c>
      <c r="L47" s="93">
        <v>1778495</v>
      </c>
      <c r="M47" s="93">
        <v>1780749</v>
      </c>
      <c r="N47" s="93">
        <v>1782583</v>
      </c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181"/>
      <c r="AK47" s="72">
        <v>1677720</v>
      </c>
      <c r="AL47" s="233">
        <v>1407021</v>
      </c>
    </row>
    <row r="48" spans="1:224" ht="22.5" customHeight="1" thickBot="1" x14ac:dyDescent="0.3">
      <c r="A48" s="354"/>
      <c r="B48" s="94" t="s">
        <v>131</v>
      </c>
      <c r="C48" s="93">
        <v>7099300</v>
      </c>
      <c r="D48" s="273">
        <v>7101088</v>
      </c>
      <c r="E48" s="274">
        <v>7102542</v>
      </c>
      <c r="F48" s="273">
        <v>7103791</v>
      </c>
      <c r="G48" s="273">
        <v>7104550</v>
      </c>
      <c r="H48" s="273">
        <v>7105350</v>
      </c>
      <c r="I48" s="273">
        <v>7106249</v>
      </c>
      <c r="J48" s="273">
        <v>7107614</v>
      </c>
      <c r="K48" s="273">
        <v>7108812</v>
      </c>
      <c r="L48" s="93">
        <v>7109563</v>
      </c>
      <c r="M48" s="93">
        <v>7110582</v>
      </c>
      <c r="N48" s="93">
        <v>7111270</v>
      </c>
      <c r="O48" s="93"/>
      <c r="P48" s="93"/>
      <c r="Q48" s="93"/>
      <c r="R48" s="93"/>
      <c r="S48" s="93"/>
      <c r="T48" s="93"/>
      <c r="U48" s="93"/>
      <c r="V48" s="93"/>
      <c r="W48" s="234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181"/>
      <c r="AK48" s="72">
        <v>7032448</v>
      </c>
      <c r="AL48" s="233">
        <v>6460440</v>
      </c>
    </row>
    <row r="49" spans="1:224" ht="22.5" customHeight="1" thickBot="1" x14ac:dyDescent="0.3">
      <c r="A49" s="354"/>
      <c r="B49" s="92" t="s">
        <v>132</v>
      </c>
      <c r="C49" s="93">
        <v>1582104</v>
      </c>
      <c r="D49" s="273">
        <v>1582105</v>
      </c>
      <c r="E49" s="274">
        <v>1582106</v>
      </c>
      <c r="F49" s="273">
        <v>1582107</v>
      </c>
      <c r="G49" s="273">
        <v>1582108</v>
      </c>
      <c r="H49" s="273">
        <v>1582110</v>
      </c>
      <c r="I49" s="273">
        <v>1582112</v>
      </c>
      <c r="J49" s="273">
        <v>1582114</v>
      </c>
      <c r="K49" s="273">
        <v>1582116</v>
      </c>
      <c r="L49" s="93">
        <v>1582119</v>
      </c>
      <c r="M49" s="93">
        <v>1582121</v>
      </c>
      <c r="N49" s="93">
        <v>1582123</v>
      </c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181"/>
      <c r="AK49" s="72">
        <v>1581948</v>
      </c>
      <c r="AL49" s="233">
        <v>1581310</v>
      </c>
    </row>
    <row r="50" spans="1:224" ht="22.5" customHeight="1" thickBot="1" x14ac:dyDescent="0.3">
      <c r="A50" s="354"/>
      <c r="B50" s="155" t="s">
        <v>133</v>
      </c>
      <c r="C50" s="93">
        <v>1555590</v>
      </c>
      <c r="D50" s="273">
        <v>1556210</v>
      </c>
      <c r="E50" s="274">
        <v>1557231</v>
      </c>
      <c r="F50" s="273">
        <v>1557494</v>
      </c>
      <c r="G50" s="273">
        <v>1558348</v>
      </c>
      <c r="H50" s="273">
        <v>1559315</v>
      </c>
      <c r="I50" s="273">
        <v>1559533</v>
      </c>
      <c r="J50" s="273">
        <v>1560475</v>
      </c>
      <c r="K50" s="273">
        <v>1561295</v>
      </c>
      <c r="L50" s="93">
        <v>1562570</v>
      </c>
      <c r="M50" s="93">
        <v>1563592</v>
      </c>
      <c r="N50" s="93">
        <v>1564706</v>
      </c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181"/>
      <c r="AK50" s="72">
        <v>1525472</v>
      </c>
      <c r="AL50" s="233">
        <v>1317347</v>
      </c>
    </row>
    <row r="51" spans="1:224" ht="22.5" customHeight="1" thickBot="1" x14ac:dyDescent="0.3">
      <c r="A51" s="354"/>
      <c r="B51" s="94" t="s">
        <v>134</v>
      </c>
      <c r="C51" s="93">
        <v>2233307</v>
      </c>
      <c r="D51" s="273">
        <v>2233491</v>
      </c>
      <c r="E51" s="274">
        <v>2233743</v>
      </c>
      <c r="F51" s="273">
        <v>2234029</v>
      </c>
      <c r="G51" s="273">
        <v>2234485</v>
      </c>
      <c r="H51" s="273">
        <v>2234914</v>
      </c>
      <c r="I51" s="273">
        <v>2235178</v>
      </c>
      <c r="J51" s="273">
        <v>2235518</v>
      </c>
      <c r="K51" s="273">
        <v>2235784</v>
      </c>
      <c r="L51" s="93">
        <v>2236057</v>
      </c>
      <c r="M51" s="93">
        <v>2236180</v>
      </c>
      <c r="N51" s="93">
        <v>2236640</v>
      </c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6"/>
      <c r="AE51" s="93"/>
      <c r="AF51" s="93"/>
      <c r="AG51" s="93"/>
      <c r="AH51" s="93"/>
      <c r="AI51" s="93"/>
      <c r="AJ51" s="181"/>
      <c r="AK51" s="72">
        <v>2218249</v>
      </c>
      <c r="AL51" s="233">
        <v>2109178</v>
      </c>
    </row>
    <row r="52" spans="1:224" ht="22.5" customHeight="1" thickBot="1" x14ac:dyDescent="0.3">
      <c r="A52" s="354"/>
      <c r="B52" s="95" t="s">
        <v>135</v>
      </c>
      <c r="C52" s="93">
        <v>4056369</v>
      </c>
      <c r="D52" s="273">
        <v>4056478</v>
      </c>
      <c r="E52" s="274">
        <v>4056550</v>
      </c>
      <c r="F52" s="273">
        <v>4056673</v>
      </c>
      <c r="G52" s="273">
        <v>4056810</v>
      </c>
      <c r="H52" s="273">
        <v>4056940</v>
      </c>
      <c r="I52" s="273">
        <v>4057053</v>
      </c>
      <c r="J52" s="273">
        <v>4057120</v>
      </c>
      <c r="K52" s="273">
        <v>4057268</v>
      </c>
      <c r="L52" s="96">
        <v>4057421</v>
      </c>
      <c r="M52" s="96">
        <v>4057497</v>
      </c>
      <c r="N52" s="96">
        <v>4057644</v>
      </c>
      <c r="O52" s="93"/>
      <c r="P52" s="93"/>
      <c r="Q52" s="96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6"/>
      <c r="AF52" s="93"/>
      <c r="AG52" s="96"/>
      <c r="AH52" s="93"/>
      <c r="AI52" s="93"/>
      <c r="AJ52" s="182"/>
      <c r="AK52" s="72">
        <v>4049864</v>
      </c>
      <c r="AL52" s="233">
        <v>3590006</v>
      </c>
    </row>
    <row r="53" spans="1:224" ht="22.5" customHeight="1" x14ac:dyDescent="0.25">
      <c r="A53" s="355"/>
      <c r="B53" s="94" t="s">
        <v>136</v>
      </c>
      <c r="C53" s="93">
        <v>88257</v>
      </c>
      <c r="D53" s="273">
        <v>88305</v>
      </c>
      <c r="E53" s="274">
        <v>88349</v>
      </c>
      <c r="F53" s="273">
        <v>88399</v>
      </c>
      <c r="G53" s="273">
        <v>88451</v>
      </c>
      <c r="H53" s="273">
        <v>88510</v>
      </c>
      <c r="I53" s="273">
        <v>88559</v>
      </c>
      <c r="J53" s="273">
        <v>88617</v>
      </c>
      <c r="K53" s="273">
        <v>88663</v>
      </c>
      <c r="L53" s="93">
        <v>88709</v>
      </c>
      <c r="M53" s="93">
        <v>88760</v>
      </c>
      <c r="N53" s="93">
        <v>88813</v>
      </c>
      <c r="O53" s="96"/>
      <c r="P53" s="96"/>
      <c r="Q53" s="93"/>
      <c r="R53" s="93"/>
      <c r="S53" s="96"/>
      <c r="T53" s="93"/>
      <c r="U53" s="93"/>
      <c r="V53" s="93"/>
      <c r="W53" s="96"/>
      <c r="X53" s="93"/>
      <c r="Y53" s="96"/>
      <c r="Z53" s="93"/>
      <c r="AA53" s="93"/>
      <c r="AB53" s="93"/>
      <c r="AC53" s="96"/>
      <c r="AD53" s="93"/>
      <c r="AE53" s="93"/>
      <c r="AF53" s="93"/>
      <c r="AG53" s="93"/>
      <c r="AH53" s="93"/>
      <c r="AI53" s="93"/>
      <c r="AJ53" s="181"/>
      <c r="AK53" s="72">
        <v>84961</v>
      </c>
      <c r="AL53" s="233">
        <v>73571</v>
      </c>
    </row>
    <row r="54" spans="1:224" s="123" customFormat="1" ht="36" customHeight="1" x14ac:dyDescent="0.25">
      <c r="A54" s="344" t="s">
        <v>137</v>
      </c>
      <c r="B54" s="147" t="s">
        <v>123</v>
      </c>
      <c r="C54" s="191">
        <v>0</v>
      </c>
      <c r="D54" s="275">
        <f t="shared" ref="D54:N56" si="11">D40-C40</f>
        <v>0</v>
      </c>
      <c r="E54" s="275">
        <f t="shared" si="11"/>
        <v>0</v>
      </c>
      <c r="F54" s="275">
        <f t="shared" si="11"/>
        <v>0</v>
      </c>
      <c r="G54" s="275">
        <f t="shared" si="11"/>
        <v>0</v>
      </c>
      <c r="H54" s="275">
        <f t="shared" si="11"/>
        <v>0</v>
      </c>
      <c r="I54" s="275">
        <f t="shared" si="11"/>
        <v>0</v>
      </c>
      <c r="J54" s="275">
        <f t="shared" si="11"/>
        <v>0</v>
      </c>
      <c r="K54" s="275">
        <f t="shared" si="11"/>
        <v>0</v>
      </c>
      <c r="L54" s="275">
        <f t="shared" si="11"/>
        <v>0</v>
      </c>
      <c r="M54" s="275">
        <f t="shared" si="11"/>
        <v>0</v>
      </c>
      <c r="N54" s="275">
        <f t="shared" si="11"/>
        <v>0</v>
      </c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122"/>
      <c r="AK54" s="72">
        <v>0</v>
      </c>
      <c r="AL54" s="72">
        <v>0</v>
      </c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  <c r="FB54" s="72"/>
      <c r="FC54" s="72"/>
      <c r="FD54" s="72"/>
      <c r="FE54" s="72"/>
      <c r="FF54" s="72"/>
      <c r="FG54" s="72"/>
      <c r="FH54" s="72"/>
      <c r="FI54" s="72"/>
      <c r="FJ54" s="72"/>
      <c r="FK54" s="72"/>
      <c r="FL54" s="72"/>
      <c r="FM54" s="72"/>
      <c r="FN54" s="72"/>
      <c r="FO54" s="72"/>
      <c r="FP54" s="72"/>
      <c r="FQ54" s="72"/>
      <c r="FR54" s="72"/>
      <c r="FS54" s="72"/>
      <c r="FT54" s="72"/>
      <c r="FU54" s="72"/>
      <c r="FV54" s="72"/>
      <c r="FW54" s="72"/>
      <c r="FX54" s="72"/>
      <c r="FY54" s="72"/>
      <c r="FZ54" s="72"/>
      <c r="GA54" s="72"/>
      <c r="GB54" s="72"/>
      <c r="GC54" s="72"/>
      <c r="GD54" s="72"/>
      <c r="GE54" s="72"/>
      <c r="GF54" s="72"/>
      <c r="GG54" s="72"/>
      <c r="GH54" s="72"/>
      <c r="GI54" s="72"/>
      <c r="GJ54" s="72"/>
      <c r="GK54" s="72"/>
      <c r="GL54" s="72"/>
      <c r="GM54" s="72"/>
      <c r="GN54" s="72"/>
      <c r="GO54" s="72"/>
      <c r="GP54" s="72"/>
      <c r="GQ54" s="72"/>
      <c r="GR54" s="72"/>
      <c r="GS54" s="72"/>
      <c r="GT54" s="72"/>
      <c r="GU54" s="72"/>
      <c r="GV54" s="72"/>
      <c r="GW54" s="72"/>
      <c r="GX54" s="72"/>
      <c r="GY54" s="72"/>
      <c r="GZ54" s="72"/>
      <c r="HA54" s="72"/>
      <c r="HB54" s="72"/>
      <c r="HC54" s="72"/>
      <c r="HD54" s="72"/>
      <c r="HE54" s="72"/>
      <c r="HF54" s="72"/>
      <c r="HG54" s="72"/>
      <c r="HH54" s="72"/>
      <c r="HI54" s="72"/>
      <c r="HJ54" s="72"/>
      <c r="HK54" s="72"/>
      <c r="HL54" s="72"/>
      <c r="HM54" s="72"/>
      <c r="HN54" s="72"/>
      <c r="HO54" s="72"/>
      <c r="HP54" s="72"/>
    </row>
    <row r="55" spans="1:224" s="97" customFormat="1" ht="28" x14ac:dyDescent="0.25">
      <c r="A55" s="344"/>
      <c r="B55" s="98" t="s">
        <v>124</v>
      </c>
      <c r="C55" s="192">
        <v>1654</v>
      </c>
      <c r="D55" s="276">
        <f>D41-C41</f>
        <v>2250</v>
      </c>
      <c r="E55" s="276">
        <f t="shared" si="11"/>
        <v>4654</v>
      </c>
      <c r="F55" s="276">
        <f t="shared" si="11"/>
        <v>3458</v>
      </c>
      <c r="G55" s="276">
        <f t="shared" si="11"/>
        <v>4434</v>
      </c>
      <c r="H55" s="276">
        <f t="shared" si="11"/>
        <v>3304</v>
      </c>
      <c r="I55" s="276">
        <f t="shared" si="11"/>
        <v>3124</v>
      </c>
      <c r="J55" s="276">
        <f t="shared" si="11"/>
        <v>4120</v>
      </c>
      <c r="K55" s="276">
        <f t="shared" si="11"/>
        <v>1322</v>
      </c>
      <c r="L55" s="276">
        <f t="shared" si="11"/>
        <v>6158</v>
      </c>
      <c r="M55" s="276">
        <f t="shared" si="11"/>
        <v>1652</v>
      </c>
      <c r="N55" s="276">
        <f t="shared" si="11"/>
        <v>2660</v>
      </c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116"/>
      <c r="AK55" s="82">
        <v>1238</v>
      </c>
      <c r="AL55" s="82">
        <v>2298</v>
      </c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82"/>
      <c r="FR55" s="82"/>
      <c r="FS55" s="82"/>
      <c r="FT55" s="82"/>
      <c r="FU55" s="82"/>
      <c r="FV55" s="82"/>
      <c r="FW55" s="82"/>
      <c r="FX55" s="82"/>
      <c r="FY55" s="82"/>
      <c r="FZ55" s="82"/>
      <c r="GA55" s="82"/>
      <c r="GB55" s="82"/>
      <c r="GC55" s="82"/>
      <c r="GD55" s="82"/>
      <c r="GE55" s="82"/>
      <c r="GF55" s="82"/>
      <c r="GG55" s="82"/>
      <c r="GH55" s="82"/>
      <c r="GI55" s="82"/>
      <c r="GJ55" s="82"/>
      <c r="GK55" s="82"/>
      <c r="GL55" s="82"/>
      <c r="GM55" s="82"/>
      <c r="GN55" s="82"/>
      <c r="GO55" s="82"/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</row>
    <row r="56" spans="1:224" s="97" customFormat="1" ht="34.5" customHeight="1" x14ac:dyDescent="0.25">
      <c r="A56" s="344"/>
      <c r="B56" s="99" t="s">
        <v>125</v>
      </c>
      <c r="C56" s="193">
        <v>5745</v>
      </c>
      <c r="D56" s="265">
        <f t="shared" si="11"/>
        <v>2133</v>
      </c>
      <c r="E56" s="265">
        <f t="shared" si="11"/>
        <v>3552</v>
      </c>
      <c r="F56" s="265">
        <f t="shared" si="11"/>
        <v>4989</v>
      </c>
      <c r="G56" s="265">
        <f t="shared" si="11"/>
        <v>-23853</v>
      </c>
      <c r="H56" s="265">
        <f t="shared" si="11"/>
        <v>5624</v>
      </c>
      <c r="I56" s="265">
        <f t="shared" si="11"/>
        <v>7143</v>
      </c>
      <c r="J56" s="265">
        <f t="shared" si="11"/>
        <v>7257</v>
      </c>
      <c r="K56" s="265">
        <f t="shared" si="11"/>
        <v>5766</v>
      </c>
      <c r="L56" s="265">
        <f t="shared" si="11"/>
        <v>11093</v>
      </c>
      <c r="M56" s="265">
        <f t="shared" si="11"/>
        <v>6107</v>
      </c>
      <c r="N56" s="265">
        <f t="shared" si="11"/>
        <v>7648</v>
      </c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116"/>
      <c r="AK56" s="82">
        <v>9127</v>
      </c>
      <c r="AL56" s="82">
        <v>3923</v>
      </c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82"/>
      <c r="FR56" s="82"/>
      <c r="FS56" s="82"/>
      <c r="FT56" s="82"/>
      <c r="FU56" s="82"/>
      <c r="FV56" s="82"/>
      <c r="FW56" s="82"/>
      <c r="FX56" s="82"/>
      <c r="FY56" s="82"/>
      <c r="FZ56" s="82"/>
      <c r="GA56" s="82"/>
      <c r="GB56" s="82"/>
      <c r="GC56" s="82"/>
      <c r="GD56" s="82"/>
      <c r="GE56" s="82"/>
      <c r="GF56" s="82"/>
      <c r="GG56" s="82"/>
      <c r="GH56" s="82"/>
      <c r="GI56" s="82"/>
      <c r="GJ56" s="82"/>
      <c r="GK56" s="82"/>
      <c r="GL56" s="82"/>
      <c r="GM56" s="82"/>
      <c r="GN56" s="82"/>
      <c r="GO56" s="82"/>
      <c r="GP56" s="82"/>
      <c r="GQ56" s="82"/>
      <c r="GR56" s="82"/>
      <c r="GS56" s="82"/>
      <c r="GT56" s="82"/>
      <c r="GU56" s="82"/>
      <c r="GV56" s="82"/>
      <c r="GW56" s="82"/>
      <c r="GX56" s="82"/>
      <c r="GY56" s="82"/>
      <c r="GZ56" s="82"/>
      <c r="HA56" s="82"/>
      <c r="HB56" s="82"/>
      <c r="HC56" s="82"/>
      <c r="HD56" s="82"/>
      <c r="HE56" s="82"/>
      <c r="HF56" s="82"/>
      <c r="HG56" s="82"/>
      <c r="HH56" s="82"/>
      <c r="HI56" s="82"/>
      <c r="HJ56" s="82"/>
      <c r="HK56" s="82"/>
      <c r="HL56" s="82"/>
      <c r="HM56" s="82"/>
      <c r="HN56" s="82"/>
      <c r="HO56" s="82"/>
      <c r="HP56" s="82"/>
    </row>
    <row r="57" spans="1:224" s="97" customFormat="1" ht="34.5" customHeight="1" x14ac:dyDescent="0.25">
      <c r="A57" s="344"/>
      <c r="B57" s="154" t="s">
        <v>206</v>
      </c>
      <c r="C57" s="193">
        <v>0</v>
      </c>
      <c r="D57" s="265">
        <f t="shared" ref="D57:E57" si="12">IF((D59-D66-D67-D64)&lt;0,0,(D59-D66-D67-D64))</f>
        <v>0</v>
      </c>
      <c r="E57" s="265">
        <f t="shared" si="12"/>
        <v>0</v>
      </c>
      <c r="F57" s="265">
        <f t="shared" ref="F57:G57" si="13">IF((F59-F66-F67-F64)&lt;0,0,(F59-F66-F67-F64))</f>
        <v>0</v>
      </c>
      <c r="G57" s="265">
        <f t="shared" si="13"/>
        <v>0</v>
      </c>
      <c r="H57" s="265">
        <f t="shared" ref="H57:I57" si="14">IF((H59-H66-H67-H64)&lt;0,0,(H59-H66-H67-H64))</f>
        <v>0</v>
      </c>
      <c r="I57" s="265">
        <f t="shared" si="14"/>
        <v>0</v>
      </c>
      <c r="J57" s="265">
        <f t="shared" ref="J57:K57" si="15">IF((J59-J66-J67-J64)&lt;0,0,(J59-J66-J67-J64))</f>
        <v>0</v>
      </c>
      <c r="K57" s="265">
        <f t="shared" si="15"/>
        <v>0</v>
      </c>
      <c r="L57" s="265">
        <f t="shared" ref="L57:M57" si="16">IF((L59-L66-L67-L64)&lt;0,0,(L59-L66-L67-L64))</f>
        <v>0</v>
      </c>
      <c r="M57" s="265">
        <f t="shared" si="16"/>
        <v>0</v>
      </c>
      <c r="N57" s="265">
        <f t="shared" ref="N57" si="17">IF((N59-N66-N67-N64)&lt;0,0,(N59-N66-N67-N64))</f>
        <v>0</v>
      </c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116"/>
      <c r="AK57" s="82">
        <v>0</v>
      </c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2"/>
      <c r="GI57" s="82"/>
      <c r="GJ57" s="82"/>
      <c r="GK57" s="82"/>
      <c r="GL57" s="82"/>
      <c r="GM57" s="82"/>
      <c r="GN57" s="82"/>
      <c r="GO57" s="82"/>
      <c r="GP57" s="82"/>
      <c r="GQ57" s="82"/>
      <c r="GR57" s="82"/>
      <c r="GS57" s="82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</row>
    <row r="58" spans="1:224" s="123" customFormat="1" ht="34.5" customHeight="1" x14ac:dyDescent="0.25">
      <c r="A58" s="344"/>
      <c r="B58" s="124" t="s">
        <v>126</v>
      </c>
      <c r="C58" s="191">
        <v>0</v>
      </c>
      <c r="D58" s="275">
        <f t="shared" ref="D58:N60" si="18">D43-C43</f>
        <v>0</v>
      </c>
      <c r="E58" s="275">
        <f t="shared" si="18"/>
        <v>0</v>
      </c>
      <c r="F58" s="275">
        <f t="shared" si="18"/>
        <v>0</v>
      </c>
      <c r="G58" s="275">
        <f t="shared" si="18"/>
        <v>0</v>
      </c>
      <c r="H58" s="275">
        <f t="shared" si="18"/>
        <v>0</v>
      </c>
      <c r="I58" s="275">
        <f t="shared" si="18"/>
        <v>0</v>
      </c>
      <c r="J58" s="275">
        <f t="shared" si="18"/>
        <v>0</v>
      </c>
      <c r="K58" s="275">
        <f t="shared" si="18"/>
        <v>0</v>
      </c>
      <c r="L58" s="275">
        <f t="shared" si="18"/>
        <v>0</v>
      </c>
      <c r="M58" s="275">
        <f t="shared" si="18"/>
        <v>0</v>
      </c>
      <c r="N58" s="275">
        <f t="shared" si="18"/>
        <v>0</v>
      </c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125"/>
      <c r="AK58" s="72">
        <v>0</v>
      </c>
      <c r="AL58" s="72">
        <v>0</v>
      </c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7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7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72"/>
      <c r="HK58" s="72"/>
      <c r="HL58" s="72"/>
      <c r="HM58" s="72"/>
      <c r="HN58" s="72"/>
      <c r="HO58" s="72"/>
      <c r="HP58" s="72"/>
    </row>
    <row r="59" spans="1:224" s="97" customFormat="1" ht="34.5" customHeight="1" x14ac:dyDescent="0.25">
      <c r="A59" s="344"/>
      <c r="B59" s="98" t="s">
        <v>127</v>
      </c>
      <c r="C59" s="192">
        <v>1151</v>
      </c>
      <c r="D59" s="276">
        <f t="shared" si="18"/>
        <v>2149</v>
      </c>
      <c r="E59" s="276">
        <f t="shared" si="18"/>
        <v>1795</v>
      </c>
      <c r="F59" s="276">
        <f t="shared" si="18"/>
        <v>1583</v>
      </c>
      <c r="G59" s="276">
        <f t="shared" si="18"/>
        <v>1110</v>
      </c>
      <c r="H59" s="276">
        <f t="shared" si="18"/>
        <v>1144</v>
      </c>
      <c r="I59" s="276">
        <f t="shared" si="18"/>
        <v>1174</v>
      </c>
      <c r="J59" s="276">
        <f t="shared" si="18"/>
        <v>1778</v>
      </c>
      <c r="K59" s="276">
        <f t="shared" si="18"/>
        <v>1527</v>
      </c>
      <c r="L59" s="276">
        <f t="shared" si="18"/>
        <v>993</v>
      </c>
      <c r="M59" s="276">
        <f t="shared" si="18"/>
        <v>1245</v>
      </c>
      <c r="N59" s="276">
        <f t="shared" si="18"/>
        <v>1034</v>
      </c>
      <c r="O59" s="276"/>
      <c r="P59" s="276"/>
      <c r="Q59" s="276"/>
      <c r="R59" s="276"/>
      <c r="S59" s="276"/>
      <c r="T59" s="276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  <c r="AG59" s="276"/>
      <c r="AH59" s="276"/>
      <c r="AI59" s="276"/>
      <c r="AJ59" s="116"/>
      <c r="AK59" s="82">
        <v>846</v>
      </c>
      <c r="AL59" s="82">
        <v>4776</v>
      </c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  <c r="DU59" s="82"/>
      <c r="DV59" s="82"/>
      <c r="DW59" s="82"/>
      <c r="DX59" s="82"/>
      <c r="DY59" s="82"/>
      <c r="DZ59" s="82"/>
      <c r="EA59" s="82"/>
      <c r="EB59" s="82"/>
      <c r="EC59" s="82"/>
      <c r="ED59" s="82"/>
      <c r="EE59" s="82"/>
      <c r="EF59" s="82"/>
      <c r="EG59" s="82"/>
      <c r="EH59" s="82"/>
      <c r="EI59" s="82"/>
      <c r="EJ59" s="82"/>
      <c r="EK59" s="82"/>
      <c r="EL59" s="82"/>
      <c r="EM59" s="82"/>
      <c r="EN59" s="82"/>
      <c r="EO59" s="82"/>
      <c r="EP59" s="82"/>
      <c r="EQ59" s="82"/>
      <c r="ER59" s="82"/>
      <c r="ES59" s="82"/>
      <c r="ET59" s="82"/>
      <c r="EU59" s="82"/>
      <c r="EV59" s="82"/>
      <c r="EW59" s="82"/>
      <c r="EX59" s="82"/>
      <c r="EY59" s="82"/>
      <c r="EZ59" s="82"/>
      <c r="FA59" s="82"/>
      <c r="FB59" s="82"/>
      <c r="FC59" s="82"/>
      <c r="FD59" s="82"/>
      <c r="FE59" s="82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82"/>
      <c r="FR59" s="82"/>
      <c r="FS59" s="82"/>
      <c r="FT59" s="82"/>
      <c r="FU59" s="82"/>
      <c r="FV59" s="82"/>
      <c r="FW59" s="82"/>
      <c r="FX59" s="82"/>
      <c r="FY59" s="82"/>
      <c r="FZ59" s="82"/>
      <c r="GA59" s="82"/>
      <c r="GB59" s="82"/>
      <c r="GC59" s="82"/>
      <c r="GD59" s="82"/>
      <c r="GE59" s="82"/>
      <c r="GF59" s="82"/>
      <c r="GG59" s="82"/>
      <c r="GH59" s="82"/>
      <c r="GI59" s="82"/>
      <c r="GJ59" s="82"/>
      <c r="GK59" s="82"/>
      <c r="GL59" s="82"/>
      <c r="GM59" s="82"/>
      <c r="GN59" s="82"/>
      <c r="GO59" s="82"/>
      <c r="GP59" s="82"/>
      <c r="GQ59" s="82"/>
      <c r="GR59" s="82"/>
      <c r="GS59" s="82"/>
      <c r="GT59" s="82"/>
      <c r="GU59" s="82"/>
      <c r="GV59" s="82"/>
      <c r="GW59" s="82"/>
      <c r="GX59" s="82"/>
      <c r="GY59" s="82"/>
      <c r="GZ59" s="82"/>
      <c r="HA59" s="82"/>
      <c r="HB59" s="82"/>
      <c r="HC59" s="82"/>
      <c r="HD59" s="82"/>
      <c r="HE59" s="82"/>
      <c r="HF59" s="82"/>
      <c r="HG59" s="82"/>
      <c r="HH59" s="82"/>
      <c r="HI59" s="82"/>
      <c r="HJ59" s="82"/>
      <c r="HK59" s="82"/>
      <c r="HL59" s="82"/>
      <c r="HM59" s="82"/>
      <c r="HN59" s="82"/>
      <c r="HO59" s="82"/>
      <c r="HP59" s="82"/>
    </row>
    <row r="60" spans="1:224" s="97" customFormat="1" ht="36" customHeight="1" x14ac:dyDescent="0.25">
      <c r="A60" s="344"/>
      <c r="B60" s="99" t="s">
        <v>128</v>
      </c>
      <c r="C60" s="194">
        <v>3960</v>
      </c>
      <c r="D60" s="277">
        <f t="shared" si="18"/>
        <v>2368</v>
      </c>
      <c r="E60" s="277">
        <f t="shared" si="18"/>
        <v>3270</v>
      </c>
      <c r="F60" s="277">
        <f t="shared" si="18"/>
        <v>3510</v>
      </c>
      <c r="G60" s="277">
        <f t="shared" si="18"/>
        <v>4546</v>
      </c>
      <c r="H60" s="277">
        <f t="shared" si="18"/>
        <v>4248</v>
      </c>
      <c r="I60" s="277">
        <f t="shared" si="18"/>
        <v>4096</v>
      </c>
      <c r="J60" s="277">
        <f t="shared" si="18"/>
        <v>3430</v>
      </c>
      <c r="K60" s="277">
        <f t="shared" si="18"/>
        <v>4000</v>
      </c>
      <c r="L60" s="277">
        <f t="shared" si="18"/>
        <v>4518</v>
      </c>
      <c r="M60" s="277">
        <f t="shared" si="18"/>
        <v>4228</v>
      </c>
      <c r="N60" s="277">
        <f t="shared" si="18"/>
        <v>4710</v>
      </c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  <c r="AA60" s="277"/>
      <c r="AB60" s="277"/>
      <c r="AC60" s="277"/>
      <c r="AD60" s="277"/>
      <c r="AE60" s="277"/>
      <c r="AF60" s="277"/>
      <c r="AG60" s="277"/>
      <c r="AH60" s="277"/>
      <c r="AI60" s="277"/>
      <c r="AJ60" s="116"/>
      <c r="AK60" s="82">
        <v>7386</v>
      </c>
      <c r="AL60" s="82">
        <v>2556</v>
      </c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  <c r="EA60" s="82"/>
      <c r="EB60" s="82"/>
      <c r="EC60" s="82"/>
      <c r="ED60" s="82"/>
      <c r="EE60" s="82"/>
      <c r="EF60" s="82"/>
      <c r="EG60" s="82"/>
      <c r="EH60" s="82"/>
      <c r="EI60" s="82"/>
      <c r="EJ60" s="82"/>
      <c r="EK60" s="82"/>
      <c r="EL60" s="82"/>
      <c r="EM60" s="82"/>
      <c r="EN60" s="82"/>
      <c r="EO60" s="82"/>
      <c r="EP60" s="82"/>
      <c r="EQ60" s="82"/>
      <c r="ER60" s="82"/>
      <c r="ES60" s="82"/>
      <c r="ET60" s="82"/>
      <c r="EU60" s="82"/>
      <c r="EV60" s="82"/>
      <c r="EW60" s="82"/>
      <c r="EX60" s="82"/>
      <c r="EY60" s="82"/>
      <c r="EZ60" s="82"/>
      <c r="FA60" s="82"/>
      <c r="FB60" s="82"/>
      <c r="FC60" s="82"/>
      <c r="FD60" s="82"/>
      <c r="FE60" s="82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82"/>
      <c r="FR60" s="82"/>
      <c r="FS60" s="82"/>
      <c r="FT60" s="82"/>
      <c r="FU60" s="82"/>
      <c r="FV60" s="82"/>
      <c r="FW60" s="82"/>
      <c r="FX60" s="82"/>
      <c r="FY60" s="82"/>
      <c r="FZ60" s="82"/>
      <c r="GA60" s="82"/>
      <c r="GB60" s="82"/>
      <c r="GC60" s="82"/>
      <c r="GD60" s="82"/>
      <c r="GE60" s="82"/>
      <c r="GF60" s="82"/>
      <c r="GG60" s="82"/>
      <c r="GH60" s="82"/>
      <c r="GI60" s="82"/>
      <c r="GJ60" s="82"/>
      <c r="GK60" s="82"/>
      <c r="GL60" s="82"/>
      <c r="GM60" s="82"/>
      <c r="GN60" s="82"/>
      <c r="GO60" s="82"/>
      <c r="GP60" s="82"/>
      <c r="GQ60" s="82"/>
      <c r="GR60" s="82"/>
      <c r="GS60" s="82"/>
      <c r="GT60" s="82"/>
      <c r="GU60" s="82"/>
      <c r="GV60" s="82"/>
      <c r="GW60" s="82"/>
      <c r="GX60" s="82"/>
      <c r="GY60" s="82"/>
      <c r="GZ60" s="82"/>
      <c r="HA60" s="82"/>
      <c r="HB60" s="82"/>
      <c r="HC60" s="82"/>
      <c r="HD60" s="82"/>
      <c r="HE60" s="82"/>
      <c r="HF60" s="82"/>
      <c r="HG60" s="82"/>
      <c r="HH60" s="82"/>
      <c r="HI60" s="82"/>
      <c r="HJ60" s="82"/>
      <c r="HK60" s="82"/>
      <c r="HL60" s="82"/>
      <c r="HM60" s="82"/>
      <c r="HN60" s="82"/>
      <c r="HO60" s="82"/>
      <c r="HP60" s="82"/>
    </row>
    <row r="61" spans="1:224" s="97" customFormat="1" ht="36" customHeight="1" x14ac:dyDescent="0.25">
      <c r="A61" s="344"/>
      <c r="B61" s="260" t="s">
        <v>154</v>
      </c>
      <c r="C61" s="261">
        <v>-131</v>
      </c>
      <c r="D61" s="278">
        <f t="shared" ref="D61:E61" si="19">SUM(D60,D55)-D56</f>
        <v>2485</v>
      </c>
      <c r="E61" s="278">
        <f t="shared" si="19"/>
        <v>4372</v>
      </c>
      <c r="F61" s="278">
        <f t="shared" ref="F61:G61" si="20">SUM(F60,F55)-F56</f>
        <v>1979</v>
      </c>
      <c r="G61" s="278">
        <f t="shared" si="20"/>
        <v>32833</v>
      </c>
      <c r="H61" s="278">
        <f t="shared" ref="H61:I61" si="21">SUM(H60,H55)-H56</f>
        <v>1928</v>
      </c>
      <c r="I61" s="278">
        <f t="shared" si="21"/>
        <v>77</v>
      </c>
      <c r="J61" s="278">
        <f t="shared" ref="J61:K61" si="22">SUM(J60,J55)-J56</f>
        <v>293</v>
      </c>
      <c r="K61" s="278">
        <f t="shared" si="22"/>
        <v>-444</v>
      </c>
      <c r="L61" s="278">
        <f t="shared" ref="L61:M61" si="23">SUM(L60,L55)-L56</f>
        <v>-417</v>
      </c>
      <c r="M61" s="278">
        <f t="shared" si="23"/>
        <v>-227</v>
      </c>
      <c r="N61" s="278">
        <f t="shared" ref="N61" si="24">SUM(N60,N55)-N56</f>
        <v>-278</v>
      </c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116"/>
      <c r="AK61" s="82">
        <v>-503</v>
      </c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  <c r="EA61" s="82"/>
      <c r="EB61" s="82"/>
      <c r="EC61" s="82"/>
      <c r="ED61" s="82"/>
      <c r="EE61" s="82"/>
      <c r="EF61" s="82"/>
      <c r="EG61" s="82"/>
      <c r="EH61" s="82"/>
      <c r="EI61" s="82"/>
      <c r="EJ61" s="82"/>
      <c r="EK61" s="82"/>
      <c r="EL61" s="82"/>
      <c r="EM61" s="82"/>
      <c r="EN61" s="82"/>
      <c r="EO61" s="82"/>
      <c r="EP61" s="82"/>
      <c r="EQ61" s="82"/>
      <c r="ER61" s="82"/>
      <c r="ES61" s="82"/>
      <c r="ET61" s="82"/>
      <c r="EU61" s="82"/>
      <c r="EV61" s="82"/>
      <c r="EW61" s="82"/>
      <c r="EX61" s="82"/>
      <c r="EY61" s="82"/>
      <c r="EZ61" s="82"/>
      <c r="FA61" s="82"/>
      <c r="FB61" s="82"/>
      <c r="FC61" s="82"/>
      <c r="FD61" s="82"/>
      <c r="FE61" s="82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82"/>
      <c r="FR61" s="82"/>
      <c r="FS61" s="82"/>
      <c r="FT61" s="82"/>
      <c r="FU61" s="82"/>
      <c r="FV61" s="82"/>
      <c r="FW61" s="82"/>
      <c r="FX61" s="82"/>
      <c r="FY61" s="82"/>
      <c r="FZ61" s="82"/>
      <c r="GA61" s="82"/>
      <c r="GB61" s="82"/>
      <c r="GC61" s="82"/>
      <c r="GD61" s="82"/>
      <c r="GE61" s="82"/>
      <c r="GF61" s="82"/>
      <c r="GG61" s="82"/>
      <c r="GH61" s="82"/>
      <c r="GI61" s="82"/>
      <c r="GJ61" s="82"/>
      <c r="GK61" s="82"/>
      <c r="GL61" s="82"/>
      <c r="GM61" s="82"/>
      <c r="GN61" s="82"/>
      <c r="GO61" s="82"/>
      <c r="GP61" s="82"/>
      <c r="GQ61" s="82"/>
      <c r="GR61" s="82"/>
      <c r="GS61" s="82"/>
      <c r="GT61" s="82"/>
      <c r="GU61" s="82"/>
      <c r="GV61" s="82"/>
      <c r="GW61" s="82"/>
      <c r="GX61" s="82"/>
      <c r="GY61" s="82"/>
      <c r="GZ61" s="82"/>
      <c r="HA61" s="82"/>
      <c r="HB61" s="82"/>
      <c r="HC61" s="82"/>
      <c r="HD61" s="82"/>
      <c r="HE61" s="82"/>
      <c r="HF61" s="82"/>
      <c r="HG61" s="82"/>
      <c r="HH61" s="82"/>
      <c r="HI61" s="82"/>
      <c r="HJ61" s="82"/>
      <c r="HK61" s="82"/>
      <c r="HL61" s="82"/>
      <c r="HM61" s="82"/>
      <c r="HN61" s="82"/>
      <c r="HO61" s="82"/>
      <c r="HP61" s="82"/>
    </row>
    <row r="62" spans="1:224" s="97" customFormat="1" ht="13.5" customHeight="1" x14ac:dyDescent="0.25">
      <c r="A62" s="344"/>
      <c r="B62" s="154" t="s">
        <v>138</v>
      </c>
      <c r="C62" s="192">
        <v>0</v>
      </c>
      <c r="D62" s="276">
        <f t="shared" ref="D62:N69" si="25">D46-C46</f>
        <v>0</v>
      </c>
      <c r="E62" s="276">
        <f t="shared" si="25"/>
        <v>0</v>
      </c>
      <c r="F62" s="276">
        <f t="shared" si="25"/>
        <v>0</v>
      </c>
      <c r="G62" s="276">
        <f t="shared" si="25"/>
        <v>0</v>
      </c>
      <c r="H62" s="276">
        <f t="shared" si="25"/>
        <v>0</v>
      </c>
      <c r="I62" s="276">
        <f t="shared" si="25"/>
        <v>0</v>
      </c>
      <c r="J62" s="276">
        <f t="shared" si="25"/>
        <v>0</v>
      </c>
      <c r="K62" s="276">
        <f t="shared" si="25"/>
        <v>0</v>
      </c>
      <c r="L62" s="276">
        <f t="shared" si="25"/>
        <v>0</v>
      </c>
      <c r="M62" s="276">
        <f t="shared" si="25"/>
        <v>0</v>
      </c>
      <c r="N62" s="276">
        <f t="shared" si="25"/>
        <v>0</v>
      </c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  <c r="AG62" s="276"/>
      <c r="AH62" s="276"/>
      <c r="AI62" s="276"/>
      <c r="AJ62" s="116"/>
      <c r="AK62" s="82">
        <v>0</v>
      </c>
      <c r="AL62" s="82">
        <v>0</v>
      </c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U62" s="82"/>
      <c r="EV62" s="82"/>
      <c r="EW62" s="82"/>
      <c r="EX62" s="82"/>
      <c r="EY62" s="82"/>
      <c r="EZ62" s="82"/>
      <c r="FA62" s="82"/>
      <c r="FB62" s="82"/>
      <c r="FC62" s="82"/>
      <c r="FD62" s="82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  <c r="FU62" s="82"/>
      <c r="FV62" s="82"/>
      <c r="FW62" s="82"/>
      <c r="FX62" s="82"/>
      <c r="FY62" s="82"/>
      <c r="FZ62" s="82"/>
      <c r="GA62" s="82"/>
      <c r="GB62" s="82"/>
      <c r="GC62" s="82"/>
      <c r="GD62" s="82"/>
      <c r="GE62" s="82"/>
      <c r="GF62" s="82"/>
      <c r="GG62" s="82"/>
      <c r="GH62" s="82"/>
      <c r="GI62" s="82"/>
      <c r="GJ62" s="82"/>
      <c r="GK62" s="82"/>
      <c r="GL62" s="82"/>
      <c r="GM62" s="82"/>
      <c r="GN62" s="82"/>
      <c r="GO62" s="82"/>
      <c r="GP62" s="82"/>
      <c r="GQ62" s="82"/>
      <c r="GR62" s="82"/>
      <c r="GS62" s="82"/>
      <c r="GT62" s="82"/>
      <c r="GU62" s="82"/>
      <c r="GV62" s="82"/>
      <c r="GW62" s="82"/>
      <c r="GX62" s="82"/>
      <c r="GY62" s="82"/>
      <c r="GZ62" s="82"/>
      <c r="HA62" s="82"/>
      <c r="HB62" s="82"/>
      <c r="HC62" s="82"/>
      <c r="HD62" s="82"/>
      <c r="HE62" s="82"/>
      <c r="HF62" s="82"/>
      <c r="HG62" s="82"/>
      <c r="HH62" s="82"/>
      <c r="HI62" s="82"/>
      <c r="HJ62" s="82"/>
      <c r="HK62" s="82"/>
      <c r="HL62" s="82"/>
      <c r="HM62" s="82"/>
      <c r="HN62" s="82"/>
      <c r="HO62" s="82"/>
      <c r="HP62" s="82"/>
    </row>
    <row r="63" spans="1:224" s="123" customFormat="1" ht="18.75" customHeight="1" x14ac:dyDescent="0.25">
      <c r="A63" s="344"/>
      <c r="B63" s="155" t="s">
        <v>139</v>
      </c>
      <c r="C63" s="191">
        <v>1621</v>
      </c>
      <c r="D63" s="275">
        <f t="shared" si="25"/>
        <v>1392</v>
      </c>
      <c r="E63" s="275">
        <f t="shared" si="25"/>
        <v>2255</v>
      </c>
      <c r="F63" s="275">
        <f t="shared" si="25"/>
        <v>1777</v>
      </c>
      <c r="G63" s="275">
        <f t="shared" si="25"/>
        <v>1992</v>
      </c>
      <c r="H63" s="275">
        <f t="shared" si="25"/>
        <v>2079</v>
      </c>
      <c r="I63" s="275">
        <f t="shared" si="25"/>
        <v>1468</v>
      </c>
      <c r="J63" s="275">
        <f t="shared" si="25"/>
        <v>2217</v>
      </c>
      <c r="K63" s="275">
        <f t="shared" si="25"/>
        <v>2439</v>
      </c>
      <c r="L63" s="275">
        <f t="shared" si="25"/>
        <v>2490</v>
      </c>
      <c r="M63" s="275">
        <f t="shared" si="25"/>
        <v>2254</v>
      </c>
      <c r="N63" s="275">
        <f t="shared" si="25"/>
        <v>1834</v>
      </c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125"/>
      <c r="AK63" s="72">
        <v>1384</v>
      </c>
      <c r="AL63" s="72">
        <v>440</v>
      </c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  <c r="FB63" s="72"/>
      <c r="FC63" s="72"/>
      <c r="FD63" s="72"/>
      <c r="FE63" s="72"/>
      <c r="FF63" s="72"/>
      <c r="FG63" s="72"/>
      <c r="FH63" s="72"/>
      <c r="FI63" s="72"/>
      <c r="FJ63" s="72"/>
      <c r="FK63" s="72"/>
      <c r="FL63" s="72"/>
      <c r="FM63" s="72"/>
      <c r="FN63" s="72"/>
      <c r="FO63" s="72"/>
      <c r="FP63" s="72"/>
      <c r="FQ63" s="72"/>
      <c r="FR63" s="72"/>
      <c r="FS63" s="72"/>
      <c r="FT63" s="72"/>
      <c r="FU63" s="72"/>
      <c r="FV63" s="72"/>
      <c r="FW63" s="72"/>
      <c r="FX63" s="72"/>
      <c r="FY63" s="72"/>
      <c r="FZ63" s="72"/>
      <c r="GA63" s="72"/>
      <c r="GB63" s="72"/>
      <c r="GC63" s="72"/>
      <c r="GD63" s="72"/>
      <c r="GE63" s="72"/>
      <c r="GF63" s="72"/>
      <c r="GG63" s="72"/>
      <c r="GH63" s="72"/>
      <c r="GI63" s="72"/>
      <c r="GJ63" s="72"/>
      <c r="GK63" s="72"/>
      <c r="GL63" s="72"/>
      <c r="GM63" s="72"/>
      <c r="GN63" s="72"/>
      <c r="GO63" s="72"/>
      <c r="GP63" s="72"/>
      <c r="GQ63" s="72"/>
      <c r="GR63" s="72"/>
      <c r="GS63" s="72"/>
      <c r="GT63" s="72"/>
      <c r="GU63" s="72"/>
      <c r="GV63" s="72"/>
      <c r="GW63" s="72"/>
      <c r="GX63" s="72"/>
      <c r="GY63" s="72"/>
      <c r="GZ63" s="72"/>
      <c r="HA63" s="72"/>
      <c r="HB63" s="72"/>
      <c r="HC63" s="72"/>
      <c r="HD63" s="72"/>
      <c r="HE63" s="72"/>
      <c r="HF63" s="72"/>
      <c r="HG63" s="72"/>
      <c r="HH63" s="72"/>
      <c r="HI63" s="72"/>
      <c r="HJ63" s="72"/>
      <c r="HK63" s="72"/>
      <c r="HL63" s="72"/>
      <c r="HM63" s="72"/>
      <c r="HN63" s="72"/>
      <c r="HO63" s="72"/>
      <c r="HP63" s="72"/>
    </row>
    <row r="64" spans="1:224" s="97" customFormat="1" ht="26.25" customHeight="1" x14ac:dyDescent="0.25">
      <c r="A64" s="344"/>
      <c r="B64" s="99" t="s">
        <v>131</v>
      </c>
      <c r="C64" s="194">
        <v>868</v>
      </c>
      <c r="D64" s="277">
        <f t="shared" si="25"/>
        <v>1788</v>
      </c>
      <c r="E64" s="277">
        <f t="shared" si="25"/>
        <v>1454</v>
      </c>
      <c r="F64" s="277">
        <f t="shared" si="25"/>
        <v>1249</v>
      </c>
      <c r="G64" s="277">
        <f t="shared" si="25"/>
        <v>759</v>
      </c>
      <c r="H64" s="277">
        <f t="shared" si="25"/>
        <v>800</v>
      </c>
      <c r="I64" s="277">
        <f t="shared" si="25"/>
        <v>899</v>
      </c>
      <c r="J64" s="277">
        <f t="shared" si="25"/>
        <v>1365</v>
      </c>
      <c r="K64" s="277">
        <f t="shared" si="25"/>
        <v>1198</v>
      </c>
      <c r="L64" s="277">
        <f t="shared" si="25"/>
        <v>751</v>
      </c>
      <c r="M64" s="277">
        <f t="shared" si="25"/>
        <v>1019</v>
      </c>
      <c r="N64" s="277">
        <f>N48-M48</f>
        <v>688</v>
      </c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  <c r="AB64" s="277"/>
      <c r="AC64" s="277"/>
      <c r="AD64" s="277"/>
      <c r="AE64" s="277"/>
      <c r="AF64" s="277"/>
      <c r="AG64" s="277"/>
      <c r="AH64" s="277"/>
      <c r="AI64" s="277"/>
      <c r="AJ64" s="116"/>
      <c r="AK64" s="82">
        <v>658</v>
      </c>
      <c r="AL64" s="82">
        <v>2318</v>
      </c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2"/>
      <c r="DL64" s="82"/>
      <c r="DM64" s="82"/>
      <c r="DN64" s="82"/>
      <c r="DO64" s="82"/>
      <c r="DP64" s="82"/>
      <c r="DQ64" s="82"/>
      <c r="DR64" s="82"/>
      <c r="DS64" s="82"/>
      <c r="DT64" s="82"/>
      <c r="DU64" s="82"/>
      <c r="DV64" s="82"/>
      <c r="DW64" s="82"/>
      <c r="DX64" s="82"/>
      <c r="DY64" s="82"/>
      <c r="DZ64" s="82"/>
      <c r="EA64" s="82"/>
      <c r="EB64" s="82"/>
      <c r="EC64" s="82"/>
      <c r="ED64" s="82"/>
      <c r="EE64" s="82"/>
      <c r="EF64" s="82"/>
      <c r="EG64" s="82"/>
      <c r="EH64" s="82"/>
      <c r="EI64" s="82"/>
      <c r="EJ64" s="82"/>
      <c r="EK64" s="82"/>
      <c r="EL64" s="82"/>
      <c r="EM64" s="82"/>
      <c r="EN64" s="82"/>
      <c r="EO64" s="82"/>
      <c r="EP64" s="82"/>
      <c r="EQ64" s="82"/>
      <c r="ER64" s="82"/>
      <c r="ES64" s="82"/>
      <c r="ET64" s="82"/>
      <c r="EU64" s="82"/>
      <c r="EV64" s="82"/>
      <c r="EW64" s="82"/>
      <c r="EX64" s="82"/>
      <c r="EY64" s="82"/>
      <c r="EZ64" s="82"/>
      <c r="FA64" s="82"/>
      <c r="FB64" s="82"/>
      <c r="FC64" s="82"/>
      <c r="FD64" s="82"/>
      <c r="FE64" s="82"/>
      <c r="FF64" s="82"/>
      <c r="FG64" s="82"/>
      <c r="FH64" s="82"/>
      <c r="FI64" s="82"/>
      <c r="FJ64" s="82"/>
      <c r="FK64" s="82"/>
      <c r="FL64" s="82"/>
      <c r="FM64" s="82"/>
      <c r="FN64" s="82"/>
      <c r="FO64" s="82"/>
      <c r="FP64" s="82"/>
      <c r="FQ64" s="82"/>
      <c r="FR64" s="82"/>
      <c r="FS64" s="82"/>
      <c r="FT64" s="82"/>
      <c r="FU64" s="82"/>
      <c r="FV64" s="82"/>
      <c r="FW64" s="82"/>
      <c r="FX64" s="82"/>
      <c r="FY64" s="82"/>
      <c r="FZ64" s="82"/>
      <c r="GA64" s="82"/>
      <c r="GB64" s="82"/>
      <c r="GC64" s="82"/>
      <c r="GD64" s="82"/>
      <c r="GE64" s="82"/>
      <c r="GF64" s="82"/>
      <c r="GG64" s="82"/>
      <c r="GH64" s="82"/>
      <c r="GI64" s="82"/>
      <c r="GJ64" s="82"/>
      <c r="GK64" s="82"/>
      <c r="GL64" s="82"/>
      <c r="GM64" s="82"/>
      <c r="GN64" s="82"/>
      <c r="GO64" s="82"/>
      <c r="GP64" s="82"/>
      <c r="GQ64" s="82"/>
      <c r="GR64" s="82"/>
      <c r="GS64" s="82"/>
      <c r="GT64" s="82"/>
      <c r="GU64" s="82"/>
      <c r="GV64" s="82"/>
      <c r="GW64" s="82"/>
      <c r="GX64" s="82"/>
      <c r="GY64" s="82"/>
      <c r="GZ64" s="82"/>
      <c r="HA64" s="82"/>
      <c r="HB64" s="82"/>
      <c r="HC64" s="82"/>
      <c r="HD64" s="82"/>
      <c r="HE64" s="82"/>
      <c r="HF64" s="82"/>
      <c r="HG64" s="82"/>
      <c r="HH64" s="82"/>
      <c r="HI64" s="82"/>
      <c r="HJ64" s="82"/>
      <c r="HK64" s="82"/>
      <c r="HL64" s="82"/>
      <c r="HM64" s="82"/>
      <c r="HN64" s="82"/>
      <c r="HO64" s="82"/>
      <c r="HP64" s="82"/>
    </row>
    <row r="65" spans="1:224" s="97" customFormat="1" ht="18.75" customHeight="1" x14ac:dyDescent="0.25">
      <c r="A65" s="344"/>
      <c r="B65" s="98" t="s">
        <v>140</v>
      </c>
      <c r="C65" s="192">
        <v>1</v>
      </c>
      <c r="D65" s="276">
        <f t="shared" si="25"/>
        <v>1</v>
      </c>
      <c r="E65" s="276">
        <f t="shared" si="25"/>
        <v>1</v>
      </c>
      <c r="F65" s="276">
        <f t="shared" si="25"/>
        <v>1</v>
      </c>
      <c r="G65" s="276">
        <f t="shared" si="25"/>
        <v>1</v>
      </c>
      <c r="H65" s="276">
        <f t="shared" si="25"/>
        <v>2</v>
      </c>
      <c r="I65" s="276">
        <f t="shared" si="25"/>
        <v>2</v>
      </c>
      <c r="J65" s="276">
        <f t="shared" si="25"/>
        <v>2</v>
      </c>
      <c r="K65" s="276">
        <f t="shared" si="25"/>
        <v>2</v>
      </c>
      <c r="L65" s="276">
        <f t="shared" si="25"/>
        <v>3</v>
      </c>
      <c r="M65" s="276">
        <f t="shared" si="25"/>
        <v>2</v>
      </c>
      <c r="N65" s="276">
        <f t="shared" si="25"/>
        <v>2</v>
      </c>
      <c r="O65" s="276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  <c r="AH65" s="276"/>
      <c r="AI65" s="276"/>
      <c r="AJ65" s="116"/>
      <c r="AK65" s="82">
        <v>2</v>
      </c>
      <c r="AL65" s="82">
        <v>0</v>
      </c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  <c r="DU65" s="82"/>
      <c r="DV65" s="82"/>
      <c r="DW65" s="82"/>
      <c r="DX65" s="82"/>
      <c r="DY65" s="82"/>
      <c r="DZ65" s="82"/>
      <c r="EA65" s="82"/>
      <c r="EB65" s="82"/>
      <c r="EC65" s="82"/>
      <c r="ED65" s="82"/>
      <c r="EE65" s="82"/>
      <c r="EF65" s="82"/>
      <c r="EG65" s="82"/>
      <c r="EH65" s="82"/>
      <c r="EI65" s="82"/>
      <c r="EJ65" s="82"/>
      <c r="EK65" s="82"/>
      <c r="EL65" s="82"/>
      <c r="EM65" s="82"/>
      <c r="EN65" s="82"/>
      <c r="EO65" s="82"/>
      <c r="EP65" s="82"/>
      <c r="EQ65" s="82"/>
      <c r="ER65" s="82"/>
      <c r="ES65" s="82"/>
      <c r="ET65" s="82"/>
      <c r="EU65" s="82"/>
      <c r="EV65" s="82"/>
      <c r="EW65" s="82"/>
      <c r="EX65" s="82"/>
      <c r="EY65" s="82"/>
      <c r="EZ65" s="82"/>
      <c r="FA65" s="82"/>
      <c r="FB65" s="82"/>
      <c r="FC65" s="82"/>
      <c r="FD65" s="82"/>
      <c r="FE65" s="82"/>
      <c r="FF65" s="82"/>
      <c r="FG65" s="82"/>
      <c r="FH65" s="82"/>
      <c r="FI65" s="82"/>
      <c r="FJ65" s="82"/>
      <c r="FK65" s="82"/>
      <c r="FL65" s="82"/>
      <c r="FM65" s="82"/>
      <c r="FN65" s="82"/>
      <c r="FO65" s="82"/>
      <c r="FP65" s="82"/>
      <c r="FQ65" s="82"/>
      <c r="FR65" s="82"/>
      <c r="FS65" s="82"/>
      <c r="FT65" s="82"/>
      <c r="FU65" s="82"/>
      <c r="FV65" s="82"/>
      <c r="FW65" s="82"/>
      <c r="FX65" s="82"/>
      <c r="FY65" s="82"/>
      <c r="FZ65" s="82"/>
      <c r="GA65" s="82"/>
      <c r="GB65" s="82"/>
      <c r="GC65" s="82"/>
      <c r="GD65" s="82"/>
      <c r="GE65" s="82"/>
      <c r="GF65" s="82"/>
      <c r="GG65" s="82"/>
      <c r="GH65" s="82"/>
      <c r="GI65" s="82"/>
      <c r="GJ65" s="82"/>
      <c r="GK65" s="82"/>
      <c r="GL65" s="82"/>
      <c r="GM65" s="82"/>
      <c r="GN65" s="82"/>
      <c r="GO65" s="82"/>
      <c r="GP65" s="82"/>
      <c r="GQ65" s="82"/>
      <c r="GR65" s="82"/>
      <c r="GS65" s="82"/>
      <c r="GT65" s="82"/>
      <c r="GU65" s="82"/>
      <c r="GV65" s="82"/>
      <c r="GW65" s="82"/>
      <c r="GX65" s="82"/>
      <c r="GY65" s="82"/>
      <c r="GZ65" s="82"/>
      <c r="HA65" s="82"/>
      <c r="HB65" s="82"/>
      <c r="HC65" s="82"/>
      <c r="HD65" s="82"/>
      <c r="HE65" s="82"/>
      <c r="HF65" s="82"/>
      <c r="HG65" s="82"/>
      <c r="HH65" s="82"/>
      <c r="HI65" s="82"/>
      <c r="HJ65" s="82"/>
      <c r="HK65" s="82"/>
      <c r="HL65" s="82"/>
      <c r="HM65" s="82"/>
      <c r="HN65" s="82"/>
      <c r="HO65" s="82"/>
      <c r="HP65" s="82"/>
    </row>
    <row r="66" spans="1:224" s="97" customFormat="1" ht="18.75" customHeight="1" x14ac:dyDescent="0.25">
      <c r="A66" s="344"/>
      <c r="B66" s="154" t="s">
        <v>141</v>
      </c>
      <c r="C66" s="192">
        <v>383</v>
      </c>
      <c r="D66" s="276">
        <f t="shared" si="25"/>
        <v>620</v>
      </c>
      <c r="E66" s="276">
        <f t="shared" si="25"/>
        <v>1021</v>
      </c>
      <c r="F66" s="276">
        <f t="shared" si="25"/>
        <v>263</v>
      </c>
      <c r="G66" s="276">
        <f t="shared" si="25"/>
        <v>854</v>
      </c>
      <c r="H66" s="276">
        <f t="shared" si="25"/>
        <v>967</v>
      </c>
      <c r="I66" s="276">
        <f t="shared" si="25"/>
        <v>218</v>
      </c>
      <c r="J66" s="276">
        <f t="shared" si="25"/>
        <v>942</v>
      </c>
      <c r="K66" s="276">
        <f t="shared" si="25"/>
        <v>820</v>
      </c>
      <c r="L66" s="276">
        <f t="shared" si="25"/>
        <v>1275</v>
      </c>
      <c r="M66" s="276">
        <f t="shared" si="25"/>
        <v>1022</v>
      </c>
      <c r="N66" s="276">
        <f t="shared" si="25"/>
        <v>1114</v>
      </c>
      <c r="O66" s="276"/>
      <c r="P66" s="276"/>
      <c r="Q66" s="276"/>
      <c r="R66" s="276"/>
      <c r="S66" s="276"/>
      <c r="T66" s="276"/>
      <c r="U66" s="276"/>
      <c r="V66" s="276"/>
      <c r="W66" s="276"/>
      <c r="X66" s="276"/>
      <c r="Y66" s="276"/>
      <c r="Z66" s="276"/>
      <c r="AA66" s="276"/>
      <c r="AB66" s="276"/>
      <c r="AC66" s="276"/>
      <c r="AD66" s="276"/>
      <c r="AE66" s="276"/>
      <c r="AF66" s="276"/>
      <c r="AG66" s="276"/>
      <c r="AH66" s="276"/>
      <c r="AI66" s="276"/>
      <c r="AJ66" s="116"/>
      <c r="AK66" s="82">
        <v>2</v>
      </c>
      <c r="AL66" s="82">
        <v>334</v>
      </c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  <c r="GS66" s="82"/>
      <c r="GT66" s="82"/>
      <c r="GU66" s="82"/>
      <c r="GV66" s="82"/>
      <c r="GW66" s="82"/>
      <c r="GX66" s="82"/>
      <c r="GY66" s="82"/>
      <c r="GZ66" s="82"/>
      <c r="HA66" s="82"/>
      <c r="HB66" s="82"/>
      <c r="HC66" s="82"/>
      <c r="HD66" s="82"/>
      <c r="HE66" s="82"/>
      <c r="HF66" s="82"/>
      <c r="HG66" s="82"/>
      <c r="HH66" s="82"/>
      <c r="HI66" s="82"/>
      <c r="HJ66" s="82"/>
      <c r="HK66" s="82"/>
      <c r="HL66" s="82"/>
      <c r="HM66" s="82"/>
      <c r="HN66" s="82"/>
      <c r="HO66" s="82"/>
      <c r="HP66" s="82"/>
    </row>
    <row r="67" spans="1:224" s="97" customFormat="1" ht="18.75" customHeight="1" x14ac:dyDescent="0.25">
      <c r="A67" s="344"/>
      <c r="B67" s="99" t="s">
        <v>134</v>
      </c>
      <c r="C67" s="194">
        <v>339</v>
      </c>
      <c r="D67" s="277">
        <f t="shared" si="25"/>
        <v>184</v>
      </c>
      <c r="E67" s="277">
        <f t="shared" si="25"/>
        <v>252</v>
      </c>
      <c r="F67" s="277">
        <f t="shared" si="25"/>
        <v>286</v>
      </c>
      <c r="G67" s="277">
        <f t="shared" si="25"/>
        <v>456</v>
      </c>
      <c r="H67" s="277">
        <f t="shared" si="25"/>
        <v>429</v>
      </c>
      <c r="I67" s="277">
        <f t="shared" si="25"/>
        <v>264</v>
      </c>
      <c r="J67" s="277">
        <f t="shared" si="25"/>
        <v>340</v>
      </c>
      <c r="K67" s="277">
        <f t="shared" si="25"/>
        <v>266</v>
      </c>
      <c r="L67" s="277">
        <f t="shared" si="25"/>
        <v>273</v>
      </c>
      <c r="M67" s="277">
        <f t="shared" si="25"/>
        <v>123</v>
      </c>
      <c r="N67" s="277">
        <f t="shared" si="25"/>
        <v>460</v>
      </c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  <c r="AB67" s="277"/>
      <c r="AC67" s="277"/>
      <c r="AD67" s="277"/>
      <c r="AE67" s="277"/>
      <c r="AF67" s="277"/>
      <c r="AG67" s="277"/>
      <c r="AH67" s="277"/>
      <c r="AI67" s="277"/>
      <c r="AJ67" s="116"/>
      <c r="AK67" s="82">
        <v>303</v>
      </c>
      <c r="AL67" s="82">
        <v>15</v>
      </c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  <c r="DU67" s="82"/>
      <c r="DV67" s="82"/>
      <c r="DW67" s="82"/>
      <c r="DX67" s="82"/>
      <c r="DY67" s="82"/>
      <c r="DZ67" s="82"/>
      <c r="EA67" s="82"/>
      <c r="EB67" s="82"/>
      <c r="EC67" s="82"/>
      <c r="ED67" s="82"/>
      <c r="EE67" s="82"/>
      <c r="EF67" s="82"/>
      <c r="EG67" s="82"/>
      <c r="EH67" s="82"/>
      <c r="EI67" s="82"/>
      <c r="EJ67" s="82"/>
      <c r="EK67" s="82"/>
      <c r="EL67" s="82"/>
      <c r="EM67" s="82"/>
      <c r="EN67" s="82"/>
      <c r="EO67" s="82"/>
      <c r="EP67" s="82"/>
      <c r="EQ67" s="82"/>
      <c r="ER67" s="82"/>
      <c r="ES67" s="82"/>
      <c r="ET67" s="82"/>
      <c r="EU67" s="82"/>
      <c r="EV67" s="82"/>
      <c r="EW67" s="82"/>
      <c r="EX67" s="82"/>
      <c r="EY67" s="82"/>
      <c r="EZ67" s="82"/>
      <c r="FA67" s="82"/>
      <c r="FB67" s="82"/>
      <c r="FC67" s="82"/>
      <c r="FD67" s="82"/>
      <c r="FE67" s="82"/>
      <c r="FF67" s="82"/>
      <c r="FG67" s="82"/>
      <c r="FH67" s="82"/>
      <c r="FI67" s="82"/>
      <c r="FJ67" s="82"/>
      <c r="FK67" s="82"/>
      <c r="FL67" s="82"/>
      <c r="FM67" s="82"/>
      <c r="FN67" s="82"/>
      <c r="FO67" s="82"/>
      <c r="FP67" s="82"/>
      <c r="FQ67" s="82"/>
      <c r="FR67" s="82"/>
      <c r="FS67" s="82"/>
      <c r="FT67" s="82"/>
      <c r="FU67" s="82"/>
      <c r="FV67" s="82"/>
      <c r="FW67" s="82"/>
      <c r="FX67" s="82"/>
      <c r="FY67" s="82"/>
      <c r="FZ67" s="82"/>
      <c r="GA67" s="82"/>
      <c r="GB67" s="82"/>
      <c r="GC67" s="82"/>
      <c r="GD67" s="82"/>
      <c r="GE67" s="82"/>
      <c r="GF67" s="82"/>
      <c r="GG67" s="82"/>
      <c r="GH67" s="82"/>
      <c r="GI67" s="82"/>
      <c r="GJ67" s="82"/>
      <c r="GK67" s="82"/>
      <c r="GL67" s="82"/>
      <c r="GM67" s="82"/>
      <c r="GN67" s="82"/>
      <c r="GO67" s="82"/>
      <c r="GP67" s="82"/>
      <c r="GQ67" s="82"/>
      <c r="GR67" s="82"/>
      <c r="GS67" s="82"/>
      <c r="GT67" s="82"/>
      <c r="GU67" s="82"/>
      <c r="GV67" s="82"/>
      <c r="GW67" s="82"/>
      <c r="GX67" s="82"/>
      <c r="GY67" s="82"/>
      <c r="GZ67" s="82"/>
      <c r="HA67" s="82"/>
      <c r="HB67" s="82"/>
      <c r="HC67" s="82"/>
      <c r="HD67" s="82"/>
      <c r="HE67" s="82"/>
      <c r="HF67" s="82"/>
      <c r="HG67" s="82"/>
      <c r="HH67" s="82"/>
      <c r="HI67" s="82"/>
      <c r="HJ67" s="82"/>
      <c r="HK67" s="82"/>
      <c r="HL67" s="82"/>
      <c r="HM67" s="82"/>
      <c r="HN67" s="82"/>
      <c r="HO67" s="82"/>
      <c r="HP67" s="82"/>
    </row>
    <row r="68" spans="1:224" s="97" customFormat="1" ht="18.75" customHeight="1" x14ac:dyDescent="0.25">
      <c r="A68" s="344"/>
      <c r="B68" s="157" t="s">
        <v>135</v>
      </c>
      <c r="C68" s="194">
        <v>66</v>
      </c>
      <c r="D68" s="277">
        <f t="shared" si="25"/>
        <v>109</v>
      </c>
      <c r="E68" s="277">
        <f t="shared" si="25"/>
        <v>72</v>
      </c>
      <c r="F68" s="277">
        <f t="shared" si="25"/>
        <v>123</v>
      </c>
      <c r="G68" s="277">
        <f t="shared" si="25"/>
        <v>137</v>
      </c>
      <c r="H68" s="277">
        <f t="shared" si="25"/>
        <v>130</v>
      </c>
      <c r="I68" s="277">
        <f t="shared" si="25"/>
        <v>113</v>
      </c>
      <c r="J68" s="277">
        <f t="shared" si="25"/>
        <v>67</v>
      </c>
      <c r="K68" s="277">
        <f t="shared" si="25"/>
        <v>148</v>
      </c>
      <c r="L68" s="277">
        <f t="shared" si="25"/>
        <v>153</v>
      </c>
      <c r="M68" s="277">
        <f t="shared" si="25"/>
        <v>76</v>
      </c>
      <c r="N68" s="277">
        <f t="shared" si="25"/>
        <v>147</v>
      </c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  <c r="AB68" s="277"/>
      <c r="AC68" s="277"/>
      <c r="AD68" s="277"/>
      <c r="AE68" s="277"/>
      <c r="AF68" s="277"/>
      <c r="AG68" s="277"/>
      <c r="AH68" s="277"/>
      <c r="AI68" s="277"/>
      <c r="AJ68" s="117"/>
      <c r="AK68" s="82">
        <v>90</v>
      </c>
      <c r="AL68" s="82">
        <v>388</v>
      </c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2"/>
      <c r="DL68" s="82"/>
      <c r="DM68" s="82"/>
      <c r="DN68" s="82"/>
      <c r="DO68" s="82"/>
      <c r="DP68" s="82"/>
      <c r="DQ68" s="82"/>
      <c r="DR68" s="82"/>
      <c r="DS68" s="82"/>
      <c r="DT68" s="82"/>
      <c r="DU68" s="82"/>
      <c r="DV68" s="82"/>
      <c r="DW68" s="82"/>
      <c r="DX68" s="82"/>
      <c r="DY68" s="82"/>
      <c r="DZ68" s="82"/>
      <c r="EA68" s="82"/>
      <c r="EB68" s="82"/>
      <c r="EC68" s="82"/>
      <c r="ED68" s="82"/>
      <c r="EE68" s="82"/>
      <c r="EF68" s="82"/>
      <c r="EG68" s="82"/>
      <c r="EH68" s="82"/>
      <c r="EI68" s="82"/>
      <c r="EJ68" s="82"/>
      <c r="EK68" s="82"/>
      <c r="EL68" s="82"/>
      <c r="EM68" s="82"/>
      <c r="EN68" s="82"/>
      <c r="EO68" s="82"/>
      <c r="EP68" s="82"/>
      <c r="EQ68" s="82"/>
      <c r="ER68" s="82"/>
      <c r="ES68" s="82"/>
      <c r="ET68" s="82"/>
      <c r="EU68" s="82"/>
      <c r="EV68" s="82"/>
      <c r="EW68" s="82"/>
      <c r="EX68" s="82"/>
      <c r="EY68" s="82"/>
      <c r="EZ68" s="82"/>
      <c r="FA68" s="82"/>
      <c r="FB68" s="82"/>
      <c r="FC68" s="82"/>
      <c r="FD68" s="82"/>
      <c r="FE68" s="82"/>
      <c r="FF68" s="82"/>
      <c r="FG68" s="82"/>
      <c r="FH68" s="82"/>
      <c r="FI68" s="82"/>
      <c r="FJ68" s="82"/>
      <c r="FK68" s="82"/>
      <c r="FL68" s="82"/>
      <c r="FM68" s="82"/>
      <c r="FN68" s="82"/>
      <c r="FO68" s="82"/>
      <c r="FP68" s="82"/>
      <c r="FQ68" s="82"/>
      <c r="FR68" s="82"/>
      <c r="FS68" s="82"/>
      <c r="FT68" s="82"/>
      <c r="FU68" s="82"/>
      <c r="FV68" s="82"/>
      <c r="FW68" s="82"/>
      <c r="FX68" s="82"/>
      <c r="FY68" s="82"/>
      <c r="FZ68" s="82"/>
      <c r="GA68" s="82"/>
      <c r="GB68" s="82"/>
      <c r="GC68" s="82"/>
      <c r="GD68" s="82"/>
      <c r="GE68" s="82"/>
      <c r="GF68" s="82"/>
      <c r="GG68" s="82"/>
      <c r="GH68" s="82"/>
      <c r="GI68" s="82"/>
      <c r="GJ68" s="82"/>
      <c r="GK68" s="82"/>
      <c r="GL68" s="82"/>
      <c r="GM68" s="82"/>
      <c r="GN68" s="82"/>
      <c r="GO68" s="82"/>
      <c r="GP68" s="82"/>
      <c r="GQ68" s="82"/>
      <c r="GR68" s="82"/>
      <c r="GS68" s="82"/>
      <c r="GT68" s="82"/>
      <c r="GU68" s="82"/>
      <c r="GV68" s="82"/>
      <c r="GW68" s="82"/>
      <c r="GX68" s="82"/>
      <c r="GY68" s="82"/>
      <c r="GZ68" s="82"/>
      <c r="HA68" s="82"/>
      <c r="HB68" s="82"/>
      <c r="HC68" s="82"/>
      <c r="HD68" s="82"/>
      <c r="HE68" s="82"/>
      <c r="HF68" s="82"/>
      <c r="HG68" s="82"/>
      <c r="HH68" s="82"/>
      <c r="HI68" s="82"/>
      <c r="HJ68" s="82"/>
      <c r="HK68" s="82"/>
      <c r="HL68" s="82"/>
      <c r="HM68" s="82"/>
      <c r="HN68" s="82"/>
      <c r="HO68" s="82"/>
      <c r="HP68" s="82"/>
    </row>
    <row r="69" spans="1:224" s="97" customFormat="1" ht="18.75" customHeight="1" thickBot="1" x14ac:dyDescent="0.3">
      <c r="A69" s="148"/>
      <c r="B69" s="99" t="s">
        <v>136</v>
      </c>
      <c r="C69" s="194">
        <v>51</v>
      </c>
      <c r="D69" s="277">
        <f t="shared" si="25"/>
        <v>48</v>
      </c>
      <c r="E69" s="277">
        <f t="shared" si="25"/>
        <v>44</v>
      </c>
      <c r="F69" s="277">
        <f t="shared" si="25"/>
        <v>50</v>
      </c>
      <c r="G69" s="277">
        <f t="shared" si="25"/>
        <v>52</v>
      </c>
      <c r="H69" s="277">
        <f t="shared" si="25"/>
        <v>59</v>
      </c>
      <c r="I69" s="277">
        <f t="shared" si="25"/>
        <v>49</v>
      </c>
      <c r="J69" s="277">
        <f t="shared" si="25"/>
        <v>58</v>
      </c>
      <c r="K69" s="277">
        <f t="shared" si="25"/>
        <v>46</v>
      </c>
      <c r="L69" s="277">
        <f t="shared" si="25"/>
        <v>46</v>
      </c>
      <c r="M69" s="277">
        <f t="shared" si="25"/>
        <v>51</v>
      </c>
      <c r="N69" s="277">
        <f t="shared" si="25"/>
        <v>53</v>
      </c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  <c r="AC69" s="277"/>
      <c r="AD69" s="277"/>
      <c r="AE69" s="277"/>
      <c r="AF69" s="277"/>
      <c r="AG69" s="277"/>
      <c r="AH69" s="277"/>
      <c r="AI69" s="277"/>
      <c r="AJ69" s="183"/>
      <c r="AK69" s="82">
        <v>78</v>
      </c>
      <c r="AL69" s="82">
        <v>16</v>
      </c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2"/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2"/>
      <c r="DT69" s="82"/>
      <c r="DU69" s="82"/>
      <c r="DV69" s="82"/>
      <c r="DW69" s="82"/>
      <c r="DX69" s="82"/>
      <c r="DY69" s="82"/>
      <c r="DZ69" s="82"/>
      <c r="EA69" s="82"/>
      <c r="EB69" s="82"/>
      <c r="EC69" s="82"/>
      <c r="ED69" s="82"/>
      <c r="EE69" s="82"/>
      <c r="EF69" s="82"/>
      <c r="EG69" s="82"/>
      <c r="EH69" s="82"/>
      <c r="EI69" s="82"/>
      <c r="EJ69" s="82"/>
      <c r="EK69" s="82"/>
      <c r="EL69" s="82"/>
      <c r="EM69" s="82"/>
      <c r="EN69" s="82"/>
      <c r="EO69" s="82"/>
      <c r="EP69" s="82"/>
      <c r="EQ69" s="82"/>
      <c r="ER69" s="82"/>
      <c r="ES69" s="82"/>
      <c r="ET69" s="82"/>
      <c r="EU69" s="82"/>
      <c r="EV69" s="82"/>
      <c r="EW69" s="82"/>
      <c r="EX69" s="82"/>
      <c r="EY69" s="82"/>
      <c r="EZ69" s="82"/>
      <c r="FA69" s="82"/>
      <c r="FB69" s="82"/>
      <c r="FC69" s="82"/>
      <c r="FD69" s="82"/>
      <c r="FE69" s="82"/>
      <c r="FF69" s="82"/>
      <c r="FG69" s="82"/>
      <c r="FH69" s="82"/>
      <c r="FI69" s="82"/>
      <c r="FJ69" s="82"/>
      <c r="FK69" s="82"/>
      <c r="FL69" s="82"/>
      <c r="FM69" s="82"/>
      <c r="FN69" s="82"/>
      <c r="FO69" s="82"/>
      <c r="FP69" s="82"/>
      <c r="FQ69" s="82"/>
      <c r="FR69" s="82"/>
      <c r="FS69" s="82"/>
      <c r="FT69" s="82"/>
      <c r="FU69" s="82"/>
      <c r="FV69" s="82"/>
      <c r="FW69" s="82"/>
      <c r="FX69" s="82"/>
      <c r="FY69" s="82"/>
      <c r="FZ69" s="82"/>
      <c r="GA69" s="82"/>
      <c r="GB69" s="82"/>
      <c r="GC69" s="82"/>
      <c r="GD69" s="82"/>
      <c r="GE69" s="82"/>
      <c r="GF69" s="82"/>
      <c r="GG69" s="82"/>
      <c r="GH69" s="82"/>
      <c r="GI69" s="82"/>
      <c r="GJ69" s="82"/>
      <c r="GK69" s="82"/>
      <c r="GL69" s="82"/>
      <c r="GM69" s="82"/>
      <c r="GN69" s="82"/>
      <c r="GO69" s="82"/>
      <c r="GP69" s="82"/>
      <c r="GQ69" s="82"/>
      <c r="GR69" s="82"/>
      <c r="GS69" s="82"/>
      <c r="GT69" s="82"/>
      <c r="GU69" s="82"/>
      <c r="GV69" s="82"/>
      <c r="GW69" s="82"/>
      <c r="GX69" s="82"/>
      <c r="GY69" s="82"/>
      <c r="GZ69" s="82"/>
      <c r="HA69" s="82"/>
      <c r="HB69" s="82"/>
      <c r="HC69" s="82"/>
      <c r="HD69" s="82"/>
      <c r="HE69" s="82"/>
      <c r="HF69" s="82"/>
      <c r="HG69" s="82"/>
      <c r="HH69" s="82"/>
      <c r="HI69" s="82"/>
      <c r="HJ69" s="82"/>
      <c r="HK69" s="82"/>
      <c r="HL69" s="82"/>
      <c r="HM69" s="82"/>
      <c r="HN69" s="82"/>
      <c r="HO69" s="82"/>
      <c r="HP69" s="82"/>
    </row>
    <row r="70" spans="1:224" s="100" customFormat="1" ht="18.75" customHeight="1" x14ac:dyDescent="0.25">
      <c r="A70" s="341" t="s">
        <v>142</v>
      </c>
      <c r="B70" s="149" t="s">
        <v>143</v>
      </c>
      <c r="C70" s="190">
        <v>4728</v>
      </c>
      <c r="D70" s="272">
        <f t="shared" ref="D70:E70" si="26">D59+D60-D66</f>
        <v>3897</v>
      </c>
      <c r="E70" s="272">
        <f t="shared" si="26"/>
        <v>4044</v>
      </c>
      <c r="F70" s="272">
        <f t="shared" ref="F70:G70" si="27">F59+F60-F66</f>
        <v>4830</v>
      </c>
      <c r="G70" s="272">
        <f t="shared" si="27"/>
        <v>4802</v>
      </c>
      <c r="H70" s="272">
        <f t="shared" ref="H70:I70" si="28">H59+H60-H66</f>
        <v>4425</v>
      </c>
      <c r="I70" s="272">
        <f t="shared" si="28"/>
        <v>5052</v>
      </c>
      <c r="J70" s="272">
        <f t="shared" ref="J70:K70" si="29">J59+J60-J66</f>
        <v>4266</v>
      </c>
      <c r="K70" s="272">
        <f t="shared" si="29"/>
        <v>4707</v>
      </c>
      <c r="L70" s="272">
        <f t="shared" ref="L70:M70" si="30">L59+L60-L66</f>
        <v>4236</v>
      </c>
      <c r="M70" s="272">
        <f t="shared" si="30"/>
        <v>4451</v>
      </c>
      <c r="N70" s="272">
        <f t="shared" ref="N70" si="31">N59+N60-N66</f>
        <v>4630</v>
      </c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2"/>
      <c r="AJ70" s="140">
        <f>AVERAGE(D70:AH70)</f>
        <v>4485.454545454545</v>
      </c>
      <c r="AK70" s="82">
        <v>8230</v>
      </c>
      <c r="AL70" s="82">
        <v>6998</v>
      </c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  <c r="DU70" s="82"/>
      <c r="DV70" s="82"/>
      <c r="DW70" s="82"/>
      <c r="DX70" s="82"/>
      <c r="DY70" s="82"/>
      <c r="DZ70" s="82"/>
      <c r="EA70" s="82"/>
      <c r="EB70" s="82"/>
      <c r="EC70" s="82"/>
      <c r="ED70" s="82"/>
      <c r="EE70" s="82"/>
      <c r="EF70" s="82"/>
      <c r="EG70" s="82"/>
      <c r="EH70" s="82"/>
      <c r="EI70" s="82"/>
      <c r="EJ70" s="82"/>
      <c r="EK70" s="82"/>
      <c r="EL70" s="82"/>
      <c r="EM70" s="82"/>
      <c r="EN70" s="82"/>
      <c r="EO70" s="82"/>
      <c r="EP70" s="82"/>
      <c r="EQ70" s="82"/>
      <c r="ER70" s="82"/>
      <c r="ES70" s="82"/>
      <c r="ET70" s="82"/>
      <c r="EU70" s="82"/>
      <c r="EV70" s="82"/>
      <c r="EW70" s="82"/>
      <c r="EX70" s="82"/>
      <c r="EY70" s="82"/>
      <c r="EZ70" s="82"/>
      <c r="FA70" s="82"/>
      <c r="FB70" s="82"/>
      <c r="FC70" s="82"/>
      <c r="FD70" s="82"/>
      <c r="FE70" s="82"/>
      <c r="FF70" s="82"/>
      <c r="FG70" s="82"/>
      <c r="FH70" s="82"/>
      <c r="FI70" s="82"/>
      <c r="FJ70" s="82"/>
      <c r="FK70" s="82"/>
      <c r="FL70" s="82"/>
      <c r="FM70" s="82"/>
      <c r="FN70" s="82"/>
      <c r="FO70" s="82"/>
      <c r="FP70" s="82"/>
      <c r="FQ70" s="82"/>
      <c r="FR70" s="82"/>
      <c r="FS70" s="82"/>
      <c r="FT70" s="82"/>
      <c r="FU70" s="82"/>
      <c r="FV70" s="82"/>
      <c r="FW70" s="82"/>
      <c r="FX70" s="82"/>
      <c r="FY70" s="82"/>
      <c r="FZ70" s="82"/>
      <c r="GA70" s="82"/>
      <c r="GB70" s="82"/>
      <c r="GC70" s="82"/>
      <c r="GD70" s="82"/>
      <c r="GE70" s="82"/>
      <c r="GF70" s="82"/>
      <c r="GG70" s="82"/>
      <c r="GH70" s="82"/>
      <c r="GI70" s="82"/>
      <c r="GJ70" s="82"/>
      <c r="GK70" s="82"/>
      <c r="GL70" s="82"/>
      <c r="GM70" s="82"/>
      <c r="GN70" s="82"/>
      <c r="GO70" s="82"/>
      <c r="GP70" s="82"/>
      <c r="GQ70" s="82"/>
      <c r="GR70" s="82"/>
      <c r="GS70" s="82"/>
      <c r="GT70" s="82"/>
      <c r="GU70" s="82"/>
      <c r="GV70" s="82"/>
      <c r="GW70" s="82"/>
      <c r="GX70" s="82"/>
      <c r="GY70" s="82"/>
      <c r="GZ70" s="82"/>
      <c r="HA70" s="82"/>
      <c r="HB70" s="82"/>
      <c r="HC70" s="82"/>
      <c r="HD70" s="82"/>
      <c r="HE70" s="82"/>
      <c r="HF70" s="82"/>
      <c r="HG70" s="82"/>
      <c r="HH70" s="82"/>
      <c r="HI70" s="82"/>
      <c r="HJ70" s="82"/>
      <c r="HK70" s="82"/>
      <c r="HL70" s="82"/>
      <c r="HM70" s="82"/>
      <c r="HN70" s="82"/>
      <c r="HO70" s="82"/>
      <c r="HP70" s="82"/>
    </row>
    <row r="71" spans="1:224" s="105" customFormat="1" x14ac:dyDescent="0.25">
      <c r="A71" s="342"/>
      <c r="B71" s="137" t="s">
        <v>144</v>
      </c>
      <c r="C71" s="235">
        <v>358166</v>
      </c>
      <c r="D71" s="279">
        <f>D70</f>
        <v>3897</v>
      </c>
      <c r="E71" s="279">
        <f t="shared" ref="E71:N71" si="32">D71+E70</f>
        <v>7941</v>
      </c>
      <c r="F71" s="279">
        <f t="shared" si="32"/>
        <v>12771</v>
      </c>
      <c r="G71" s="279">
        <f t="shared" si="32"/>
        <v>17573</v>
      </c>
      <c r="H71" s="279">
        <f t="shared" si="32"/>
        <v>21998</v>
      </c>
      <c r="I71" s="279">
        <f t="shared" si="32"/>
        <v>27050</v>
      </c>
      <c r="J71" s="279">
        <f t="shared" si="32"/>
        <v>31316</v>
      </c>
      <c r="K71" s="279">
        <f t="shared" si="32"/>
        <v>36023</v>
      </c>
      <c r="L71" s="279">
        <f t="shared" si="32"/>
        <v>40259</v>
      </c>
      <c r="M71" s="279">
        <f t="shared" si="32"/>
        <v>44710</v>
      </c>
      <c r="N71" s="279">
        <f t="shared" si="32"/>
        <v>49340</v>
      </c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79"/>
      <c r="AB71" s="279"/>
      <c r="AC71" s="279"/>
      <c r="AD71" s="279"/>
      <c r="AE71" s="279"/>
      <c r="AF71" s="279"/>
      <c r="AG71" s="279"/>
      <c r="AH71" s="279"/>
      <c r="AI71" s="279"/>
      <c r="AJ71" s="138"/>
      <c r="AK71" s="72">
        <v>221847</v>
      </c>
      <c r="AL71" s="72">
        <v>241747</v>
      </c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N71" s="72"/>
      <c r="EO71" s="72"/>
      <c r="EP71" s="72"/>
      <c r="EQ71" s="72"/>
      <c r="ER71" s="72"/>
      <c r="ES71" s="72"/>
      <c r="ET71" s="72"/>
      <c r="EU71" s="72"/>
      <c r="EV71" s="72"/>
      <c r="EW71" s="72"/>
      <c r="EX71" s="72"/>
      <c r="EY71" s="72"/>
      <c r="EZ71" s="72"/>
      <c r="FA71" s="72"/>
      <c r="FB71" s="72"/>
      <c r="FC71" s="72"/>
      <c r="FD71" s="72"/>
      <c r="FE71" s="72"/>
      <c r="FF71" s="72"/>
      <c r="FG71" s="72"/>
      <c r="FH71" s="72"/>
      <c r="FI71" s="72"/>
      <c r="FJ71" s="72"/>
      <c r="FK71" s="72"/>
      <c r="FL71" s="72"/>
      <c r="FM71" s="72"/>
      <c r="FN71" s="72"/>
      <c r="FO71" s="72"/>
      <c r="FP71" s="72"/>
      <c r="FQ71" s="72"/>
      <c r="FR71" s="72"/>
      <c r="FS71" s="72"/>
      <c r="FT71" s="72"/>
      <c r="FU71" s="72"/>
      <c r="FV71" s="72"/>
      <c r="FW71" s="72"/>
      <c r="FX71" s="72"/>
      <c r="FY71" s="72"/>
      <c r="FZ71" s="72"/>
      <c r="GA71" s="72"/>
      <c r="GB71" s="72"/>
      <c r="GC71" s="72"/>
      <c r="GD71" s="72"/>
      <c r="GE71" s="72"/>
      <c r="GF71" s="72"/>
      <c r="GG71" s="72"/>
      <c r="GH71" s="72"/>
      <c r="GI71" s="72"/>
      <c r="GJ71" s="72"/>
      <c r="GK71" s="72"/>
      <c r="GL71" s="72"/>
      <c r="GM71" s="72"/>
      <c r="GN71" s="72"/>
      <c r="GO71" s="72"/>
      <c r="GP71" s="72"/>
      <c r="GQ71" s="72"/>
      <c r="GR71" s="72"/>
      <c r="GS71" s="72"/>
      <c r="GT71" s="72"/>
      <c r="GU71" s="72"/>
      <c r="GV71" s="72"/>
      <c r="GW71" s="72"/>
      <c r="GX71" s="72"/>
      <c r="GY71" s="72"/>
      <c r="GZ71" s="72"/>
      <c r="HA71" s="72"/>
      <c r="HB71" s="72"/>
      <c r="HC71" s="72"/>
      <c r="HD71" s="72"/>
      <c r="HE71" s="72"/>
      <c r="HF71" s="72"/>
      <c r="HG71" s="72"/>
      <c r="HH71" s="72"/>
      <c r="HI71" s="72"/>
      <c r="HJ71" s="72"/>
      <c r="HK71" s="72"/>
      <c r="HL71" s="72"/>
      <c r="HM71" s="72"/>
      <c r="HN71" s="72"/>
      <c r="HO71" s="72"/>
      <c r="HP71" s="72"/>
    </row>
    <row r="72" spans="1:224" s="105" customFormat="1" ht="18.75" customHeight="1" x14ac:dyDescent="0.25">
      <c r="A72" s="342"/>
      <c r="B72" s="137" t="s">
        <v>145</v>
      </c>
      <c r="C72" s="195">
        <v>0.72054106819132613</v>
      </c>
      <c r="D72" s="280">
        <f t="shared" ref="D72:E73" si="33">D82/D78</f>
        <v>0.68324937027707811</v>
      </c>
      <c r="E72" s="280">
        <f t="shared" si="33"/>
        <v>0.60300533204071738</v>
      </c>
      <c r="F72" s="280">
        <f t="shared" ref="F72:G72" si="34">F82/F78</f>
        <v>0.71206774876499646</v>
      </c>
      <c r="G72" s="280">
        <f t="shared" si="34"/>
        <v>0.66933891018938074</v>
      </c>
      <c r="H72" s="280">
        <f t="shared" ref="H72:I72" si="35">H82/H78</f>
        <v>0.64261410301537014</v>
      </c>
      <c r="I72" s="280">
        <f t="shared" si="35"/>
        <v>0.75723542116630671</v>
      </c>
      <c r="J72" s="280">
        <f t="shared" ref="J72:K72" si="36">J82/J78</f>
        <v>0.61912225705329149</v>
      </c>
      <c r="K72" s="280">
        <f t="shared" si="36"/>
        <v>0.62639000343918372</v>
      </c>
      <c r="L72" s="280">
        <f t="shared" ref="L72:M72" si="37">L82/L78</f>
        <v>0.59546577844633075</v>
      </c>
      <c r="M72" s="280">
        <f t="shared" si="37"/>
        <v>0.62109646079111724</v>
      </c>
      <c r="N72" s="280">
        <f t="shared" ref="N72" si="38">N82/N78</f>
        <v>0.66522825346354764</v>
      </c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138"/>
      <c r="AK72" s="72">
        <v>0.85759786294051166</v>
      </c>
      <c r="AL72" s="72">
        <v>0.86332332685855551</v>
      </c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N72" s="72"/>
      <c r="EO72" s="72"/>
      <c r="EP72" s="72"/>
      <c r="EQ72" s="72"/>
      <c r="ER72" s="72"/>
      <c r="ES72" s="72"/>
      <c r="ET72" s="72"/>
      <c r="EU72" s="72"/>
      <c r="EV72" s="72"/>
      <c r="EW72" s="72"/>
      <c r="EX72" s="72"/>
      <c r="EY72" s="72"/>
      <c r="EZ72" s="72"/>
      <c r="FA72" s="72"/>
      <c r="FB72" s="72"/>
      <c r="FC72" s="72"/>
      <c r="FD72" s="72"/>
      <c r="FE72" s="72"/>
      <c r="FF72" s="72"/>
      <c r="FG72" s="72"/>
      <c r="FH72" s="72"/>
      <c r="FI72" s="72"/>
      <c r="FJ72" s="72"/>
      <c r="FK72" s="72"/>
      <c r="FL72" s="72"/>
      <c r="FM72" s="72"/>
      <c r="FN72" s="72"/>
      <c r="FO72" s="72"/>
      <c r="FP72" s="72"/>
      <c r="FQ72" s="72"/>
      <c r="FR72" s="72"/>
      <c r="FS72" s="72"/>
      <c r="FT72" s="72"/>
      <c r="FU72" s="72"/>
      <c r="FV72" s="72"/>
      <c r="FW72" s="72"/>
      <c r="FX72" s="72"/>
      <c r="FY72" s="72"/>
      <c r="FZ72" s="72"/>
      <c r="GA72" s="72"/>
      <c r="GB72" s="72"/>
      <c r="GC72" s="72"/>
      <c r="GD72" s="72"/>
      <c r="GE72" s="72"/>
      <c r="GF72" s="72"/>
      <c r="GG72" s="72"/>
      <c r="GH72" s="72"/>
      <c r="GI72" s="72"/>
      <c r="GJ72" s="72"/>
      <c r="GK72" s="72"/>
      <c r="GL72" s="72"/>
      <c r="GM72" s="72"/>
      <c r="GN72" s="72"/>
      <c r="GO72" s="72"/>
      <c r="GP72" s="72"/>
      <c r="GQ72" s="72"/>
      <c r="GR72" s="72"/>
      <c r="GS72" s="72"/>
      <c r="GT72" s="72"/>
      <c r="GU72" s="72"/>
      <c r="GV72" s="72"/>
      <c r="GW72" s="72"/>
      <c r="GX72" s="72"/>
      <c r="GY72" s="72"/>
      <c r="GZ72" s="72"/>
      <c r="HA72" s="72"/>
      <c r="HB72" s="72"/>
      <c r="HC72" s="72"/>
      <c r="HD72" s="72"/>
      <c r="HE72" s="72"/>
      <c r="HF72" s="72"/>
      <c r="HG72" s="72"/>
      <c r="HH72" s="72"/>
      <c r="HI72" s="72"/>
      <c r="HJ72" s="72"/>
      <c r="HK72" s="72"/>
      <c r="HL72" s="72"/>
      <c r="HM72" s="72"/>
      <c r="HN72" s="72"/>
      <c r="HO72" s="72"/>
      <c r="HP72" s="72"/>
    </row>
    <row r="73" spans="1:224" s="100" customFormat="1" ht="28" x14ac:dyDescent="0.25">
      <c r="A73" s="342"/>
      <c r="B73" s="139" t="s">
        <v>146</v>
      </c>
      <c r="C73" s="196">
        <v>0.75579116803135282</v>
      </c>
      <c r="D73" s="281">
        <f t="shared" ref="D73" si="39">D83/D79</f>
        <v>1</v>
      </c>
      <c r="E73" s="281">
        <f t="shared" si="33"/>
        <v>0.63790742262393862</v>
      </c>
      <c r="F73" s="281">
        <f t="shared" ref="F73:G73" si="40">F83/F79</f>
        <v>0.66213287841763102</v>
      </c>
      <c r="G73" s="281">
        <f t="shared" si="40"/>
        <v>0.6641800897808291</v>
      </c>
      <c r="H73" s="281">
        <f t="shared" ref="H73:I73" si="41">H83/H79</f>
        <v>0.65944511708184139</v>
      </c>
      <c r="I73" s="281">
        <f t="shared" si="41"/>
        <v>0.67428546455729399</v>
      </c>
      <c r="J73" s="281">
        <f t="shared" ref="J73:K73" si="42">J83/J79</f>
        <v>0.66582189500166489</v>
      </c>
      <c r="K73" s="281">
        <f t="shared" si="42"/>
        <v>0.66034309743393704</v>
      </c>
      <c r="L73" s="281">
        <f t="shared" ref="L73:M73" si="43">L83/L79</f>
        <v>0.65196704028409724</v>
      </c>
      <c r="M73" s="281">
        <f t="shared" si="43"/>
        <v>0.64866103500383976</v>
      </c>
      <c r="N73" s="281">
        <f t="shared" ref="N73" si="44">N83/N79</f>
        <v>0.6502903730176457</v>
      </c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81"/>
      <c r="AI73" s="281"/>
      <c r="AJ73" s="140"/>
      <c r="AK73" s="82">
        <v>1</v>
      </c>
      <c r="AL73" s="82">
        <v>0.86054328141977543</v>
      </c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2"/>
      <c r="DQ73" s="82"/>
      <c r="DR73" s="82"/>
      <c r="DS73" s="82"/>
      <c r="DT73" s="82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2"/>
      <c r="EU73" s="82"/>
      <c r="EV73" s="82"/>
      <c r="EW73" s="82"/>
      <c r="EX73" s="82"/>
      <c r="EY73" s="82"/>
      <c r="EZ73" s="82"/>
      <c r="FA73" s="82"/>
      <c r="FB73" s="82"/>
      <c r="FC73" s="82"/>
      <c r="FD73" s="82"/>
      <c r="FE73" s="82"/>
      <c r="FF73" s="82"/>
      <c r="FG73" s="82"/>
      <c r="FH73" s="82"/>
      <c r="FI73" s="82"/>
      <c r="FJ73" s="82"/>
      <c r="FK73" s="82"/>
      <c r="FL73" s="82"/>
      <c r="FM73" s="82"/>
      <c r="FN73" s="82"/>
      <c r="FO73" s="82"/>
      <c r="FP73" s="82"/>
      <c r="FQ73" s="82"/>
      <c r="FR73" s="82"/>
      <c r="FS73" s="82"/>
      <c r="FT73" s="82"/>
      <c r="FU73" s="82"/>
      <c r="FV73" s="82"/>
      <c r="FW73" s="82"/>
      <c r="FX73" s="82"/>
      <c r="FY73" s="82"/>
      <c r="FZ73" s="82"/>
      <c r="GA73" s="82"/>
      <c r="GB73" s="82"/>
      <c r="GC73" s="82"/>
      <c r="GD73" s="82"/>
      <c r="GE73" s="82"/>
      <c r="GF73" s="82"/>
      <c r="GG73" s="82"/>
      <c r="GH73" s="82"/>
      <c r="GI73" s="82"/>
      <c r="GJ73" s="82"/>
      <c r="GK73" s="82"/>
      <c r="GL73" s="82"/>
      <c r="GM73" s="82"/>
      <c r="GN73" s="82"/>
      <c r="GO73" s="82"/>
      <c r="GP73" s="82"/>
      <c r="GQ73" s="82"/>
      <c r="GR73" s="82"/>
      <c r="GS73" s="82"/>
      <c r="GT73" s="82"/>
      <c r="GU73" s="82"/>
      <c r="GV73" s="82"/>
      <c r="GW73" s="82"/>
      <c r="GX73" s="82"/>
      <c r="GY73" s="82"/>
      <c r="GZ73" s="82"/>
      <c r="HA73" s="82"/>
      <c r="HB73" s="82"/>
      <c r="HC73" s="82"/>
      <c r="HD73" s="82"/>
      <c r="HE73" s="82"/>
      <c r="HF73" s="82"/>
      <c r="HG73" s="82"/>
      <c r="HH73" s="82"/>
      <c r="HI73" s="82"/>
      <c r="HJ73" s="82"/>
      <c r="HK73" s="82"/>
      <c r="HL73" s="82"/>
      <c r="HM73" s="82"/>
      <c r="HN73" s="82"/>
      <c r="HO73" s="82"/>
      <c r="HP73" s="82"/>
    </row>
    <row r="74" spans="1:224" s="100" customFormat="1" ht="18.75" customHeight="1" x14ac:dyDescent="0.25">
      <c r="A74" s="342"/>
      <c r="B74" s="141" t="s">
        <v>147</v>
      </c>
      <c r="C74" s="190">
        <v>2004</v>
      </c>
      <c r="D74" s="272">
        <f t="shared" ref="D74:E74" si="45">D63+D66</f>
        <v>2012</v>
      </c>
      <c r="E74" s="272">
        <f t="shared" si="45"/>
        <v>3276</v>
      </c>
      <c r="F74" s="272">
        <f t="shared" ref="F74:G74" si="46">F63+F66</f>
        <v>2040</v>
      </c>
      <c r="G74" s="272">
        <f t="shared" si="46"/>
        <v>2846</v>
      </c>
      <c r="H74" s="272">
        <f t="shared" ref="H74:I74" si="47">H63+H66</f>
        <v>3046</v>
      </c>
      <c r="I74" s="272">
        <f t="shared" si="47"/>
        <v>1686</v>
      </c>
      <c r="J74" s="272">
        <f t="shared" ref="J74:K74" si="48">J63+J66</f>
        <v>3159</v>
      </c>
      <c r="K74" s="272">
        <f t="shared" si="48"/>
        <v>3259</v>
      </c>
      <c r="L74" s="272">
        <f t="shared" ref="L74:M74" si="49">L63+L66</f>
        <v>3765</v>
      </c>
      <c r="M74" s="272">
        <f t="shared" si="49"/>
        <v>3276</v>
      </c>
      <c r="N74" s="272">
        <f t="shared" ref="N74" si="50">N63+N66</f>
        <v>2948</v>
      </c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142">
        <f>AVERAGE(D74:AH74)</f>
        <v>2846.6363636363635</v>
      </c>
      <c r="AK74" s="82">
        <v>1386</v>
      </c>
      <c r="AL74" s="82">
        <v>774</v>
      </c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2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  <c r="DU74" s="82"/>
      <c r="DV74" s="82"/>
      <c r="DW74" s="82"/>
      <c r="DX74" s="82"/>
      <c r="DY74" s="82"/>
      <c r="DZ74" s="82"/>
      <c r="EA74" s="82"/>
      <c r="EB74" s="82"/>
      <c r="EC74" s="82"/>
      <c r="ED74" s="82"/>
      <c r="EE74" s="82"/>
      <c r="EF74" s="82"/>
      <c r="EG74" s="82"/>
      <c r="EH74" s="82"/>
      <c r="EI74" s="82"/>
      <c r="EJ74" s="82"/>
      <c r="EK74" s="82"/>
      <c r="EL74" s="82"/>
      <c r="EM74" s="82"/>
      <c r="EN74" s="82"/>
      <c r="EO74" s="82"/>
      <c r="EP74" s="82"/>
      <c r="EQ74" s="82"/>
      <c r="ER74" s="82"/>
      <c r="ES74" s="82"/>
      <c r="ET74" s="82"/>
      <c r="EU74" s="82"/>
      <c r="EV74" s="82"/>
      <c r="EW74" s="82"/>
      <c r="EX74" s="82"/>
      <c r="EY74" s="82"/>
      <c r="EZ74" s="82"/>
      <c r="FA74" s="82"/>
      <c r="FB74" s="82"/>
      <c r="FC74" s="82"/>
      <c r="FD74" s="82"/>
      <c r="FE74" s="82"/>
      <c r="FF74" s="82"/>
      <c r="FG74" s="82"/>
      <c r="FH74" s="82"/>
      <c r="FI74" s="82"/>
      <c r="FJ74" s="82"/>
      <c r="FK74" s="82"/>
      <c r="FL74" s="82"/>
      <c r="FM74" s="82"/>
      <c r="FN74" s="82"/>
      <c r="FO74" s="82"/>
      <c r="FP74" s="82"/>
      <c r="FQ74" s="82"/>
      <c r="FR74" s="82"/>
      <c r="FS74" s="82"/>
      <c r="FT74" s="82"/>
      <c r="FU74" s="82"/>
      <c r="FV74" s="82"/>
      <c r="FW74" s="82"/>
      <c r="FX74" s="82"/>
      <c r="FY74" s="82"/>
      <c r="FZ74" s="82"/>
      <c r="GA74" s="82"/>
      <c r="GB74" s="82"/>
      <c r="GC74" s="82"/>
      <c r="GD74" s="82"/>
      <c r="GE74" s="82"/>
      <c r="GF74" s="82"/>
      <c r="GG74" s="82"/>
      <c r="GH74" s="82"/>
      <c r="GI74" s="82"/>
      <c r="GJ74" s="82"/>
      <c r="GK74" s="82"/>
      <c r="GL74" s="82"/>
      <c r="GM74" s="82"/>
      <c r="GN74" s="82"/>
      <c r="GO74" s="82"/>
      <c r="GP74" s="82"/>
      <c r="GQ74" s="82"/>
      <c r="GR74" s="82"/>
      <c r="GS74" s="82"/>
      <c r="GT74" s="82"/>
      <c r="GU74" s="82"/>
      <c r="GV74" s="82"/>
      <c r="GW74" s="82"/>
      <c r="GX74" s="82"/>
      <c r="GY74" s="82"/>
      <c r="GZ74" s="82"/>
      <c r="HA74" s="82"/>
      <c r="HB74" s="82"/>
      <c r="HC74" s="82"/>
      <c r="HD74" s="82"/>
      <c r="HE74" s="82"/>
      <c r="HF74" s="82"/>
      <c r="HG74" s="82"/>
      <c r="HH74" s="82"/>
      <c r="HI74" s="82"/>
      <c r="HJ74" s="82"/>
      <c r="HK74" s="82"/>
      <c r="HL74" s="82"/>
      <c r="HM74" s="82"/>
      <c r="HN74" s="82"/>
      <c r="HO74" s="82"/>
      <c r="HP74" s="82"/>
    </row>
    <row r="75" spans="1:224" s="105" customFormat="1" x14ac:dyDescent="0.25">
      <c r="A75" s="342"/>
      <c r="B75" s="143" t="s">
        <v>148</v>
      </c>
      <c r="C75" s="236">
        <v>48853</v>
      </c>
      <c r="D75" s="282">
        <f>D74</f>
        <v>2012</v>
      </c>
      <c r="E75" s="282">
        <f t="shared" ref="E75:N75" si="51">D75+E74</f>
        <v>5288</v>
      </c>
      <c r="F75" s="282">
        <f t="shared" si="51"/>
        <v>7328</v>
      </c>
      <c r="G75" s="282">
        <f t="shared" si="51"/>
        <v>10174</v>
      </c>
      <c r="H75" s="282">
        <f t="shared" si="51"/>
        <v>13220</v>
      </c>
      <c r="I75" s="282">
        <f t="shared" si="51"/>
        <v>14906</v>
      </c>
      <c r="J75" s="282">
        <f t="shared" si="51"/>
        <v>18065</v>
      </c>
      <c r="K75" s="282">
        <f t="shared" si="51"/>
        <v>21324</v>
      </c>
      <c r="L75" s="282">
        <f t="shared" si="51"/>
        <v>25089</v>
      </c>
      <c r="M75" s="282">
        <f t="shared" si="51"/>
        <v>28365</v>
      </c>
      <c r="N75" s="282">
        <f t="shared" si="51"/>
        <v>31313</v>
      </c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  <c r="AC75" s="282"/>
      <c r="AD75" s="282"/>
      <c r="AE75" s="282"/>
      <c r="AF75" s="282"/>
      <c r="AG75" s="282"/>
      <c r="AH75" s="282"/>
      <c r="AI75" s="282"/>
      <c r="AJ75" s="142">
        <f>AVERAGE(D75:AH75)</f>
        <v>16098.545454545454</v>
      </c>
      <c r="AK75" s="72">
        <v>0</v>
      </c>
      <c r="AL75" s="72">
        <v>28878</v>
      </c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N75" s="72"/>
      <c r="EO75" s="72"/>
      <c r="EP75" s="72"/>
      <c r="EQ75" s="72"/>
      <c r="ER75" s="72"/>
      <c r="ES75" s="72"/>
      <c r="ET75" s="72"/>
      <c r="EU75" s="72"/>
      <c r="EV75" s="72"/>
      <c r="EW75" s="72"/>
      <c r="EX75" s="72"/>
      <c r="EY75" s="72"/>
      <c r="EZ75" s="72"/>
      <c r="FA75" s="72"/>
      <c r="FB75" s="72"/>
      <c r="FC75" s="72"/>
      <c r="FD75" s="72"/>
      <c r="FE75" s="72"/>
      <c r="FF75" s="72"/>
      <c r="FG75" s="72"/>
      <c r="FH75" s="72"/>
      <c r="FI75" s="72"/>
      <c r="FJ75" s="72"/>
      <c r="FK75" s="72"/>
      <c r="FL75" s="72"/>
      <c r="FM75" s="72"/>
      <c r="FN75" s="72"/>
      <c r="FO75" s="72"/>
      <c r="FP75" s="72"/>
      <c r="FQ75" s="72"/>
      <c r="FR75" s="72"/>
      <c r="FS75" s="72"/>
      <c r="FT75" s="72"/>
      <c r="FU75" s="72"/>
      <c r="FV75" s="72"/>
      <c r="FW75" s="72"/>
      <c r="FX75" s="72"/>
      <c r="FY75" s="72"/>
      <c r="FZ75" s="72"/>
      <c r="GA75" s="72"/>
      <c r="GB75" s="72"/>
      <c r="GC75" s="72"/>
      <c r="GD75" s="72"/>
      <c r="GE75" s="72"/>
      <c r="GF75" s="72"/>
      <c r="GG75" s="72"/>
      <c r="GH75" s="72"/>
      <c r="GI75" s="72"/>
      <c r="GJ75" s="72"/>
      <c r="GK75" s="72"/>
      <c r="GL75" s="72"/>
      <c r="GM75" s="72"/>
      <c r="GN75" s="72"/>
      <c r="GO75" s="72"/>
      <c r="GP75" s="72"/>
      <c r="GQ75" s="72"/>
      <c r="GR75" s="72"/>
      <c r="GS75" s="72"/>
      <c r="GT75" s="72"/>
      <c r="GU75" s="72"/>
      <c r="GV75" s="72"/>
      <c r="GW75" s="72"/>
      <c r="GX75" s="72"/>
      <c r="GY75" s="72"/>
      <c r="GZ75" s="72"/>
      <c r="HA75" s="72"/>
      <c r="HB75" s="72"/>
      <c r="HC75" s="72"/>
      <c r="HD75" s="72"/>
      <c r="HE75" s="72"/>
      <c r="HF75" s="72"/>
      <c r="HG75" s="72"/>
      <c r="HH75" s="72"/>
      <c r="HI75" s="72"/>
      <c r="HJ75" s="72"/>
      <c r="HK75" s="72"/>
      <c r="HL75" s="72"/>
      <c r="HM75" s="72"/>
      <c r="HN75" s="72"/>
      <c r="HO75" s="72"/>
      <c r="HP75" s="72"/>
    </row>
    <row r="76" spans="1:224" s="105" customFormat="1" ht="18.75" customHeight="1" x14ac:dyDescent="0.25">
      <c r="A76" s="342"/>
      <c r="B76" s="145" t="s">
        <v>149</v>
      </c>
      <c r="C76" s="237">
        <v>0.27945893180867382</v>
      </c>
      <c r="D76" s="283">
        <f t="shared" ref="D76:E77" si="52">D74/D78</f>
        <v>0.31675062972292189</v>
      </c>
      <c r="E76" s="283">
        <f t="shared" si="52"/>
        <v>0.39699466795928262</v>
      </c>
      <c r="F76" s="283">
        <f t="shared" ref="F76:G76" si="53">F74/F78</f>
        <v>0.28793225123500354</v>
      </c>
      <c r="G76" s="283">
        <f t="shared" si="53"/>
        <v>0.33066108981061926</v>
      </c>
      <c r="H76" s="283">
        <f t="shared" ref="H76:I76" si="54">H74/H78</f>
        <v>0.3573858969846298</v>
      </c>
      <c r="I76" s="283">
        <f t="shared" si="54"/>
        <v>0.24276457883369332</v>
      </c>
      <c r="J76" s="283">
        <f t="shared" ref="J76:K76" si="55">J74/J78</f>
        <v>0.38087774294670845</v>
      </c>
      <c r="K76" s="283">
        <f t="shared" si="55"/>
        <v>0.37360999656081623</v>
      </c>
      <c r="L76" s="283">
        <f t="shared" ref="L76:M76" si="56">L74/L78</f>
        <v>0.4045342215536693</v>
      </c>
      <c r="M76" s="283">
        <f t="shared" si="56"/>
        <v>0.3789035392088827</v>
      </c>
      <c r="N76" s="283">
        <f t="shared" ref="N76" si="57">N74/N78</f>
        <v>0.33477174653645242</v>
      </c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  <c r="AD76" s="283"/>
      <c r="AE76" s="283"/>
      <c r="AF76" s="283"/>
      <c r="AG76" s="283"/>
      <c r="AH76" s="283"/>
      <c r="AI76" s="283"/>
      <c r="AJ76" s="142">
        <f>AVERAGE(D76:AH76)</f>
        <v>0.34592603285024359</v>
      </c>
      <c r="AK76" s="72">
        <v>0.14240213705948834</v>
      </c>
      <c r="AL76" s="72">
        <v>0.13667667314144447</v>
      </c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2"/>
      <c r="DX76" s="72"/>
      <c r="DY76" s="72"/>
      <c r="DZ76" s="72"/>
      <c r="EA76" s="72"/>
      <c r="EB76" s="72"/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N76" s="72"/>
      <c r="EO76" s="72"/>
      <c r="EP76" s="72"/>
      <c r="EQ76" s="72"/>
      <c r="ER76" s="72"/>
      <c r="ES76" s="72"/>
      <c r="ET76" s="72"/>
      <c r="EU76" s="72"/>
      <c r="EV76" s="72"/>
      <c r="EW76" s="72"/>
      <c r="EX76" s="72"/>
      <c r="EY76" s="72"/>
      <c r="EZ76" s="72"/>
      <c r="FA76" s="72"/>
      <c r="FB76" s="72"/>
      <c r="FC76" s="72"/>
      <c r="FD76" s="72"/>
      <c r="FE76" s="72"/>
      <c r="FF76" s="72"/>
      <c r="FG76" s="72"/>
      <c r="FH76" s="72"/>
      <c r="FI76" s="72"/>
      <c r="FJ76" s="72"/>
      <c r="FK76" s="72"/>
      <c r="FL76" s="72"/>
      <c r="FM76" s="72"/>
      <c r="FN76" s="72"/>
      <c r="FO76" s="72"/>
      <c r="FP76" s="72"/>
      <c r="FQ76" s="72"/>
      <c r="FR76" s="72"/>
      <c r="FS76" s="72"/>
      <c r="FT76" s="72"/>
      <c r="FU76" s="72"/>
      <c r="FV76" s="72"/>
      <c r="FW76" s="72"/>
      <c r="FX76" s="72"/>
      <c r="FY76" s="72"/>
      <c r="FZ76" s="72"/>
      <c r="GA76" s="72"/>
      <c r="GB76" s="72"/>
      <c r="GC76" s="72"/>
      <c r="GD76" s="72"/>
      <c r="GE76" s="72"/>
      <c r="GF76" s="72"/>
      <c r="GG76" s="72"/>
      <c r="GH76" s="72"/>
      <c r="GI76" s="72"/>
      <c r="GJ76" s="72"/>
      <c r="GK76" s="72"/>
      <c r="GL76" s="72"/>
      <c r="GM76" s="72"/>
      <c r="GN76" s="72"/>
      <c r="GO76" s="72"/>
      <c r="GP76" s="72"/>
      <c r="GQ76" s="72"/>
      <c r="GR76" s="72"/>
      <c r="GS76" s="72"/>
      <c r="GT76" s="72"/>
      <c r="GU76" s="72"/>
      <c r="GV76" s="72"/>
      <c r="GW76" s="72"/>
      <c r="GX76" s="72"/>
      <c r="GY76" s="72"/>
      <c r="GZ76" s="72"/>
      <c r="HA76" s="72"/>
      <c r="HB76" s="72"/>
      <c r="HC76" s="72"/>
      <c r="HD76" s="72"/>
      <c r="HE76" s="72"/>
      <c r="HF76" s="72"/>
      <c r="HG76" s="72"/>
      <c r="HH76" s="72"/>
      <c r="HI76" s="72"/>
      <c r="HJ76" s="72"/>
      <c r="HK76" s="72"/>
      <c r="HL76" s="72"/>
      <c r="HM76" s="72"/>
      <c r="HN76" s="72"/>
      <c r="HO76" s="72"/>
      <c r="HP76" s="72"/>
    </row>
    <row r="77" spans="1:224" s="100" customFormat="1" ht="28" x14ac:dyDescent="0.25">
      <c r="A77" s="342"/>
      <c r="B77" s="146" t="s">
        <v>150</v>
      </c>
      <c r="C77" s="238">
        <v>0.24420883196864721</v>
      </c>
      <c r="D77" s="284">
        <f>D74/D78</f>
        <v>0.31675062972292189</v>
      </c>
      <c r="E77" s="284">
        <f t="shared" si="52"/>
        <v>0.36209257737606138</v>
      </c>
      <c r="F77" s="284">
        <f t="shared" ref="F77:G77" si="58">F75/F79</f>
        <v>0.33786712158236892</v>
      </c>
      <c r="G77" s="284">
        <f t="shared" si="58"/>
        <v>0.33581991021917085</v>
      </c>
      <c r="H77" s="284">
        <f t="shared" ref="H77:I77" si="59">H75/H79</f>
        <v>0.34055488291815861</v>
      </c>
      <c r="I77" s="284">
        <f t="shared" si="59"/>
        <v>0.32571453544270607</v>
      </c>
      <c r="J77" s="284">
        <f t="shared" ref="J77:K77" si="60">J75/J79</f>
        <v>0.33417810499833511</v>
      </c>
      <c r="K77" s="284">
        <f t="shared" si="60"/>
        <v>0.33965690256606296</v>
      </c>
      <c r="L77" s="284">
        <f t="shared" ref="L77:M77" si="61">L75/L79</f>
        <v>0.34803295971590281</v>
      </c>
      <c r="M77" s="284">
        <f t="shared" si="61"/>
        <v>0.35133896499616024</v>
      </c>
      <c r="N77" s="284">
        <f t="shared" ref="N77" si="62">N75/N79</f>
        <v>0.34970962698235425</v>
      </c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284"/>
      <c r="AI77" s="284"/>
      <c r="AJ77" s="142">
        <f>AVERAGE(D77:AH77)</f>
        <v>0.34015601968365478</v>
      </c>
      <c r="AK77" s="82">
        <v>0</v>
      </c>
      <c r="AL77" s="82">
        <v>0.13945671858022457</v>
      </c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2"/>
      <c r="EH77" s="82"/>
      <c r="EI77" s="82"/>
      <c r="EJ77" s="82"/>
      <c r="EK77" s="82"/>
      <c r="EL77" s="82"/>
      <c r="EM77" s="82"/>
      <c r="EN77" s="82"/>
      <c r="EO77" s="82"/>
      <c r="EP77" s="82"/>
      <c r="EQ77" s="82"/>
      <c r="ER77" s="82"/>
      <c r="ES77" s="82"/>
      <c r="ET77" s="82"/>
      <c r="EU77" s="82"/>
      <c r="EV77" s="82"/>
      <c r="EW77" s="82"/>
      <c r="EX77" s="82"/>
      <c r="EY77" s="82"/>
      <c r="EZ77" s="82"/>
      <c r="FA77" s="82"/>
      <c r="FB77" s="82"/>
      <c r="FC77" s="82"/>
      <c r="FD77" s="82"/>
      <c r="FE77" s="82"/>
      <c r="FF77" s="82"/>
      <c r="FG77" s="82"/>
      <c r="FH77" s="82"/>
      <c r="FI77" s="82"/>
      <c r="FJ77" s="82"/>
      <c r="FK77" s="82"/>
      <c r="FL77" s="82"/>
      <c r="FM77" s="82"/>
      <c r="FN77" s="82"/>
      <c r="FO77" s="82"/>
      <c r="FP77" s="82"/>
      <c r="FQ77" s="82"/>
      <c r="FR77" s="82"/>
      <c r="FS77" s="82"/>
      <c r="FT77" s="82"/>
      <c r="FU77" s="82"/>
      <c r="FV77" s="82"/>
      <c r="FW77" s="82"/>
      <c r="FX77" s="82"/>
      <c r="FY77" s="82"/>
      <c r="FZ77" s="82"/>
      <c r="GA77" s="82"/>
      <c r="GB77" s="82"/>
      <c r="GC77" s="82"/>
      <c r="GD77" s="82"/>
      <c r="GE77" s="82"/>
      <c r="GF77" s="82"/>
      <c r="GG77" s="82"/>
      <c r="GH77" s="82"/>
      <c r="GI77" s="82"/>
      <c r="GJ77" s="82"/>
      <c r="GK77" s="82"/>
      <c r="GL77" s="82"/>
      <c r="GM77" s="82"/>
      <c r="GN77" s="82"/>
      <c r="GO77" s="82"/>
      <c r="GP77" s="82"/>
      <c r="GQ77" s="82"/>
      <c r="GR77" s="82"/>
      <c r="GS77" s="82"/>
      <c r="GT77" s="82"/>
      <c r="GU77" s="82"/>
      <c r="GV77" s="82"/>
      <c r="GW77" s="82"/>
      <c r="GX77" s="82"/>
      <c r="GY77" s="82"/>
      <c r="GZ77" s="82"/>
      <c r="HA77" s="82"/>
      <c r="HB77" s="82"/>
      <c r="HC77" s="82"/>
      <c r="HD77" s="82"/>
      <c r="HE77" s="82"/>
      <c r="HF77" s="82"/>
      <c r="HG77" s="82"/>
      <c r="HH77" s="82"/>
      <c r="HI77" s="82"/>
      <c r="HJ77" s="82"/>
      <c r="HK77" s="82"/>
      <c r="HL77" s="82"/>
      <c r="HM77" s="82"/>
      <c r="HN77" s="82"/>
      <c r="HO77" s="82"/>
      <c r="HP77" s="82"/>
    </row>
    <row r="78" spans="1:224" s="103" customFormat="1" ht="43.5" customHeight="1" x14ac:dyDescent="0.25">
      <c r="A78" s="342"/>
      <c r="B78" s="101" t="s">
        <v>151</v>
      </c>
      <c r="C78" s="190">
        <v>7171</v>
      </c>
      <c r="D78" s="272">
        <f>D82+D74</f>
        <v>6352</v>
      </c>
      <c r="E78" s="272">
        <f t="shared" ref="E78:F78" si="63">E82+E74</f>
        <v>8252</v>
      </c>
      <c r="F78" s="272">
        <f t="shared" si="63"/>
        <v>7085</v>
      </c>
      <c r="G78" s="272">
        <f t="shared" ref="G78:H78" si="64">G82+G74</f>
        <v>8607</v>
      </c>
      <c r="H78" s="272">
        <f t="shared" si="64"/>
        <v>8523</v>
      </c>
      <c r="I78" s="272">
        <f t="shared" ref="I78:J78" si="65">I82+I74</f>
        <v>6945</v>
      </c>
      <c r="J78" s="272">
        <f t="shared" si="65"/>
        <v>8294</v>
      </c>
      <c r="K78" s="272">
        <f t="shared" ref="K78:L78" si="66">K82+K74</f>
        <v>8723</v>
      </c>
      <c r="L78" s="272">
        <f t="shared" si="66"/>
        <v>9307</v>
      </c>
      <c r="M78" s="272">
        <f t="shared" ref="M78:N78" si="67">M82+M74</f>
        <v>8646</v>
      </c>
      <c r="N78" s="272">
        <f t="shared" si="67"/>
        <v>8806</v>
      </c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118">
        <f>AVERAGE(D78:AH78)</f>
        <v>8140</v>
      </c>
      <c r="AK78" s="102">
        <v>9733</v>
      </c>
      <c r="AL78" s="102">
        <v>5663</v>
      </c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2"/>
      <c r="CJ78" s="102"/>
      <c r="CK78" s="102"/>
      <c r="CL78" s="102"/>
      <c r="CM78" s="102"/>
      <c r="CN78" s="102"/>
      <c r="CO78" s="102"/>
      <c r="CP78" s="102"/>
      <c r="CQ78" s="102"/>
      <c r="CR78" s="102"/>
      <c r="CS78" s="102"/>
      <c r="CT78" s="102"/>
      <c r="CU78" s="102"/>
      <c r="CV78" s="102"/>
      <c r="CW78" s="102"/>
      <c r="CX78" s="102"/>
      <c r="CY78" s="102"/>
      <c r="CZ78" s="102"/>
      <c r="DA78" s="102"/>
      <c r="DB78" s="102"/>
      <c r="DC78" s="102"/>
      <c r="DD78" s="102"/>
      <c r="DE78" s="102"/>
      <c r="DF78" s="102"/>
      <c r="DG78" s="102"/>
      <c r="DH78" s="102"/>
      <c r="DI78" s="102"/>
      <c r="DJ78" s="10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2"/>
      <c r="DV78" s="102"/>
      <c r="DW78" s="102"/>
      <c r="DX78" s="102"/>
      <c r="DY78" s="102"/>
      <c r="DZ78" s="102"/>
      <c r="EA78" s="102"/>
      <c r="EB78" s="102"/>
      <c r="EC78" s="102"/>
      <c r="ED78" s="10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2"/>
      <c r="EP78" s="102"/>
      <c r="EQ78" s="102"/>
      <c r="ER78" s="102"/>
      <c r="ES78" s="102"/>
      <c r="ET78" s="102"/>
      <c r="EU78" s="102"/>
      <c r="EV78" s="102"/>
      <c r="EW78" s="102"/>
      <c r="EX78" s="10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2"/>
      <c r="FU78" s="102"/>
      <c r="FV78" s="102"/>
      <c r="FW78" s="102"/>
      <c r="FX78" s="102"/>
      <c r="FY78" s="102"/>
      <c r="FZ78" s="102"/>
      <c r="GA78" s="102"/>
      <c r="GB78" s="102"/>
      <c r="GC78" s="102"/>
      <c r="GD78" s="102"/>
      <c r="GE78" s="102"/>
      <c r="GF78" s="102"/>
      <c r="GG78" s="102"/>
      <c r="GH78" s="102"/>
      <c r="GI78" s="102"/>
      <c r="GJ78" s="102"/>
      <c r="GK78" s="102"/>
      <c r="GL78" s="102"/>
      <c r="GM78" s="102"/>
      <c r="GN78" s="102"/>
      <c r="GO78" s="102"/>
      <c r="GP78" s="102"/>
      <c r="GQ78" s="102"/>
      <c r="GR78" s="102"/>
      <c r="GS78" s="102"/>
      <c r="GT78" s="102"/>
      <c r="GU78" s="102"/>
      <c r="GV78" s="102"/>
      <c r="GW78" s="102"/>
      <c r="GX78" s="102"/>
      <c r="GY78" s="102"/>
      <c r="GZ78" s="102"/>
      <c r="HA78" s="102"/>
      <c r="HB78" s="102"/>
      <c r="HC78" s="102"/>
      <c r="HD78" s="102"/>
      <c r="HE78" s="102"/>
      <c r="HF78" s="102"/>
      <c r="HG78" s="102"/>
      <c r="HH78" s="102"/>
      <c r="HI78" s="102"/>
      <c r="HJ78" s="102"/>
      <c r="HK78" s="102"/>
      <c r="HL78" s="102"/>
      <c r="HM78" s="102"/>
      <c r="HN78" s="102"/>
      <c r="HO78" s="102"/>
      <c r="HP78" s="102"/>
    </row>
    <row r="79" spans="1:224" s="136" customFormat="1" ht="28" x14ac:dyDescent="0.25">
      <c r="A79" s="342"/>
      <c r="B79" s="126" t="s">
        <v>152</v>
      </c>
      <c r="C79" s="239">
        <v>200046</v>
      </c>
      <c r="D79" s="285">
        <f>D83</f>
        <v>4340</v>
      </c>
      <c r="E79" s="285">
        <f t="shared" ref="E79:F79" si="68">E75+E83</f>
        <v>14604</v>
      </c>
      <c r="F79" s="285">
        <f t="shared" si="68"/>
        <v>21689</v>
      </c>
      <c r="G79" s="285">
        <f t="shared" ref="G79:H79" si="69">G75+G83</f>
        <v>30296</v>
      </c>
      <c r="H79" s="285">
        <f t="shared" si="69"/>
        <v>38819</v>
      </c>
      <c r="I79" s="285">
        <f t="shared" ref="I79:J79" si="70">I75+I83</f>
        <v>45764</v>
      </c>
      <c r="J79" s="285">
        <f t="shared" si="70"/>
        <v>54058</v>
      </c>
      <c r="K79" s="285">
        <f t="shared" ref="K79:L79" si="71">K75+K83</f>
        <v>62781</v>
      </c>
      <c r="L79" s="285">
        <f t="shared" si="71"/>
        <v>72088</v>
      </c>
      <c r="M79" s="285">
        <f t="shared" ref="M79:N79" si="72">M75+M83</f>
        <v>80734</v>
      </c>
      <c r="N79" s="285">
        <f t="shared" si="72"/>
        <v>89540</v>
      </c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127"/>
      <c r="AK79" s="135">
        <v>7134</v>
      </c>
      <c r="AL79" s="135">
        <v>207075</v>
      </c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  <c r="CT79" s="135"/>
      <c r="CU79" s="135"/>
      <c r="CV79" s="135"/>
      <c r="CW79" s="135"/>
      <c r="CX79" s="135"/>
      <c r="CY79" s="135"/>
      <c r="CZ79" s="135"/>
      <c r="DA79" s="135"/>
      <c r="DB79" s="135"/>
      <c r="DC79" s="135"/>
      <c r="DD79" s="135"/>
      <c r="DE79" s="135"/>
      <c r="DF79" s="135"/>
      <c r="DG79" s="135"/>
      <c r="DH79" s="135"/>
      <c r="DI79" s="135"/>
      <c r="DJ79" s="135"/>
      <c r="DK79" s="135"/>
      <c r="DL79" s="135"/>
      <c r="DM79" s="135"/>
      <c r="DN79" s="135"/>
      <c r="DO79" s="135"/>
      <c r="DP79" s="135"/>
      <c r="DQ79" s="135"/>
      <c r="DR79" s="135"/>
      <c r="DS79" s="135"/>
      <c r="DT79" s="135"/>
      <c r="DU79" s="135"/>
      <c r="DV79" s="135"/>
      <c r="DW79" s="135"/>
      <c r="DX79" s="135"/>
      <c r="DY79" s="135"/>
      <c r="DZ79" s="135"/>
      <c r="EA79" s="135"/>
      <c r="EB79" s="135"/>
      <c r="EC79" s="135"/>
      <c r="ED79" s="135"/>
      <c r="EE79" s="135"/>
      <c r="EF79" s="135"/>
      <c r="EG79" s="135"/>
      <c r="EH79" s="135"/>
      <c r="EI79" s="135"/>
      <c r="EJ79" s="135"/>
      <c r="EK79" s="135"/>
      <c r="EL79" s="135"/>
      <c r="EM79" s="135"/>
      <c r="EN79" s="135"/>
      <c r="EO79" s="135"/>
      <c r="EP79" s="135"/>
      <c r="EQ79" s="135"/>
      <c r="ER79" s="135"/>
      <c r="ES79" s="135"/>
      <c r="ET79" s="135"/>
      <c r="EU79" s="135"/>
      <c r="EV79" s="135"/>
      <c r="EW79" s="135"/>
      <c r="EX79" s="135"/>
      <c r="EY79" s="135"/>
      <c r="EZ79" s="135"/>
      <c r="FA79" s="135"/>
      <c r="FB79" s="135"/>
      <c r="FC79" s="135"/>
      <c r="FD79" s="135"/>
      <c r="FE79" s="135"/>
      <c r="FF79" s="135"/>
      <c r="FG79" s="135"/>
      <c r="FH79" s="135"/>
      <c r="FI79" s="135"/>
      <c r="FJ79" s="135"/>
      <c r="FK79" s="135"/>
      <c r="FL79" s="135"/>
      <c r="FM79" s="135"/>
      <c r="FN79" s="135"/>
      <c r="FO79" s="135"/>
      <c r="FP79" s="135"/>
      <c r="FQ79" s="135"/>
      <c r="FR79" s="135"/>
      <c r="FS79" s="135"/>
      <c r="FT79" s="135"/>
      <c r="FU79" s="135"/>
      <c r="FV79" s="135"/>
      <c r="FW79" s="135"/>
      <c r="FX79" s="135"/>
      <c r="FY79" s="135"/>
      <c r="FZ79" s="135"/>
      <c r="GA79" s="135"/>
      <c r="GB79" s="135"/>
      <c r="GC79" s="135"/>
      <c r="GD79" s="135"/>
      <c r="GE79" s="135"/>
      <c r="GF79" s="135"/>
      <c r="GG79" s="135"/>
      <c r="GH79" s="135"/>
      <c r="GI79" s="135"/>
      <c r="GJ79" s="135"/>
      <c r="GK79" s="135"/>
      <c r="GL79" s="135"/>
      <c r="GM79" s="135"/>
      <c r="GN79" s="135"/>
      <c r="GO79" s="135"/>
      <c r="GP79" s="135"/>
      <c r="GQ79" s="135"/>
      <c r="GR79" s="135"/>
      <c r="GS79" s="135"/>
      <c r="GT79" s="135"/>
      <c r="GU79" s="135"/>
      <c r="GV79" s="135"/>
      <c r="GW79" s="135"/>
      <c r="GX79" s="135"/>
      <c r="GY79" s="135"/>
      <c r="GZ79" s="135"/>
      <c r="HA79" s="135"/>
      <c r="HB79" s="135"/>
      <c r="HC79" s="135"/>
      <c r="HD79" s="135"/>
      <c r="HE79" s="135"/>
      <c r="HF79" s="135"/>
      <c r="HG79" s="135"/>
      <c r="HH79" s="135"/>
      <c r="HI79" s="135"/>
      <c r="HJ79" s="135"/>
      <c r="HK79" s="135"/>
      <c r="HL79" s="135"/>
      <c r="HM79" s="135"/>
      <c r="HN79" s="135"/>
      <c r="HO79" s="135"/>
      <c r="HP79" s="135"/>
    </row>
    <row r="80" spans="1:224" s="100" customFormat="1" ht="42" x14ac:dyDescent="0.25">
      <c r="A80" s="342"/>
      <c r="B80" s="104" t="s">
        <v>153</v>
      </c>
      <c r="C80" s="198">
        <v>131</v>
      </c>
      <c r="D80" s="286">
        <f t="shared" ref="D80:E80" si="73">D56-(D55+D60)</f>
        <v>-2485</v>
      </c>
      <c r="E80" s="286">
        <f t="shared" si="73"/>
        <v>-4372</v>
      </c>
      <c r="F80" s="286">
        <f t="shared" ref="F80:G80" si="74">F56-(F55+F60)</f>
        <v>-1979</v>
      </c>
      <c r="G80" s="286">
        <f t="shared" si="74"/>
        <v>-32833</v>
      </c>
      <c r="H80" s="286">
        <f t="shared" ref="H80:I80" si="75">H56-(H55+H60)</f>
        <v>-1928</v>
      </c>
      <c r="I80" s="286">
        <f t="shared" si="75"/>
        <v>-77</v>
      </c>
      <c r="J80" s="286">
        <f t="shared" ref="J80:K80" si="76">J56-(J55+J60)</f>
        <v>-293</v>
      </c>
      <c r="K80" s="286">
        <f t="shared" si="76"/>
        <v>444</v>
      </c>
      <c r="L80" s="286">
        <f t="shared" ref="L80:M80" si="77">L56-(L55+L60)</f>
        <v>417</v>
      </c>
      <c r="M80" s="286">
        <f t="shared" si="77"/>
        <v>227</v>
      </c>
      <c r="N80" s="286">
        <f t="shared" ref="N80" si="78">N56-(N55+N60)</f>
        <v>278</v>
      </c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  <c r="AA80" s="286"/>
      <c r="AB80" s="286"/>
      <c r="AC80" s="286"/>
      <c r="AD80" s="286"/>
      <c r="AE80" s="286"/>
      <c r="AF80" s="286"/>
      <c r="AG80" s="286"/>
      <c r="AH80" s="286"/>
      <c r="AI80" s="286"/>
      <c r="AJ80" s="119">
        <f>AVERAGE(D80:AH80)</f>
        <v>-3872.818181818182</v>
      </c>
      <c r="AK80" s="82">
        <v>503</v>
      </c>
      <c r="AL80" s="82">
        <v>-931</v>
      </c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  <c r="DS80" s="82"/>
      <c r="DT80" s="82"/>
      <c r="DU80" s="82"/>
      <c r="DV80" s="82"/>
      <c r="DW80" s="82"/>
      <c r="DX80" s="82"/>
      <c r="DY80" s="82"/>
      <c r="DZ80" s="82"/>
      <c r="EA80" s="82"/>
      <c r="EB80" s="82"/>
      <c r="EC80" s="82"/>
      <c r="ED80" s="82"/>
      <c r="EE80" s="82"/>
      <c r="EF80" s="82"/>
      <c r="EG80" s="82"/>
      <c r="EH80" s="82"/>
      <c r="EI80" s="82"/>
      <c r="EJ80" s="82"/>
      <c r="EK80" s="82"/>
      <c r="EL80" s="82"/>
      <c r="EM80" s="82"/>
      <c r="EN80" s="82"/>
      <c r="EO80" s="82"/>
      <c r="EP80" s="82"/>
      <c r="EQ80" s="82"/>
      <c r="ER80" s="82"/>
      <c r="ES80" s="82"/>
      <c r="ET80" s="82"/>
      <c r="EU80" s="82"/>
      <c r="EV80" s="82"/>
      <c r="EW80" s="82"/>
      <c r="EX80" s="82"/>
      <c r="EY80" s="82"/>
      <c r="EZ80" s="82"/>
      <c r="FA80" s="82"/>
      <c r="FB80" s="82"/>
      <c r="FC80" s="82"/>
      <c r="FD80" s="82"/>
      <c r="FE80" s="82"/>
      <c r="FF80" s="82"/>
      <c r="FG80" s="82"/>
      <c r="FH80" s="82"/>
      <c r="FI80" s="82"/>
      <c r="FJ80" s="82"/>
      <c r="FK80" s="82"/>
      <c r="FL80" s="82"/>
      <c r="FM80" s="82"/>
      <c r="FN80" s="82"/>
      <c r="FO80" s="82"/>
      <c r="FP80" s="82"/>
      <c r="FQ80" s="82"/>
      <c r="FR80" s="82"/>
      <c r="FS80" s="82"/>
      <c r="FT80" s="82"/>
      <c r="FU80" s="82"/>
      <c r="FV80" s="82"/>
      <c r="FW80" s="82"/>
      <c r="FX80" s="82"/>
      <c r="FY80" s="82"/>
      <c r="FZ80" s="82"/>
      <c r="GA80" s="82"/>
      <c r="GB80" s="82"/>
      <c r="GC80" s="82"/>
      <c r="GD80" s="82"/>
      <c r="GE80" s="82"/>
      <c r="GF80" s="82"/>
      <c r="GG80" s="82"/>
      <c r="GH80" s="82"/>
      <c r="GI80" s="82"/>
      <c r="GJ80" s="82"/>
      <c r="GK80" s="82"/>
      <c r="GL80" s="82"/>
      <c r="GM80" s="82"/>
      <c r="GN80" s="82"/>
      <c r="GO80" s="82"/>
      <c r="GP80" s="82"/>
      <c r="GQ80" s="82"/>
      <c r="GR80" s="82"/>
      <c r="GS80" s="82"/>
      <c r="GT80" s="82"/>
      <c r="GU80" s="82"/>
      <c r="GV80" s="82"/>
      <c r="GW80" s="82"/>
      <c r="GX80" s="82"/>
      <c r="GY80" s="82"/>
      <c r="GZ80" s="82"/>
      <c r="HA80" s="82"/>
      <c r="HB80" s="82"/>
      <c r="HC80" s="82"/>
      <c r="HD80" s="82"/>
      <c r="HE80" s="82"/>
      <c r="HF80" s="82"/>
      <c r="HG80" s="82"/>
      <c r="HH80" s="82"/>
      <c r="HI80" s="82"/>
      <c r="HJ80" s="82"/>
      <c r="HK80" s="82"/>
      <c r="HL80" s="82"/>
      <c r="HM80" s="82"/>
      <c r="HN80" s="82"/>
      <c r="HO80" s="82"/>
      <c r="HP80" s="82"/>
    </row>
    <row r="81" spans="1:224" s="105" customFormat="1" ht="28" x14ac:dyDescent="0.25">
      <c r="A81" s="342"/>
      <c r="B81" s="104" t="s">
        <v>154</v>
      </c>
      <c r="C81" s="198">
        <v>-1426</v>
      </c>
      <c r="D81" s="286">
        <f t="shared" ref="D81:E81" si="79">D56-D78</f>
        <v>-4219</v>
      </c>
      <c r="E81" s="286">
        <f t="shared" si="79"/>
        <v>-4700</v>
      </c>
      <c r="F81" s="286">
        <f t="shared" ref="F81:G81" si="80">F56-F78</f>
        <v>-2096</v>
      </c>
      <c r="G81" s="286">
        <f t="shared" si="80"/>
        <v>-32460</v>
      </c>
      <c r="H81" s="286">
        <f t="shared" ref="H81:I81" si="81">H56-H78</f>
        <v>-2899</v>
      </c>
      <c r="I81" s="286">
        <f t="shared" si="81"/>
        <v>198</v>
      </c>
      <c r="J81" s="286">
        <f t="shared" ref="J81:K81" si="82">J56-J78</f>
        <v>-1037</v>
      </c>
      <c r="K81" s="286">
        <f t="shared" si="82"/>
        <v>-2957</v>
      </c>
      <c r="L81" s="286">
        <f t="shared" ref="L81:M81" si="83">L56-L78</f>
        <v>1786</v>
      </c>
      <c r="M81" s="286">
        <f t="shared" si="83"/>
        <v>-2539</v>
      </c>
      <c r="N81" s="286">
        <f t="shared" ref="N81" si="84">N56-N78</f>
        <v>-1158</v>
      </c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  <c r="AF81" s="286"/>
      <c r="AG81" s="286"/>
      <c r="AH81" s="286"/>
      <c r="AI81" s="286"/>
      <c r="AJ81" s="119">
        <f>AVERAGE(D81:AH81)</f>
        <v>-4734.636363636364</v>
      </c>
      <c r="AK81" s="72">
        <v>-606</v>
      </c>
      <c r="AL81" s="72">
        <v>-1740</v>
      </c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2"/>
      <c r="DX81" s="72"/>
      <c r="DY81" s="72"/>
      <c r="DZ81" s="72"/>
      <c r="EA81" s="72"/>
      <c r="EB81" s="72"/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N81" s="72"/>
      <c r="EO81" s="72"/>
      <c r="EP81" s="72"/>
      <c r="EQ81" s="72"/>
      <c r="ER81" s="72"/>
      <c r="ES81" s="72"/>
      <c r="ET81" s="72"/>
      <c r="EU81" s="72"/>
      <c r="EV81" s="72"/>
      <c r="EW81" s="72"/>
      <c r="EX81" s="72"/>
      <c r="EY81" s="72"/>
      <c r="EZ81" s="72"/>
      <c r="FA81" s="72"/>
      <c r="FB81" s="72"/>
      <c r="FC81" s="72"/>
      <c r="FD81" s="72"/>
      <c r="FE81" s="72"/>
      <c r="FF81" s="72"/>
      <c r="FG81" s="72"/>
      <c r="FH81" s="72"/>
      <c r="FI81" s="72"/>
      <c r="FJ81" s="72"/>
      <c r="FK81" s="72"/>
      <c r="FL81" s="72"/>
      <c r="FM81" s="72"/>
      <c r="FN81" s="72"/>
      <c r="FO81" s="72"/>
      <c r="FP81" s="72"/>
      <c r="FQ81" s="72"/>
      <c r="FR81" s="72"/>
      <c r="FS81" s="72"/>
      <c r="FT81" s="72"/>
      <c r="FU81" s="72"/>
      <c r="FV81" s="72"/>
      <c r="FW81" s="72"/>
      <c r="FX81" s="72"/>
      <c r="FY81" s="72"/>
      <c r="FZ81" s="72"/>
      <c r="GA81" s="72"/>
      <c r="GB81" s="72"/>
      <c r="GC81" s="72"/>
      <c r="GD81" s="72"/>
      <c r="GE81" s="72"/>
      <c r="GF81" s="72"/>
      <c r="GG81" s="72"/>
      <c r="GH81" s="72"/>
      <c r="GI81" s="72"/>
      <c r="GJ81" s="72"/>
      <c r="GK81" s="72"/>
      <c r="GL81" s="72"/>
      <c r="GM81" s="72"/>
      <c r="GN81" s="72"/>
      <c r="GO81" s="72"/>
      <c r="GP81" s="72"/>
      <c r="GQ81" s="72"/>
      <c r="GR81" s="72"/>
      <c r="GS81" s="72"/>
      <c r="GT81" s="72"/>
      <c r="GU81" s="72"/>
      <c r="GV81" s="72"/>
      <c r="GW81" s="72"/>
      <c r="GX81" s="72"/>
      <c r="GY81" s="72"/>
      <c r="GZ81" s="72"/>
      <c r="HA81" s="72"/>
      <c r="HB81" s="72"/>
      <c r="HC81" s="72"/>
      <c r="HD81" s="72"/>
      <c r="HE81" s="72"/>
      <c r="HF81" s="72"/>
      <c r="HG81" s="72"/>
      <c r="HH81" s="72"/>
      <c r="HI81" s="72"/>
      <c r="HJ81" s="72"/>
      <c r="HK81" s="72"/>
      <c r="HL81" s="72"/>
      <c r="HM81" s="72"/>
      <c r="HN81" s="72"/>
      <c r="HO81" s="72"/>
      <c r="HP81" s="72"/>
    </row>
    <row r="82" spans="1:224" s="204" customFormat="1" ht="42" x14ac:dyDescent="0.25">
      <c r="A82" s="342"/>
      <c r="B82" s="201" t="s">
        <v>155</v>
      </c>
      <c r="C82" s="202">
        <v>5167</v>
      </c>
      <c r="D82" s="287">
        <f t="shared" ref="D82:E82" si="85">D67+D60+D64+D57</f>
        <v>4340</v>
      </c>
      <c r="E82" s="287">
        <f t="shared" si="85"/>
        <v>4976</v>
      </c>
      <c r="F82" s="287">
        <f t="shared" ref="F82:G82" si="86">F67+F60+F64+F57</f>
        <v>5045</v>
      </c>
      <c r="G82" s="287">
        <f t="shared" si="86"/>
        <v>5761</v>
      </c>
      <c r="H82" s="287">
        <f t="shared" ref="H82:I82" si="87">H67+H60+H64+H57</f>
        <v>5477</v>
      </c>
      <c r="I82" s="287">
        <f t="shared" si="87"/>
        <v>5259</v>
      </c>
      <c r="J82" s="287">
        <f t="shared" ref="J82:K82" si="88">J67+J60+J64+J57</f>
        <v>5135</v>
      </c>
      <c r="K82" s="287">
        <f t="shared" si="88"/>
        <v>5464</v>
      </c>
      <c r="L82" s="287">
        <f t="shared" ref="L82:M82" si="89">L67+L60+L64+L57</f>
        <v>5542</v>
      </c>
      <c r="M82" s="287">
        <f t="shared" si="89"/>
        <v>5370</v>
      </c>
      <c r="N82" s="287">
        <f>N67+N60+N64+N57</f>
        <v>5858</v>
      </c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03">
        <f>AVERAGE(D82:AH82)</f>
        <v>5293.363636363636</v>
      </c>
      <c r="AK82" s="204">
        <v>8347</v>
      </c>
      <c r="AL82" s="204">
        <v>4889</v>
      </c>
    </row>
    <row r="83" spans="1:224" s="204" customFormat="1" x14ac:dyDescent="0.25">
      <c r="A83" s="342"/>
      <c r="B83" s="201" t="s">
        <v>156</v>
      </c>
      <c r="C83" s="240">
        <v>151193</v>
      </c>
      <c r="D83" s="287">
        <f>D82</f>
        <v>4340</v>
      </c>
      <c r="E83" s="287">
        <f t="shared" ref="E83:N83" si="90">D83+E82</f>
        <v>9316</v>
      </c>
      <c r="F83" s="287">
        <f t="shared" si="90"/>
        <v>14361</v>
      </c>
      <c r="G83" s="287">
        <f t="shared" si="90"/>
        <v>20122</v>
      </c>
      <c r="H83" s="287">
        <f t="shared" si="90"/>
        <v>25599</v>
      </c>
      <c r="I83" s="287">
        <f t="shared" si="90"/>
        <v>30858</v>
      </c>
      <c r="J83" s="287">
        <f t="shared" si="90"/>
        <v>35993</v>
      </c>
      <c r="K83" s="287">
        <f t="shared" si="90"/>
        <v>41457</v>
      </c>
      <c r="L83" s="287">
        <f t="shared" si="90"/>
        <v>46999</v>
      </c>
      <c r="M83" s="287">
        <f t="shared" si="90"/>
        <v>52369</v>
      </c>
      <c r="N83" s="287">
        <f t="shared" si="90"/>
        <v>58227</v>
      </c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03"/>
      <c r="AK83" s="204">
        <v>7134</v>
      </c>
      <c r="AL83" s="204">
        <v>178197</v>
      </c>
    </row>
    <row r="84" spans="1:224" s="105" customFormat="1" ht="33" customHeight="1" x14ac:dyDescent="0.25">
      <c r="A84" s="342"/>
      <c r="B84" s="104" t="s">
        <v>157</v>
      </c>
      <c r="C84" s="198">
        <v>-439</v>
      </c>
      <c r="D84" s="286">
        <f t="shared" ref="D84:E84" si="91">D70-D82</f>
        <v>-443</v>
      </c>
      <c r="E84" s="286">
        <f t="shared" si="91"/>
        <v>-932</v>
      </c>
      <c r="F84" s="286">
        <f t="shared" ref="F84:G84" si="92">F70-F82</f>
        <v>-215</v>
      </c>
      <c r="G84" s="286">
        <f t="shared" si="92"/>
        <v>-959</v>
      </c>
      <c r="H84" s="286">
        <f t="shared" ref="H84:I84" si="93">H70-H82</f>
        <v>-1052</v>
      </c>
      <c r="I84" s="286">
        <f t="shared" si="93"/>
        <v>-207</v>
      </c>
      <c r="J84" s="286">
        <f t="shared" ref="J84:K84" si="94">J70-J82</f>
        <v>-869</v>
      </c>
      <c r="K84" s="286">
        <f t="shared" si="94"/>
        <v>-757</v>
      </c>
      <c r="L84" s="286">
        <f t="shared" ref="L84:M84" si="95">L70-L82</f>
        <v>-1306</v>
      </c>
      <c r="M84" s="286">
        <f t="shared" si="95"/>
        <v>-919</v>
      </c>
      <c r="N84" s="286">
        <f t="shared" ref="N84" si="96">N70-N82</f>
        <v>-1228</v>
      </c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  <c r="AF84" s="286"/>
      <c r="AG84" s="286"/>
      <c r="AH84" s="286"/>
      <c r="AI84" s="286"/>
      <c r="AJ84" s="119">
        <f>AVERAGE(D84:AH84)</f>
        <v>-807.90909090909088</v>
      </c>
      <c r="AK84" s="72">
        <v>-117</v>
      </c>
      <c r="AL84" s="72">
        <v>2109</v>
      </c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  <c r="FB84" s="72"/>
      <c r="FC84" s="72"/>
      <c r="FD84" s="72"/>
      <c r="FE84" s="72"/>
      <c r="FF84" s="72"/>
      <c r="FG84" s="72"/>
      <c r="FH84" s="72"/>
      <c r="FI84" s="72"/>
      <c r="FJ84" s="72"/>
      <c r="FK84" s="72"/>
      <c r="FL84" s="72"/>
      <c r="FM84" s="72"/>
      <c r="FN84" s="72"/>
      <c r="FO84" s="72"/>
      <c r="FP84" s="72"/>
      <c r="FQ84" s="72"/>
      <c r="FR84" s="72"/>
      <c r="FS84" s="72"/>
      <c r="FT84" s="72"/>
      <c r="FU84" s="72"/>
      <c r="FV84" s="72"/>
      <c r="FW84" s="72"/>
      <c r="FX84" s="72"/>
      <c r="FY84" s="72"/>
      <c r="FZ84" s="72"/>
      <c r="GA84" s="72"/>
      <c r="GB84" s="72"/>
      <c r="GC84" s="72"/>
      <c r="GD84" s="72"/>
      <c r="GE84" s="72"/>
      <c r="GF84" s="72"/>
      <c r="GG84" s="72"/>
      <c r="GH84" s="72"/>
      <c r="GI84" s="72"/>
      <c r="GJ84" s="72"/>
      <c r="GK84" s="72"/>
      <c r="GL84" s="72"/>
      <c r="GM84" s="72"/>
      <c r="GN84" s="72"/>
      <c r="GO84" s="72"/>
      <c r="GP84" s="72"/>
      <c r="GQ84" s="72"/>
      <c r="GR84" s="72"/>
      <c r="GS84" s="72"/>
      <c r="GT84" s="72"/>
      <c r="GU84" s="72"/>
      <c r="GV84" s="72"/>
      <c r="GW84" s="72"/>
      <c r="GX84" s="72"/>
      <c r="GY84" s="72"/>
      <c r="GZ84" s="72"/>
      <c r="HA84" s="72"/>
      <c r="HB84" s="72"/>
      <c r="HC84" s="72"/>
      <c r="HD84" s="72"/>
      <c r="HE84" s="72"/>
      <c r="HF84" s="72"/>
      <c r="HG84" s="72"/>
      <c r="HH84" s="72"/>
      <c r="HI84" s="72"/>
      <c r="HJ84" s="72"/>
      <c r="HK84" s="72"/>
      <c r="HL84" s="72"/>
      <c r="HM84" s="72"/>
      <c r="HN84" s="72"/>
      <c r="HO84" s="72"/>
      <c r="HP84" s="72"/>
    </row>
    <row r="85" spans="1:224" s="105" customFormat="1" ht="21" customHeight="1" x14ac:dyDescent="0.25">
      <c r="A85" s="342"/>
      <c r="B85" s="106" t="s">
        <v>158</v>
      </c>
      <c r="C85" s="199">
        <v>4762</v>
      </c>
      <c r="D85" s="288">
        <f t="shared" ref="D85:E85" si="97">(D60+D64)-D68</f>
        <v>4047</v>
      </c>
      <c r="E85" s="288">
        <f t="shared" si="97"/>
        <v>4652</v>
      </c>
      <c r="F85" s="288">
        <f t="shared" ref="F85:G85" si="98">(F60+F64)-F68</f>
        <v>4636</v>
      </c>
      <c r="G85" s="288">
        <f t="shared" si="98"/>
        <v>5168</v>
      </c>
      <c r="H85" s="288">
        <f t="shared" ref="H85:I85" si="99">(H60+H64)-H68</f>
        <v>4918</v>
      </c>
      <c r="I85" s="288">
        <f t="shared" si="99"/>
        <v>4882</v>
      </c>
      <c r="J85" s="288">
        <f t="shared" ref="J85:K85" si="100">(J60+J64)-J68</f>
        <v>4728</v>
      </c>
      <c r="K85" s="288">
        <f t="shared" si="100"/>
        <v>5050</v>
      </c>
      <c r="L85" s="288">
        <f t="shared" ref="L85:M85" si="101">(L60+L64)-L68</f>
        <v>5116</v>
      </c>
      <c r="M85" s="288">
        <f t="shared" si="101"/>
        <v>5171</v>
      </c>
      <c r="N85" s="288">
        <f t="shared" ref="N85" si="102">(N60+N64)-N68</f>
        <v>5251</v>
      </c>
      <c r="O85" s="288"/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118">
        <f>AVERAGE(D85:AH85)</f>
        <v>4874.454545454545</v>
      </c>
      <c r="AK85" s="72">
        <v>7954</v>
      </c>
      <c r="AL85" s="72">
        <v>4486</v>
      </c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7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7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7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72"/>
      <c r="HK85" s="72"/>
      <c r="HL85" s="72"/>
      <c r="HM85" s="72"/>
      <c r="HN85" s="72"/>
      <c r="HO85" s="72"/>
      <c r="HP85" s="72"/>
    </row>
    <row r="86" spans="1:224" s="129" customFormat="1" ht="21" customHeight="1" x14ac:dyDescent="0.25">
      <c r="A86" s="342"/>
      <c r="B86" s="120" t="s">
        <v>159</v>
      </c>
      <c r="C86" s="197" t="s">
        <v>208</v>
      </c>
      <c r="D86" s="285" t="s">
        <v>160</v>
      </c>
      <c r="E86" s="285" t="s">
        <v>224</v>
      </c>
      <c r="F86" s="285" t="s">
        <v>224</v>
      </c>
      <c r="G86" s="285" t="s">
        <v>224</v>
      </c>
      <c r="H86" s="285" t="s">
        <v>224</v>
      </c>
      <c r="I86" s="285" t="s">
        <v>224</v>
      </c>
      <c r="J86" s="285" t="s">
        <v>224</v>
      </c>
      <c r="K86" s="285" t="s">
        <v>224</v>
      </c>
      <c r="L86" s="285" t="s">
        <v>224</v>
      </c>
      <c r="M86" s="285" t="s">
        <v>224</v>
      </c>
      <c r="N86" s="285" t="s">
        <v>224</v>
      </c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121" t="s">
        <v>161</v>
      </c>
      <c r="AK86" s="128" t="s">
        <v>207</v>
      </c>
      <c r="AL86" s="128" t="s">
        <v>160</v>
      </c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  <c r="CS86" s="128"/>
      <c r="CT86" s="128"/>
      <c r="CU86" s="128"/>
      <c r="CV86" s="128"/>
      <c r="CW86" s="128"/>
      <c r="CX86" s="128"/>
      <c r="CY86" s="128"/>
      <c r="CZ86" s="128"/>
      <c r="DA86" s="128"/>
      <c r="DB86" s="128"/>
      <c r="DC86" s="128"/>
      <c r="DD86" s="128"/>
      <c r="DE86" s="128"/>
      <c r="DF86" s="128"/>
      <c r="DG86" s="128"/>
      <c r="DH86" s="128"/>
      <c r="DI86" s="128"/>
      <c r="DJ86" s="128"/>
      <c r="DK86" s="128"/>
      <c r="DL86" s="128"/>
      <c r="DM86" s="128"/>
      <c r="DN86" s="128"/>
      <c r="DO86" s="128"/>
      <c r="DP86" s="128"/>
      <c r="DQ86" s="128"/>
      <c r="DR86" s="128"/>
      <c r="DS86" s="128"/>
      <c r="DT86" s="128"/>
      <c r="DU86" s="128"/>
      <c r="DV86" s="128"/>
      <c r="DW86" s="128"/>
      <c r="DX86" s="128"/>
      <c r="DY86" s="128"/>
      <c r="DZ86" s="128"/>
      <c r="EA86" s="128"/>
      <c r="EB86" s="128"/>
      <c r="EC86" s="128"/>
      <c r="ED86" s="128"/>
      <c r="EE86" s="128"/>
      <c r="EF86" s="128"/>
      <c r="EG86" s="128"/>
      <c r="EH86" s="128"/>
      <c r="EI86" s="128"/>
      <c r="EJ86" s="128"/>
      <c r="EK86" s="128"/>
      <c r="EL86" s="128"/>
      <c r="EM86" s="128"/>
      <c r="EN86" s="128"/>
      <c r="EO86" s="128"/>
      <c r="EP86" s="128"/>
      <c r="EQ86" s="128"/>
      <c r="ER86" s="128"/>
      <c r="ES86" s="128"/>
      <c r="ET86" s="128"/>
      <c r="EU86" s="128"/>
      <c r="EV86" s="128"/>
      <c r="EW86" s="128"/>
      <c r="EX86" s="128"/>
      <c r="EY86" s="128"/>
      <c r="EZ86" s="128"/>
      <c r="FA86" s="128"/>
      <c r="FB86" s="128"/>
      <c r="FC86" s="128"/>
      <c r="FD86" s="128"/>
      <c r="FE86" s="128"/>
      <c r="FF86" s="128"/>
      <c r="FG86" s="128"/>
      <c r="FH86" s="128"/>
      <c r="FI86" s="128"/>
      <c r="FJ86" s="128"/>
      <c r="FK86" s="128"/>
      <c r="FL86" s="128"/>
      <c r="FM86" s="128"/>
      <c r="FN86" s="128"/>
      <c r="FO86" s="128"/>
      <c r="FP86" s="128"/>
      <c r="FQ86" s="128"/>
      <c r="FR86" s="128"/>
      <c r="FS86" s="128"/>
      <c r="FT86" s="128"/>
      <c r="FU86" s="128"/>
      <c r="FV86" s="128"/>
      <c r="FW86" s="128"/>
      <c r="FX86" s="128"/>
      <c r="FY86" s="128"/>
      <c r="FZ86" s="128"/>
      <c r="GA86" s="128"/>
      <c r="GB86" s="128"/>
      <c r="GC86" s="128"/>
      <c r="GD86" s="128"/>
      <c r="GE86" s="128"/>
      <c r="GF86" s="128"/>
      <c r="GG86" s="128"/>
      <c r="GH86" s="128"/>
      <c r="GI86" s="128"/>
      <c r="GJ86" s="128"/>
      <c r="GK86" s="128"/>
      <c r="GL86" s="128"/>
      <c r="GM86" s="128"/>
      <c r="GN86" s="128"/>
      <c r="GO86" s="128"/>
      <c r="GP86" s="128"/>
      <c r="GQ86" s="128"/>
      <c r="GR86" s="128"/>
      <c r="GS86" s="128"/>
      <c r="GT86" s="128"/>
      <c r="GU86" s="128"/>
      <c r="GV86" s="128"/>
      <c r="GW86" s="128"/>
      <c r="GX86" s="128"/>
      <c r="GY86" s="128"/>
      <c r="GZ86" s="128"/>
      <c r="HA86" s="128"/>
      <c r="HB86" s="128"/>
      <c r="HC86" s="128"/>
      <c r="HD86" s="128"/>
      <c r="HE86" s="128"/>
      <c r="HF86" s="128"/>
      <c r="HG86" s="128"/>
      <c r="HH86" s="128"/>
      <c r="HI86" s="128"/>
      <c r="HJ86" s="128"/>
      <c r="HK86" s="128"/>
      <c r="HL86" s="128"/>
      <c r="HM86" s="128"/>
      <c r="HN86" s="128"/>
      <c r="HO86" s="128"/>
      <c r="HP86" s="128"/>
    </row>
    <row r="87" spans="1:224" s="133" customFormat="1" ht="36.5" hidden="1" thickBot="1" x14ac:dyDescent="0.3">
      <c r="A87" s="343"/>
      <c r="B87" s="130" t="s">
        <v>162</v>
      </c>
      <c r="C87" s="200" t="e">
        <f>C70/([1]STATION!B6*1000)</f>
        <v>#VALUE!</v>
      </c>
      <c r="D87" s="200">
        <f>D70/([1]STATION!C6*1000)</f>
        <v>1.3937768240343349</v>
      </c>
      <c r="E87" s="241">
        <f>E70/([1]STATION!D6*1000)</f>
        <v>1.4928017718715394</v>
      </c>
      <c r="F87" s="200">
        <f>F70/([1]STATION!E6*1000)</f>
        <v>1.7589220684632192</v>
      </c>
      <c r="G87" s="200">
        <f>G70/([1]STATION!F6*1000)</f>
        <v>1.7824795842613215</v>
      </c>
      <c r="H87" s="200">
        <f>H70/([1]STATION!G6*1000)</f>
        <v>1.6710725075528703</v>
      </c>
      <c r="I87" s="200">
        <f>I70/([1]STATION!H6*1000)</f>
        <v>1.8344226579520697</v>
      </c>
      <c r="J87" s="200">
        <f>J70/([1]STATION!I6*1000)</f>
        <v>1.5649303008070432</v>
      </c>
      <c r="K87" s="200">
        <f>K70/([1]STATION!J6*1000)</f>
        <v>1.7241758241758243</v>
      </c>
      <c r="L87" s="200">
        <f>L70/([1]STATION!K6*1000)</f>
        <v>1.5454213790587379</v>
      </c>
      <c r="M87" s="200">
        <f>M70/([1]STATION!L6*1000)</f>
        <v>1.6256391526661798</v>
      </c>
      <c r="N87" s="200">
        <f>N70/([1]STATION!M6*1000)</f>
        <v>1.6990825688073397</v>
      </c>
      <c r="O87" s="200">
        <f>O70/([1]STATION!N6*1000)</f>
        <v>0</v>
      </c>
      <c r="P87" s="200">
        <f>P70/([1]STATION!O6*1000)</f>
        <v>0</v>
      </c>
      <c r="Q87" s="200">
        <f>Q70/([1]STATION!P6*1000)</f>
        <v>0</v>
      </c>
      <c r="R87" s="200">
        <f>R70/([1]STATION!Q6*1000)</f>
        <v>0</v>
      </c>
      <c r="S87" s="200">
        <f>S70/([1]STATION!R6*1000)</f>
        <v>0</v>
      </c>
      <c r="T87" s="200">
        <f>T70/([1]STATION!S6*1000)</f>
        <v>0</v>
      </c>
      <c r="U87" s="200">
        <f>U70/([1]STATION!T6*1000)</f>
        <v>0</v>
      </c>
      <c r="V87" s="200">
        <f>V70/([1]STATION!U6*1000)</f>
        <v>0</v>
      </c>
      <c r="W87" s="200">
        <f>W70/([1]STATION!V6*1000)</f>
        <v>0</v>
      </c>
      <c r="X87" s="200">
        <f>X70/([1]STATION!W6*1000)</f>
        <v>0</v>
      </c>
      <c r="Y87" s="200">
        <f>Y70/([1]STATION!X6*1000)</f>
        <v>0</v>
      </c>
      <c r="Z87" s="200">
        <f>Z70/([1]STATION!Y6*1000)</f>
        <v>0</v>
      </c>
      <c r="AA87" s="200">
        <f>AA70/([1]STATION!Z6*1000)</f>
        <v>0</v>
      </c>
      <c r="AB87" s="200">
        <f>AB70/([1]STATION!AA6*1000)</f>
        <v>0</v>
      </c>
      <c r="AC87" s="200">
        <f>AC70/([1]STATION!AB6*1000)</f>
        <v>0</v>
      </c>
      <c r="AD87" s="200">
        <f>AD70/([1]STATION!AC6*1000)</f>
        <v>0</v>
      </c>
      <c r="AE87" s="200">
        <f>AE70/([1]STATION!AD6*1000)</f>
        <v>0</v>
      </c>
      <c r="AF87" s="200">
        <f>AF70/([1]STATION!AE6*1000)</f>
        <v>0</v>
      </c>
      <c r="AG87" s="200">
        <f>AG70/([1]STATION!AF6*1000)</f>
        <v>0</v>
      </c>
      <c r="AH87" s="200">
        <f>AH70/([1]STATION!AG6*1000)</f>
        <v>0</v>
      </c>
      <c r="AI87" s="200" t="e">
        <f>AI70/([1]STATION!AH6*1000)</f>
        <v>#DIV/0!</v>
      </c>
      <c r="AJ87" s="131" t="e">
        <f>AJ70/(STATION!AG6*1000)</f>
        <v>#DIV/0!</v>
      </c>
      <c r="AK87" s="132">
        <v>3.8618847768027478</v>
      </c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  <c r="DP87" s="132"/>
      <c r="DQ87" s="132"/>
      <c r="DR87" s="132"/>
      <c r="DS87" s="132"/>
      <c r="DT87" s="132"/>
      <c r="DU87" s="132"/>
      <c r="DV87" s="132"/>
      <c r="DW87" s="132"/>
      <c r="DX87" s="132"/>
      <c r="DY87" s="132"/>
      <c r="DZ87" s="132"/>
      <c r="EA87" s="132"/>
      <c r="EB87" s="132"/>
      <c r="EC87" s="132"/>
      <c r="ED87" s="132"/>
      <c r="EE87" s="132"/>
      <c r="EF87" s="132"/>
      <c r="EG87" s="132"/>
      <c r="EH87" s="132"/>
      <c r="EI87" s="132"/>
      <c r="EJ87" s="132"/>
      <c r="EK87" s="132"/>
      <c r="EL87" s="132"/>
      <c r="EM87" s="132"/>
      <c r="EN87" s="132"/>
      <c r="EO87" s="132"/>
      <c r="EP87" s="132"/>
      <c r="EQ87" s="132"/>
      <c r="ER87" s="132"/>
      <c r="ES87" s="132"/>
      <c r="ET87" s="132"/>
      <c r="EU87" s="132"/>
      <c r="EV87" s="132"/>
      <c r="EW87" s="132"/>
      <c r="EX87" s="132"/>
      <c r="EY87" s="132"/>
      <c r="EZ87" s="132"/>
      <c r="FA87" s="132"/>
      <c r="FB87" s="132"/>
      <c r="FC87" s="132"/>
      <c r="FD87" s="132"/>
      <c r="FE87" s="132"/>
      <c r="FF87" s="132"/>
      <c r="FG87" s="132"/>
      <c r="FH87" s="132"/>
      <c r="FI87" s="132"/>
      <c r="FJ87" s="132"/>
      <c r="FK87" s="132"/>
      <c r="FL87" s="132"/>
      <c r="FM87" s="132"/>
      <c r="FN87" s="132"/>
      <c r="FO87" s="132"/>
      <c r="FP87" s="132"/>
      <c r="FQ87" s="132"/>
      <c r="FR87" s="132"/>
      <c r="FS87" s="132"/>
      <c r="FT87" s="132"/>
      <c r="FU87" s="132"/>
      <c r="FV87" s="132"/>
      <c r="FW87" s="132"/>
      <c r="FX87" s="132"/>
      <c r="FY87" s="132"/>
      <c r="FZ87" s="132"/>
      <c r="GA87" s="132"/>
      <c r="GB87" s="132"/>
      <c r="GC87" s="132"/>
      <c r="GD87" s="132"/>
      <c r="GE87" s="132"/>
      <c r="GF87" s="132"/>
      <c r="GG87" s="132"/>
      <c r="GH87" s="132"/>
      <c r="GI87" s="132"/>
      <c r="GJ87" s="132"/>
      <c r="GK87" s="132"/>
      <c r="GL87" s="132"/>
      <c r="GM87" s="132"/>
      <c r="GN87" s="132"/>
      <c r="GO87" s="132"/>
      <c r="GP87" s="132"/>
      <c r="GQ87" s="132"/>
      <c r="GR87" s="132"/>
      <c r="GS87" s="132"/>
      <c r="GT87" s="132"/>
      <c r="GU87" s="132"/>
      <c r="GV87" s="132"/>
      <c r="GW87" s="132"/>
      <c r="GX87" s="132"/>
      <c r="GY87" s="132"/>
      <c r="GZ87" s="132"/>
      <c r="HA87" s="132"/>
      <c r="HB87" s="132"/>
      <c r="HC87" s="132"/>
      <c r="HD87" s="132"/>
      <c r="HE87" s="132"/>
      <c r="HF87" s="132"/>
      <c r="HG87" s="132"/>
      <c r="HH87" s="132"/>
      <c r="HI87" s="132"/>
      <c r="HJ87" s="132"/>
      <c r="HK87" s="132"/>
      <c r="HL87" s="132"/>
      <c r="HM87" s="132"/>
      <c r="HN87" s="132"/>
      <c r="HO87" s="132"/>
      <c r="HP87" s="132"/>
    </row>
    <row r="92" spans="1:224" x14ac:dyDescent="0.25">
      <c r="D92" s="144"/>
      <c r="E92" s="242"/>
      <c r="F92" s="144"/>
      <c r="G92" s="144"/>
      <c r="H92" s="144"/>
      <c r="I92" s="144"/>
      <c r="J92" s="144"/>
      <c r="K92" s="144"/>
      <c r="L92" s="144"/>
      <c r="M92" s="144"/>
    </row>
  </sheetData>
  <mergeCells count="8">
    <mergeCell ref="A70:A87"/>
    <mergeCell ref="A54:A68"/>
    <mergeCell ref="A1:AG1"/>
    <mergeCell ref="AJ1:AJ2"/>
    <mergeCell ref="A2:B2"/>
    <mergeCell ref="A3:A28"/>
    <mergeCell ref="A29:A39"/>
    <mergeCell ref="A40:A53"/>
  </mergeCells>
  <phoneticPr fontId="24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K291"/>
  <sheetViews>
    <sheetView zoomScale="90" zoomScaleNormal="90" workbookViewId="0">
      <pane xSplit="2" ySplit="2" topLeftCell="C44" activePane="bottomRight" state="frozen"/>
      <selection pane="topRight" activeCell="C1" sqref="C1"/>
      <selection pane="bottomLeft" activeCell="A4" sqref="A4"/>
      <selection pane="bottomRight" activeCell="O47" sqref="O47"/>
    </sheetView>
  </sheetViews>
  <sheetFormatPr defaultColWidth="9.1796875" defaultRowHeight="12.5" x14ac:dyDescent="0.25"/>
  <cols>
    <col min="1" max="1" width="8.26953125" style="28" customWidth="1"/>
    <col min="2" max="2" width="27.81640625" style="28" customWidth="1"/>
    <col min="3" max="3" width="12.54296875" style="28" customWidth="1"/>
    <col min="4" max="4" width="11.453125" style="28" customWidth="1"/>
    <col min="5" max="5" width="11" style="28" bestFit="1" customWidth="1"/>
    <col min="6" max="6" width="12.54296875" style="28" customWidth="1"/>
    <col min="7" max="8" width="10.7265625" style="28" customWidth="1"/>
    <col min="9" max="9" width="10.7265625" style="48" customWidth="1"/>
    <col min="10" max="18" width="10.7265625" style="28" customWidth="1"/>
    <col min="19" max="19" width="11.81640625" style="28" customWidth="1"/>
    <col min="20" max="20" width="10.7265625" style="28" customWidth="1"/>
    <col min="21" max="21" width="10.7265625" style="46" customWidth="1"/>
    <col min="22" max="22" width="10.7265625" style="26" customWidth="1"/>
    <col min="23" max="25" width="10.7265625" style="28" customWidth="1"/>
    <col min="26" max="26" width="9.7265625" style="28" customWidth="1"/>
    <col min="27" max="28" width="10.7265625" style="28" customWidth="1"/>
    <col min="29" max="29" width="12.26953125" style="28" customWidth="1"/>
    <col min="30" max="32" width="10.7265625" style="28" customWidth="1"/>
    <col min="33" max="33" width="10.7265625" style="26" customWidth="1"/>
    <col min="34" max="34" width="11.26953125" style="253" customWidth="1"/>
    <col min="35" max="16384" width="9.1796875" style="253"/>
  </cols>
  <sheetData>
    <row r="1" spans="1:63" ht="36" customHeight="1" x14ac:dyDescent="0.25">
      <c r="A1" s="358">
        <v>45597</v>
      </c>
      <c r="B1" s="359"/>
      <c r="C1" s="69" t="s">
        <v>223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178"/>
      <c r="AH1" s="252"/>
    </row>
    <row r="2" spans="1:63" ht="30" customHeight="1" x14ac:dyDescent="0.25">
      <c r="A2" s="362" t="s">
        <v>163</v>
      </c>
      <c r="B2" s="362"/>
      <c r="C2" s="230"/>
      <c r="D2" s="1">
        <v>1</v>
      </c>
      <c r="E2" s="1">
        <v>2</v>
      </c>
      <c r="F2" s="1">
        <v>3</v>
      </c>
      <c r="G2" s="1">
        <v>4</v>
      </c>
      <c r="H2" s="1">
        <v>5</v>
      </c>
      <c r="I2" s="27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</row>
    <row r="3" spans="1:63" ht="8.25" customHeight="1" x14ac:dyDescent="0.25">
      <c r="A3" s="360"/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  <c r="AD3" s="361"/>
      <c r="AE3" s="361"/>
      <c r="AF3" s="361"/>
      <c r="AG3" s="361"/>
      <c r="AH3" s="369"/>
      <c r="AI3" s="369"/>
      <c r="AJ3" s="369"/>
      <c r="AK3" s="369"/>
      <c r="AL3" s="369"/>
      <c r="AM3" s="369"/>
      <c r="AN3" s="369"/>
      <c r="AO3" s="369"/>
      <c r="AP3" s="369"/>
      <c r="AQ3" s="369"/>
      <c r="AR3" s="369"/>
      <c r="AS3" s="369"/>
      <c r="AT3" s="369"/>
      <c r="AU3" s="369"/>
      <c r="AV3" s="369"/>
      <c r="AW3" s="369"/>
      <c r="AX3" s="369"/>
      <c r="AY3" s="369"/>
      <c r="AZ3" s="369"/>
      <c r="BA3" s="369"/>
      <c r="BB3" s="369"/>
      <c r="BC3" s="369"/>
      <c r="BD3" s="369"/>
      <c r="BE3" s="369"/>
      <c r="BF3" s="369"/>
      <c r="BG3" s="369"/>
      <c r="BH3" s="369"/>
      <c r="BI3" s="369"/>
      <c r="BJ3" s="369"/>
      <c r="BK3" s="369"/>
    </row>
    <row r="4" spans="1:63" ht="30" customHeight="1" x14ac:dyDescent="0.25">
      <c r="A4" s="363" t="s">
        <v>164</v>
      </c>
      <c r="B4" s="4" t="s">
        <v>165</v>
      </c>
      <c r="C4" s="29" t="s">
        <v>166</v>
      </c>
      <c r="D4" s="3">
        <f>Totalizer!D6-Totalizer!C6</f>
        <v>644</v>
      </c>
      <c r="E4" s="3">
        <f>Totalizer!E6-Totalizer!D6</f>
        <v>669</v>
      </c>
      <c r="F4" s="3">
        <f>Totalizer!F6-Totalizer!E6</f>
        <v>673</v>
      </c>
      <c r="G4" s="3">
        <f>Totalizer!G6-Totalizer!F6</f>
        <v>675</v>
      </c>
      <c r="H4" s="3">
        <f>Totalizer!H6-Totalizer!G6</f>
        <v>691</v>
      </c>
      <c r="I4" s="3">
        <f>Totalizer!I6-Totalizer!H6</f>
        <v>665</v>
      </c>
      <c r="J4" s="3">
        <f>Totalizer!J6-Totalizer!I6</f>
        <v>681</v>
      </c>
      <c r="K4" s="3">
        <f>Totalizer!K6-Totalizer!J6</f>
        <v>701</v>
      </c>
      <c r="L4" s="3">
        <f>Totalizer!L6-Totalizer!K6</f>
        <v>607</v>
      </c>
      <c r="M4" s="3">
        <f>Totalizer!M6-Totalizer!L6</f>
        <v>610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63" ht="30" customHeight="1" x14ac:dyDescent="0.25">
      <c r="A5" s="363"/>
      <c r="B5" s="2" t="s">
        <v>61</v>
      </c>
      <c r="C5" s="29" t="s">
        <v>44</v>
      </c>
      <c r="D5" s="3">
        <v>29.109464645385742</v>
      </c>
      <c r="E5" s="3">
        <v>32.370109558105469</v>
      </c>
      <c r="F5" s="3">
        <v>30.575315475463867</v>
      </c>
      <c r="G5" s="3">
        <v>30.388134002685547</v>
      </c>
      <c r="H5" s="3">
        <v>29.75086784362793</v>
      </c>
      <c r="I5" s="3">
        <v>29.73298454284668</v>
      </c>
      <c r="J5" s="3">
        <v>30.297843933105469</v>
      </c>
      <c r="K5" s="3">
        <v>30.593486785888672</v>
      </c>
      <c r="L5" s="3">
        <v>27.413179397583008</v>
      </c>
      <c r="M5" s="3">
        <v>28.616748809814453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J5" s="255"/>
    </row>
    <row r="6" spans="1:63" ht="30" customHeight="1" x14ac:dyDescent="0.25">
      <c r="A6" s="363"/>
      <c r="B6" s="2" t="s">
        <v>62</v>
      </c>
      <c r="C6" s="29" t="s">
        <v>44</v>
      </c>
      <c r="D6" s="3">
        <v>25.44257926940918</v>
      </c>
      <c r="E6" s="3">
        <v>26.490640640258789</v>
      </c>
      <c r="F6" s="3">
        <v>26.055150985717773</v>
      </c>
      <c r="G6" s="3">
        <v>27.187763214111328</v>
      </c>
      <c r="H6" s="3">
        <v>26.405946731567383</v>
      </c>
      <c r="I6" s="3">
        <v>26.639499664306641</v>
      </c>
      <c r="J6" s="3">
        <v>27.48640251159668</v>
      </c>
      <c r="K6" s="3">
        <v>22.841537475585938</v>
      </c>
      <c r="L6" s="3">
        <v>24.167478561401367</v>
      </c>
      <c r="M6" s="3">
        <v>24.419540405273438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89"/>
      <c r="AA6" s="3"/>
      <c r="AB6" s="3"/>
      <c r="AC6" s="3"/>
      <c r="AD6" s="3"/>
      <c r="AE6" s="3"/>
      <c r="AF6" s="3"/>
      <c r="AG6" s="3"/>
      <c r="AH6" s="3"/>
    </row>
    <row r="7" spans="1:63" ht="30" customHeight="1" x14ac:dyDescent="0.25">
      <c r="A7" s="363" t="s">
        <v>167</v>
      </c>
      <c r="B7" s="4" t="s">
        <v>165</v>
      </c>
      <c r="C7" s="29" t="s">
        <v>166</v>
      </c>
      <c r="D7" s="3">
        <f>Totalizer!D7-Totalizer!C7</f>
        <v>666</v>
      </c>
      <c r="E7" s="3">
        <f>Totalizer!E7-Totalizer!D7</f>
        <v>660</v>
      </c>
      <c r="F7" s="3">
        <f>Totalizer!F7-Totalizer!E7</f>
        <v>478</v>
      </c>
      <c r="G7" s="3">
        <f>Totalizer!G7-Totalizer!F7</f>
        <v>681</v>
      </c>
      <c r="H7" s="3">
        <f>Totalizer!H7-Totalizer!G7</f>
        <v>676</v>
      </c>
      <c r="I7" s="3">
        <f>Totalizer!I7-Totalizer!H7</f>
        <v>659</v>
      </c>
      <c r="J7" s="3">
        <f>Totalizer!J7-Totalizer!I7</f>
        <v>678</v>
      </c>
      <c r="K7" s="3">
        <f>Totalizer!K7-Totalizer!J7</f>
        <v>679</v>
      </c>
      <c r="L7" s="3">
        <f>Totalizer!L7-Totalizer!K7</f>
        <v>579</v>
      </c>
      <c r="M7" s="3">
        <f>Totalizer!M7-Totalizer!L7</f>
        <v>604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63" ht="30" customHeight="1" x14ac:dyDescent="0.25">
      <c r="A8" s="363"/>
      <c r="B8" s="2" t="s">
        <v>61</v>
      </c>
      <c r="C8" s="29" t="s">
        <v>44</v>
      </c>
      <c r="D8" s="3">
        <v>29.076913833618164</v>
      </c>
      <c r="E8" s="3">
        <v>30.027917861938477</v>
      </c>
      <c r="F8" s="3">
        <v>29.745510101318359</v>
      </c>
      <c r="G8" s="3">
        <v>30.282779693603516</v>
      </c>
      <c r="H8" s="3">
        <v>29.747303009033203</v>
      </c>
      <c r="I8" s="3">
        <v>29.499942779541016</v>
      </c>
      <c r="J8" s="3">
        <v>30.307806015014648</v>
      </c>
      <c r="K8" s="3">
        <v>29.708759307861328</v>
      </c>
      <c r="L8" s="3">
        <v>26.652528762817383</v>
      </c>
      <c r="M8" s="3">
        <v>27.541101455688477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63" ht="30" customHeight="1" x14ac:dyDescent="0.25">
      <c r="A9" s="363"/>
      <c r="B9" s="2" t="s">
        <v>62</v>
      </c>
      <c r="C9" s="29" t="s">
        <v>44</v>
      </c>
      <c r="D9" s="3">
        <v>25.748758316040039</v>
      </c>
      <c r="E9" s="3">
        <v>-3.027813509106636E-2</v>
      </c>
      <c r="F9" s="3">
        <v>27.173505783081055</v>
      </c>
      <c r="G9" s="3">
        <v>26.715639114379883</v>
      </c>
      <c r="H9" s="3">
        <v>25.781534194946289</v>
      </c>
      <c r="I9" s="3">
        <v>26.429498672485352</v>
      </c>
      <c r="J9" s="3">
        <v>26.565006256103516</v>
      </c>
      <c r="K9" s="3">
        <v>22.078701019287109</v>
      </c>
      <c r="L9" s="3">
        <v>23.156759262084961</v>
      </c>
      <c r="M9" s="3">
        <v>24.99610710144043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63" ht="30" customHeight="1" x14ac:dyDescent="0.25">
      <c r="A10" s="363" t="s">
        <v>168</v>
      </c>
      <c r="B10" s="4" t="s">
        <v>165</v>
      </c>
      <c r="C10" s="29" t="s">
        <v>166</v>
      </c>
      <c r="D10" s="3">
        <f>Totalizer!D8-Totalizer!C8</f>
        <v>500</v>
      </c>
      <c r="E10" s="3">
        <f>Totalizer!E8-Totalizer!D8</f>
        <v>682</v>
      </c>
      <c r="F10" s="3">
        <f>Totalizer!F8-Totalizer!E8</f>
        <v>678</v>
      </c>
      <c r="G10" s="3">
        <f>Totalizer!G8-Totalizer!F8</f>
        <v>696</v>
      </c>
      <c r="H10" s="3">
        <f>Totalizer!H8-Totalizer!G8</f>
        <v>698</v>
      </c>
      <c r="I10" s="3">
        <f>Totalizer!I8-Totalizer!H8</f>
        <v>675</v>
      </c>
      <c r="J10" s="3">
        <f>Totalizer!J8-Totalizer!I8</f>
        <v>689</v>
      </c>
      <c r="K10" s="3">
        <f>Totalizer!K8-Totalizer!J8</f>
        <v>724</v>
      </c>
      <c r="L10" s="3">
        <f>Totalizer!L8-Totalizer!K8</f>
        <v>613</v>
      </c>
      <c r="M10" s="3">
        <f>Totalizer!M8-Totalizer!L8</f>
        <v>636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63" ht="30" customHeight="1" x14ac:dyDescent="0.25">
      <c r="A11" s="363"/>
      <c r="B11" s="2" t="s">
        <v>61</v>
      </c>
      <c r="C11" s="29" t="s">
        <v>44</v>
      </c>
      <c r="D11" s="3">
        <v>30.181501388549805</v>
      </c>
      <c r="E11" s="3">
        <v>30.553117752075195</v>
      </c>
      <c r="F11" s="3">
        <v>30.473476409912109</v>
      </c>
      <c r="G11" s="3">
        <v>30.630979537963867</v>
      </c>
      <c r="H11" s="3">
        <v>30.708616256713867</v>
      </c>
      <c r="I11" s="3">
        <v>29.839981079101563</v>
      </c>
      <c r="J11" s="3">
        <v>31.779853820800781</v>
      </c>
      <c r="K11" s="3">
        <v>31.839027404785156</v>
      </c>
      <c r="L11" s="3">
        <v>28.443300247192383</v>
      </c>
      <c r="M11" s="3">
        <v>30.114286422729492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63" ht="30" customHeight="1" x14ac:dyDescent="0.25">
      <c r="A12" s="363"/>
      <c r="B12" s="2" t="s">
        <v>62</v>
      </c>
      <c r="C12" s="29" t="s">
        <v>44</v>
      </c>
      <c r="D12" s="3">
        <v>26.724296569824219</v>
      </c>
      <c r="E12" s="3">
        <v>27.115713119506836</v>
      </c>
      <c r="F12" s="3">
        <v>27.117570877075195</v>
      </c>
      <c r="G12" s="3">
        <v>27.479751586914063</v>
      </c>
      <c r="H12" s="3">
        <v>24.190046310424805</v>
      </c>
      <c r="I12" s="3">
        <v>26.240407943725586</v>
      </c>
      <c r="J12" s="3">
        <v>28.098325729370117</v>
      </c>
      <c r="K12" s="3">
        <v>22.465770721435547</v>
      </c>
      <c r="L12" s="3">
        <v>23.55302619934082</v>
      </c>
      <c r="M12" s="3">
        <v>25.961370468139648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63" ht="30" customHeight="1" x14ac:dyDescent="0.25">
      <c r="A13" s="363" t="s">
        <v>169</v>
      </c>
      <c r="B13" s="4" t="s">
        <v>165</v>
      </c>
      <c r="C13" s="29" t="s">
        <v>166</v>
      </c>
      <c r="D13" s="3">
        <f>Totalizer!D9-Totalizer!C9</f>
        <v>648</v>
      </c>
      <c r="E13" s="3">
        <f>Totalizer!E9-Totalizer!D9</f>
        <v>660</v>
      </c>
      <c r="F13" s="3">
        <f>Totalizer!F9-Totalizer!E9</f>
        <v>673</v>
      </c>
      <c r="G13" s="3">
        <f>Totalizer!G9-Totalizer!F9</f>
        <v>686</v>
      </c>
      <c r="H13" s="3">
        <f>Totalizer!H9-Totalizer!G9</f>
        <v>675</v>
      </c>
      <c r="I13" s="3">
        <f>Totalizer!I9-Totalizer!H9</f>
        <v>669</v>
      </c>
      <c r="J13" s="3">
        <f>Totalizer!J9-Totalizer!I9</f>
        <v>667</v>
      </c>
      <c r="K13" s="3">
        <f>Totalizer!K9-Totalizer!J9</f>
        <v>680</v>
      </c>
      <c r="L13" s="3">
        <f>Totalizer!L9-Totalizer!K9</f>
        <v>588</v>
      </c>
      <c r="M13" s="3">
        <f>Totalizer!M9-Totalizer!L9</f>
        <v>625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63" ht="30" customHeight="1" x14ac:dyDescent="0.25">
      <c r="A14" s="363"/>
      <c r="B14" s="2" t="s">
        <v>61</v>
      </c>
      <c r="C14" s="29" t="s">
        <v>44</v>
      </c>
      <c r="D14" s="3">
        <v>29.41569709777832</v>
      </c>
      <c r="E14" s="3">
        <v>29.292045593261719</v>
      </c>
      <c r="F14" s="3">
        <v>29.70155143737793</v>
      </c>
      <c r="G14" s="3">
        <v>30.322607040405273</v>
      </c>
      <c r="H14" s="3">
        <v>29.248048782348633</v>
      </c>
      <c r="I14" s="3">
        <v>29.694250106811523</v>
      </c>
      <c r="J14" s="3">
        <v>30.362993240356445</v>
      </c>
      <c r="K14" s="3">
        <v>31.229185104370117</v>
      </c>
      <c r="L14" s="3">
        <v>26.680330276489258</v>
      </c>
      <c r="M14" s="3">
        <v>28.231252670288086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63" ht="30" customHeight="1" x14ac:dyDescent="0.25">
      <c r="A15" s="363"/>
      <c r="B15" s="2" t="s">
        <v>62</v>
      </c>
      <c r="C15" s="29" t="s">
        <v>44</v>
      </c>
      <c r="D15" s="3">
        <v>25.578334808349609</v>
      </c>
      <c r="E15" s="3">
        <v>26.012310028076172</v>
      </c>
      <c r="F15" s="3">
        <v>27.094942092895508</v>
      </c>
      <c r="G15" s="3">
        <v>27.270322799682617</v>
      </c>
      <c r="H15" s="3">
        <v>27.008604049682617</v>
      </c>
      <c r="I15" s="3">
        <v>26.114168167114258</v>
      </c>
      <c r="J15" s="3">
        <v>25.74580192565918</v>
      </c>
      <c r="K15" s="3">
        <v>22.425577163696289</v>
      </c>
      <c r="L15" s="3">
        <v>23.624496459960938</v>
      </c>
      <c r="M15" s="3">
        <v>25.331106185913086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63" ht="30" customHeight="1" x14ac:dyDescent="0.25">
      <c r="A16" s="363" t="s">
        <v>170</v>
      </c>
      <c r="B16" s="4" t="s">
        <v>165</v>
      </c>
      <c r="C16" s="29" t="s">
        <v>166</v>
      </c>
      <c r="D16" s="3">
        <f>Totalizer!D10-Totalizer!C10</f>
        <v>593</v>
      </c>
      <c r="E16" s="3">
        <f>Totalizer!E10-Totalizer!D10</f>
        <v>698</v>
      </c>
      <c r="F16" s="3">
        <f>Totalizer!F10-Totalizer!E10</f>
        <v>691</v>
      </c>
      <c r="G16" s="3">
        <f>Totalizer!G10-Totalizer!F10</f>
        <v>677</v>
      </c>
      <c r="H16" s="3">
        <f>Totalizer!H10-Totalizer!G10</f>
        <v>570</v>
      </c>
      <c r="I16" s="3">
        <f>Totalizer!I10-Totalizer!H10</f>
        <v>623</v>
      </c>
      <c r="J16" s="3">
        <f>Totalizer!J10-Totalizer!I10</f>
        <v>640</v>
      </c>
      <c r="K16" s="3">
        <f>Totalizer!K10-Totalizer!J10</f>
        <v>669</v>
      </c>
      <c r="L16" s="3">
        <f>Totalizer!L10-Totalizer!K10</f>
        <v>691</v>
      </c>
      <c r="M16" s="3">
        <f>Totalizer!M10-Totalizer!L10</f>
        <v>708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5" ht="30" customHeight="1" x14ac:dyDescent="0.25">
      <c r="A17" s="363"/>
      <c r="B17" s="2" t="s">
        <v>61</v>
      </c>
      <c r="C17" s="29" t="s">
        <v>44</v>
      </c>
      <c r="D17" s="3">
        <v>30.350461959838867</v>
      </c>
      <c r="E17" s="3">
        <v>30.584766387939453</v>
      </c>
      <c r="F17" s="3">
        <v>30.517074584960938</v>
      </c>
      <c r="G17" s="3">
        <v>30.188478469848633</v>
      </c>
      <c r="H17" s="3">
        <v>26.702703475952148</v>
      </c>
      <c r="I17" s="3">
        <v>27.829727172851563</v>
      </c>
      <c r="J17" s="3">
        <v>29.179224014282227</v>
      </c>
      <c r="K17" s="3">
        <v>30.279483795166016</v>
      </c>
      <c r="L17" s="3">
        <v>32.171710968017578</v>
      </c>
      <c r="M17" s="3">
        <v>30.381402969360352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5" ht="30" customHeight="1" x14ac:dyDescent="0.25">
      <c r="A18" s="363"/>
      <c r="B18" s="2" t="s">
        <v>62</v>
      </c>
      <c r="C18" s="29" t="s">
        <v>44</v>
      </c>
      <c r="D18" s="3">
        <v>26.717042922973633</v>
      </c>
      <c r="E18" s="3">
        <v>27.720123291015625</v>
      </c>
      <c r="F18" s="3">
        <v>27.189687728881836</v>
      </c>
      <c r="G18" s="3">
        <v>21.664058685302734</v>
      </c>
      <c r="H18" s="3">
        <v>22.137868881225586</v>
      </c>
      <c r="I18" s="3">
        <v>25.090404510498047</v>
      </c>
      <c r="J18" s="3">
        <v>25.250068664550781</v>
      </c>
      <c r="K18" s="3">
        <v>26.521350860595703</v>
      </c>
      <c r="L18" s="3">
        <v>27.618663787841797</v>
      </c>
      <c r="M18" s="3">
        <v>27.233440399169922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134"/>
      <c r="AF18" s="134"/>
      <c r="AG18" s="134"/>
      <c r="AH18" s="134"/>
    </row>
    <row r="19" spans="1:35" ht="30" customHeight="1" x14ac:dyDescent="0.25">
      <c r="A19" s="363" t="s">
        <v>171</v>
      </c>
      <c r="B19" s="4" t="s">
        <v>165</v>
      </c>
      <c r="C19" s="29" t="s">
        <v>166</v>
      </c>
      <c r="D19" s="3">
        <f>Totalizer!D11-Totalizer!C11</f>
        <v>705</v>
      </c>
      <c r="E19" s="3">
        <f>Totalizer!E11-Totalizer!D11</f>
        <v>711</v>
      </c>
      <c r="F19" s="3">
        <f>Totalizer!F11-Totalizer!E11</f>
        <v>698</v>
      </c>
      <c r="G19" s="3">
        <f>Totalizer!G11-Totalizer!F11</f>
        <v>712</v>
      </c>
      <c r="H19" s="3">
        <f>Totalizer!H11-Totalizer!G11</f>
        <v>596</v>
      </c>
      <c r="I19" s="3">
        <f>Totalizer!I11-Totalizer!H11</f>
        <v>642</v>
      </c>
      <c r="J19" s="3">
        <f>Totalizer!J11-Totalizer!I11</f>
        <v>696</v>
      </c>
      <c r="K19" s="3">
        <f>Totalizer!K11-Totalizer!J11</f>
        <v>702</v>
      </c>
      <c r="L19" s="3">
        <f>Totalizer!L11-Totalizer!K11</f>
        <v>730</v>
      </c>
      <c r="M19" s="3">
        <f>Totalizer!M11-Totalizer!L11</f>
        <v>745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5" ht="30" customHeight="1" x14ac:dyDescent="0.25">
      <c r="A20" s="363"/>
      <c r="B20" s="2" t="s">
        <v>61</v>
      </c>
      <c r="C20" s="29" t="s">
        <v>44</v>
      </c>
      <c r="D20" s="3">
        <v>30.678510665893555</v>
      </c>
      <c r="E20" s="3">
        <v>31.89732551574707</v>
      </c>
      <c r="F20" s="3">
        <v>32.107662200927734</v>
      </c>
      <c r="G20" s="3">
        <v>31.242403030395508</v>
      </c>
      <c r="H20" s="3">
        <v>27.120746612548828</v>
      </c>
      <c r="I20" s="3">
        <v>30.356643676757813</v>
      </c>
      <c r="J20" s="3">
        <v>30.35276985168457</v>
      </c>
      <c r="K20" s="3">
        <v>31.163406372070313</v>
      </c>
      <c r="L20" s="3">
        <v>32.486663818359375</v>
      </c>
      <c r="M20" s="3">
        <v>32.416976928710938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5" ht="30" customHeight="1" x14ac:dyDescent="0.25">
      <c r="A21" s="363"/>
      <c r="B21" s="2" t="s">
        <v>62</v>
      </c>
      <c r="C21" s="29" t="s">
        <v>44</v>
      </c>
      <c r="D21" s="3">
        <v>27.809164047241211</v>
      </c>
      <c r="E21" s="3">
        <v>26.902387619018555</v>
      </c>
      <c r="F21" s="3">
        <v>26.706264495849609</v>
      </c>
      <c r="G21" s="3">
        <v>22.937108993530273</v>
      </c>
      <c r="H21" s="3">
        <v>23.965463638305664</v>
      </c>
      <c r="I21" s="3">
        <v>25.902828216552734</v>
      </c>
      <c r="J21" s="3">
        <v>27.41212272644043</v>
      </c>
      <c r="K21" s="3">
        <v>28.420148849487305</v>
      </c>
      <c r="L21" s="3">
        <v>29.721035003662109</v>
      </c>
      <c r="M21" s="3">
        <v>28.705671310424805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5" ht="30" customHeight="1" x14ac:dyDescent="0.25">
      <c r="A22" s="363" t="s">
        <v>172</v>
      </c>
      <c r="B22" s="4" t="s">
        <v>165</v>
      </c>
      <c r="C22" s="29" t="s">
        <v>166</v>
      </c>
      <c r="D22" s="3">
        <f>Totalizer!D12-Totalizer!C12</f>
        <v>638</v>
      </c>
      <c r="E22" s="3">
        <f>Totalizer!E12-Totalizer!D12</f>
        <v>669</v>
      </c>
      <c r="F22" s="3">
        <f>Totalizer!F12-Totalizer!E12</f>
        <v>668</v>
      </c>
      <c r="G22" s="3">
        <f>Totalizer!G12-Totalizer!F12</f>
        <v>665</v>
      </c>
      <c r="H22" s="3">
        <f>Totalizer!H12-Totalizer!G12</f>
        <v>676</v>
      </c>
      <c r="I22" s="3">
        <f>Totalizer!I12-Totalizer!H12</f>
        <v>665</v>
      </c>
      <c r="J22" s="3">
        <f>Totalizer!J12-Totalizer!I12</f>
        <v>675</v>
      </c>
      <c r="K22" s="3">
        <f>Totalizer!K12-Totalizer!J12</f>
        <v>664</v>
      </c>
      <c r="L22" s="3">
        <f>Totalizer!L12-Totalizer!K12</f>
        <v>685</v>
      </c>
      <c r="M22" s="3">
        <f>Totalizer!M12-Totalizer!L12</f>
        <v>693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54"/>
    </row>
    <row r="23" spans="1:35" ht="30" customHeight="1" x14ac:dyDescent="0.25">
      <c r="A23" s="363"/>
      <c r="B23" s="2" t="s">
        <v>61</v>
      </c>
      <c r="C23" s="29" t="s">
        <v>44</v>
      </c>
      <c r="D23" s="3">
        <v>28.927190780639648</v>
      </c>
      <c r="E23" s="3">
        <v>30.945550918579102</v>
      </c>
      <c r="F23" s="3">
        <v>29.109031677246094</v>
      </c>
      <c r="G23" s="3">
        <v>29.449176788330078</v>
      </c>
      <c r="H23" s="3">
        <v>30.097438812255859</v>
      </c>
      <c r="I23" s="3">
        <v>29.49058723449707</v>
      </c>
      <c r="J23" s="3">
        <v>30.010784149169922</v>
      </c>
      <c r="K23" s="3">
        <v>29.46723747253418</v>
      </c>
      <c r="L23" s="3">
        <v>31.003419876098633</v>
      </c>
      <c r="M23" s="3">
        <v>31.740154266357422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5" ht="30" customHeight="1" x14ac:dyDescent="0.25">
      <c r="A24" s="363"/>
      <c r="B24" s="2" t="s">
        <v>62</v>
      </c>
      <c r="C24" s="29" t="s">
        <v>44</v>
      </c>
      <c r="D24" s="3">
        <v>24.334054946899414</v>
      </c>
      <c r="E24" s="3">
        <v>26.068462371826172</v>
      </c>
      <c r="F24" s="3">
        <v>26.282520294189453</v>
      </c>
      <c r="G24" s="3">
        <v>25.720392227172852</v>
      </c>
      <c r="H24" s="3">
        <v>26.225980758666992</v>
      </c>
      <c r="I24" s="3">
        <v>25.948183059692383</v>
      </c>
      <c r="J24" s="3">
        <v>26.79588508605957</v>
      </c>
      <c r="K24" s="3">
        <v>25.685037612915039</v>
      </c>
      <c r="L24" s="3">
        <v>26.467741012573242</v>
      </c>
      <c r="M24" s="3">
        <v>27.547859191894531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5" ht="30" customHeight="1" x14ac:dyDescent="0.25">
      <c r="A25" s="363" t="s">
        <v>173</v>
      </c>
      <c r="B25" s="4" t="s">
        <v>165</v>
      </c>
      <c r="C25" s="29" t="s">
        <v>166</v>
      </c>
      <c r="D25" s="3">
        <f>Totalizer!D13-Totalizer!C13</f>
        <v>501</v>
      </c>
      <c r="E25" s="3">
        <f>Totalizer!E13-Totalizer!D13</f>
        <v>672</v>
      </c>
      <c r="F25" s="3">
        <f>Totalizer!F13-Totalizer!E13</f>
        <v>684</v>
      </c>
      <c r="G25" s="3">
        <f>Totalizer!G13-Totalizer!F13</f>
        <v>666</v>
      </c>
      <c r="H25" s="3">
        <f>Totalizer!H13-Totalizer!G13</f>
        <v>693</v>
      </c>
      <c r="I25" s="3">
        <f>Totalizer!I13-Totalizer!H13</f>
        <v>664</v>
      </c>
      <c r="J25" s="3">
        <f>Totalizer!J13-Totalizer!I13</f>
        <v>669</v>
      </c>
      <c r="K25" s="3">
        <f>Totalizer!K13-Totalizer!J13</f>
        <v>704</v>
      </c>
      <c r="L25" s="3">
        <f>Totalizer!L13-Totalizer!K13</f>
        <v>578</v>
      </c>
      <c r="M25" s="3">
        <f>Totalizer!M13-Totalizer!L13</f>
        <v>794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5" ht="30" customHeight="1" x14ac:dyDescent="0.25">
      <c r="A26" s="363"/>
      <c r="B26" s="2" t="s">
        <v>61</v>
      </c>
      <c r="C26" s="29" t="s">
        <v>44</v>
      </c>
      <c r="D26" s="3">
        <v>30.029932022094727</v>
      </c>
      <c r="E26" s="3">
        <v>30.861259460449219</v>
      </c>
      <c r="F26" s="3">
        <v>30.751424789428711</v>
      </c>
      <c r="G26" s="3">
        <v>28.710399627685547</v>
      </c>
      <c r="H26" s="3">
        <v>30.424911499023438</v>
      </c>
      <c r="I26" s="3">
        <v>29.08489990234375</v>
      </c>
      <c r="J26" s="3">
        <v>29.894083023071289</v>
      </c>
      <c r="K26" s="3">
        <v>32.186923980712891</v>
      </c>
      <c r="L26" s="3">
        <v>30.134599685668945</v>
      </c>
      <c r="M26" s="3">
        <v>30.518665313720703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5" ht="30" customHeight="1" x14ac:dyDescent="0.25">
      <c r="A27" s="363"/>
      <c r="B27" s="2" t="s">
        <v>62</v>
      </c>
      <c r="C27" s="29" t="s">
        <v>44</v>
      </c>
      <c r="D27" s="3">
        <v>-3.3387470990419388E-2</v>
      </c>
      <c r="E27" s="3">
        <v>26.353584289550781</v>
      </c>
      <c r="F27" s="3">
        <v>27.194179534912109</v>
      </c>
      <c r="G27" s="3">
        <v>25.802228927612305</v>
      </c>
      <c r="H27" s="3">
        <v>26.300966262817383</v>
      </c>
      <c r="I27" s="3">
        <v>26.100555419921875</v>
      </c>
      <c r="J27" s="3">
        <v>26.198837280273438</v>
      </c>
      <c r="K27" s="3">
        <v>27.223323822021484</v>
      </c>
      <c r="L27" s="3">
        <v>26.798059463500977</v>
      </c>
      <c r="M27" s="3">
        <v>27.329086303710938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5" ht="30" customHeight="1" x14ac:dyDescent="0.25">
      <c r="A28" s="363" t="s">
        <v>174</v>
      </c>
      <c r="B28" s="4" t="s">
        <v>165</v>
      </c>
      <c r="C28" s="29" t="s">
        <v>44</v>
      </c>
      <c r="D28" s="3">
        <f>Totalizer!D14-Totalizer!C14</f>
        <v>645</v>
      </c>
      <c r="E28" s="3">
        <f>Totalizer!E14-Totalizer!D14</f>
        <v>666</v>
      </c>
      <c r="F28" s="3">
        <f>Totalizer!F14-Totalizer!E14</f>
        <v>682</v>
      </c>
      <c r="G28" s="3">
        <f>Totalizer!G14-Totalizer!F14</f>
        <v>662</v>
      </c>
      <c r="H28" s="3">
        <f>Totalizer!H14-Totalizer!G14</f>
        <v>681</v>
      </c>
      <c r="I28" s="3">
        <f>Totalizer!I14-Totalizer!H14</f>
        <v>680</v>
      </c>
      <c r="J28" s="3">
        <f>Totalizer!J14-Totalizer!I14</f>
        <v>675</v>
      </c>
      <c r="K28" s="3">
        <f>Totalizer!K14-Totalizer!J14</f>
        <v>671</v>
      </c>
      <c r="L28" s="3">
        <f>Totalizer!L14-Totalizer!K14</f>
        <v>681</v>
      </c>
      <c r="M28" s="3">
        <f>Totalizer!M14-Totalizer!L14</f>
        <v>688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254"/>
    </row>
    <row r="29" spans="1:35" ht="30" customHeight="1" x14ac:dyDescent="0.25">
      <c r="A29" s="363"/>
      <c r="B29" s="2" t="s">
        <v>61</v>
      </c>
      <c r="C29" s="29" t="s">
        <v>44</v>
      </c>
      <c r="D29" s="3">
        <v>28.373346328735352</v>
      </c>
      <c r="E29" s="3">
        <v>29.667011260986328</v>
      </c>
      <c r="F29" s="3">
        <v>31.014461517333984</v>
      </c>
      <c r="G29" s="3">
        <v>29.296928405761719</v>
      </c>
      <c r="H29" s="3">
        <v>30.054050445556641</v>
      </c>
      <c r="I29" s="3">
        <v>30.267784118652344</v>
      </c>
      <c r="J29" s="3">
        <v>30.66276741027832</v>
      </c>
      <c r="K29" s="3">
        <v>29.49224853515625</v>
      </c>
      <c r="L29" s="3">
        <v>29.906156539916992</v>
      </c>
      <c r="M29" s="3">
        <v>30.976205825805664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5" ht="30" customHeight="1" x14ac:dyDescent="0.25">
      <c r="A30" s="363"/>
      <c r="B30" s="2" t="s">
        <v>62</v>
      </c>
      <c r="C30" s="29" t="s">
        <v>44</v>
      </c>
      <c r="D30" s="3">
        <v>24.934024810791016</v>
      </c>
      <c r="E30" s="3">
        <v>26.757490158081055</v>
      </c>
      <c r="F30" s="3">
        <v>27.007020950317383</v>
      </c>
      <c r="G30" s="3">
        <v>26.22882080078125</v>
      </c>
      <c r="H30" s="3">
        <v>26.503650665283203</v>
      </c>
      <c r="I30" s="3">
        <v>26.604925155639648</v>
      </c>
      <c r="J30" s="3">
        <v>26.933910369873047</v>
      </c>
      <c r="K30" s="3">
        <v>26.096534729003906</v>
      </c>
      <c r="L30" s="3">
        <v>26.95667839050293</v>
      </c>
      <c r="M30" s="3">
        <v>27.47857666015625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5" s="256" customFormat="1" ht="30" customHeight="1" x14ac:dyDescent="0.25">
      <c r="A31" s="363" t="s">
        <v>175</v>
      </c>
      <c r="B31" s="4" t="s">
        <v>165</v>
      </c>
      <c r="C31" s="29" t="s">
        <v>44</v>
      </c>
      <c r="D31" s="3">
        <f>Totalizer!D15-Totalizer!C15</f>
        <v>703</v>
      </c>
      <c r="E31" s="3">
        <f>Totalizer!E15-Totalizer!D15</f>
        <v>678</v>
      </c>
      <c r="F31" s="3">
        <f>Totalizer!F15-Totalizer!E15</f>
        <v>695</v>
      </c>
      <c r="G31" s="3">
        <f>Totalizer!G15-Totalizer!F15</f>
        <v>702</v>
      </c>
      <c r="H31" s="3">
        <f>Totalizer!H15-Totalizer!G15</f>
        <v>694</v>
      </c>
      <c r="I31" s="3">
        <f>Totalizer!I15-Totalizer!H15</f>
        <v>710</v>
      </c>
      <c r="J31" s="3">
        <f>Totalizer!J15-Totalizer!I15</f>
        <v>700</v>
      </c>
      <c r="K31" s="3">
        <f>Totalizer!K15-Totalizer!J15</f>
        <v>677</v>
      </c>
      <c r="L31" s="3">
        <f>Totalizer!L15-Totalizer!K15</f>
        <v>735</v>
      </c>
      <c r="M31" s="3">
        <f>Totalizer!M15-Totalizer!L15</f>
        <v>703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5" ht="30" customHeight="1" x14ac:dyDescent="0.25">
      <c r="A32" s="363"/>
      <c r="B32" s="2" t="s">
        <v>61</v>
      </c>
      <c r="C32" s="29" t="s">
        <v>44</v>
      </c>
      <c r="D32" s="3">
        <v>30.741033554077148</v>
      </c>
      <c r="E32" s="3">
        <v>29.99781608581543</v>
      </c>
      <c r="F32" s="3">
        <v>32.443672180175781</v>
      </c>
      <c r="G32" s="3">
        <v>31.020515441894531</v>
      </c>
      <c r="H32" s="3">
        <v>30.412399291992188</v>
      </c>
      <c r="I32" s="3">
        <v>31.87884521484375</v>
      </c>
      <c r="J32" s="3">
        <v>31.73585319519043</v>
      </c>
      <c r="K32" s="3">
        <v>29.962383270263672</v>
      </c>
      <c r="L32" s="3">
        <v>32.113960266113281</v>
      </c>
      <c r="M32" s="3">
        <v>31.589942932128906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30" customHeight="1" x14ac:dyDescent="0.25">
      <c r="A33" s="363"/>
      <c r="B33" s="2" t="s">
        <v>62</v>
      </c>
      <c r="C33" s="29" t="s">
        <v>44</v>
      </c>
      <c r="D33" s="3">
        <v>27.298582077026367</v>
      </c>
      <c r="E33" s="3">
        <v>27.115447998046875</v>
      </c>
      <c r="F33" s="3">
        <v>26.580936431884766</v>
      </c>
      <c r="G33" s="3">
        <v>27.637815475463867</v>
      </c>
      <c r="H33" s="3">
        <v>26.81629753112793</v>
      </c>
      <c r="I33" s="3">
        <v>27.798980712890625</v>
      </c>
      <c r="J33" s="3">
        <v>27.591325759887695</v>
      </c>
      <c r="K33" s="3">
        <v>26.717947006225586</v>
      </c>
      <c r="L33" s="3">
        <v>28.766323089599609</v>
      </c>
      <c r="M33" s="3">
        <v>27.588466644287109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30" customHeight="1" x14ac:dyDescent="0.25">
      <c r="A34" s="363" t="s">
        <v>176</v>
      </c>
      <c r="B34" s="4" t="s">
        <v>165</v>
      </c>
      <c r="C34" s="29" t="s">
        <v>44</v>
      </c>
      <c r="D34" s="3">
        <f>Totalizer!D16-Totalizer!C16</f>
        <v>738</v>
      </c>
      <c r="E34" s="3">
        <f>Totalizer!E16-Totalizer!D16</f>
        <v>511</v>
      </c>
      <c r="F34" s="3">
        <f>Totalizer!F16-Totalizer!E16</f>
        <v>730</v>
      </c>
      <c r="G34" s="3">
        <f>Totalizer!G16-Totalizer!F16</f>
        <v>689</v>
      </c>
      <c r="H34" s="3">
        <f>Totalizer!H16-Totalizer!G16</f>
        <v>632</v>
      </c>
      <c r="I34" s="3">
        <f>Totalizer!I16-Totalizer!H16</f>
        <v>681</v>
      </c>
      <c r="J34" s="3">
        <f>Totalizer!J16-Totalizer!I16</f>
        <v>707</v>
      </c>
      <c r="K34" s="3">
        <f>Totalizer!K16-Totalizer!J16</f>
        <v>712</v>
      </c>
      <c r="L34" s="3">
        <f>Totalizer!L16-Totalizer!K16</f>
        <v>734</v>
      </c>
      <c r="M34" s="3">
        <f>Totalizer!M16-Totalizer!L16</f>
        <v>743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30" customHeight="1" x14ac:dyDescent="0.25">
      <c r="A35" s="363"/>
      <c r="B35" s="2" t="s">
        <v>61</v>
      </c>
      <c r="C35" s="29" t="s">
        <v>44</v>
      </c>
      <c r="D35" s="3">
        <v>31.910919189453125</v>
      </c>
      <c r="E35" s="3">
        <v>31.792446136474609</v>
      </c>
      <c r="F35" s="3">
        <v>31.103916168212891</v>
      </c>
      <c r="G35" s="3">
        <v>31.676338195800781</v>
      </c>
      <c r="H35" s="3">
        <v>27.324382781982422</v>
      </c>
      <c r="I35" s="3">
        <v>29.864833831787109</v>
      </c>
      <c r="J35" s="3">
        <v>30.440109252929688</v>
      </c>
      <c r="K35" s="3">
        <v>30.812356948852539</v>
      </c>
      <c r="L35" s="3">
        <v>33.046745300292969</v>
      </c>
      <c r="M35" s="3">
        <v>32.068305969238281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30" customHeight="1" x14ac:dyDescent="0.25">
      <c r="A36" s="363"/>
      <c r="B36" s="2" t="s">
        <v>62</v>
      </c>
      <c r="C36" s="29" t="s">
        <v>44</v>
      </c>
      <c r="D36" s="3">
        <v>29.574186325073242</v>
      </c>
      <c r="E36" s="3">
        <v>-0.18235643208026886</v>
      </c>
      <c r="F36" s="3">
        <v>29.539400100708008</v>
      </c>
      <c r="G36" s="3">
        <v>25.539096832275391</v>
      </c>
      <c r="H36" s="3">
        <v>25.28973388671875</v>
      </c>
      <c r="I36" s="3">
        <v>26.035270690917969</v>
      </c>
      <c r="J36" s="3">
        <v>28.664619445800781</v>
      </c>
      <c r="K36" s="3">
        <v>28.571556091308594</v>
      </c>
      <c r="L36" s="3">
        <v>29.515087127685547</v>
      </c>
      <c r="M36" s="3">
        <v>29.923332214355469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30" customHeight="1" x14ac:dyDescent="0.25">
      <c r="A37" s="363" t="s">
        <v>177</v>
      </c>
      <c r="B37" s="4" t="s">
        <v>165</v>
      </c>
      <c r="C37" s="29" t="s">
        <v>44</v>
      </c>
      <c r="D37" s="3">
        <f>Totalizer!D17-Totalizer!C17</f>
        <v>665</v>
      </c>
      <c r="E37" s="3">
        <f>Totalizer!E17-Totalizer!D17</f>
        <v>707</v>
      </c>
      <c r="F37" s="3">
        <f>Totalizer!F17-Totalizer!E17</f>
        <v>689</v>
      </c>
      <c r="G37" s="3">
        <f>Totalizer!G17-Totalizer!F17</f>
        <v>684</v>
      </c>
      <c r="H37" s="3">
        <f>Totalizer!H17-Totalizer!G17</f>
        <v>546</v>
      </c>
      <c r="I37" s="3">
        <f>Totalizer!I17-Totalizer!H17</f>
        <v>591</v>
      </c>
      <c r="J37" s="3">
        <f>Totalizer!J17-Totalizer!I17</f>
        <v>640</v>
      </c>
      <c r="K37" s="3">
        <f>Totalizer!K17-Totalizer!J17</f>
        <v>676</v>
      </c>
      <c r="L37" s="3">
        <f>Totalizer!L17-Totalizer!K17</f>
        <v>719</v>
      </c>
      <c r="M37" s="3">
        <f>Totalizer!M17-Totalizer!L17</f>
        <v>720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30" customHeight="1" x14ac:dyDescent="0.25">
      <c r="A38" s="363"/>
      <c r="B38" s="2" t="s">
        <v>61</v>
      </c>
      <c r="C38" s="29" t="s">
        <v>44</v>
      </c>
      <c r="D38" s="3">
        <v>30.488176345825195</v>
      </c>
      <c r="E38" s="3">
        <v>32.401081085205078</v>
      </c>
      <c r="F38" s="3">
        <v>30.985927581787109</v>
      </c>
      <c r="G38" s="3">
        <v>30.08085823059082</v>
      </c>
      <c r="H38" s="3">
        <v>25.472177505493164</v>
      </c>
      <c r="I38" s="3">
        <v>27.828277587890625</v>
      </c>
      <c r="J38" s="3">
        <v>29.596858978271484</v>
      </c>
      <c r="K38" s="3">
        <v>30.869037628173828</v>
      </c>
      <c r="L38" s="3">
        <v>32.394569396972656</v>
      </c>
      <c r="M38" s="3">
        <v>32.005977630615234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30" customHeight="1" x14ac:dyDescent="0.25">
      <c r="A39" s="363"/>
      <c r="B39" s="2" t="s">
        <v>62</v>
      </c>
      <c r="C39" s="29" t="s">
        <v>44</v>
      </c>
      <c r="D39" s="3">
        <v>26.642034530639648</v>
      </c>
      <c r="E39" s="3">
        <v>27.528518676757813</v>
      </c>
      <c r="F39" s="3">
        <v>27.525154113769531</v>
      </c>
      <c r="G39" s="3">
        <v>21.836763381958008</v>
      </c>
      <c r="H39" s="3">
        <v>20.432407379150391</v>
      </c>
      <c r="I39" s="3">
        <v>23.159212112426758</v>
      </c>
      <c r="J39" s="3">
        <v>25.238100051879883</v>
      </c>
      <c r="K39" s="3">
        <v>27.434490203857422</v>
      </c>
      <c r="L39" s="3">
        <v>28.944679260253906</v>
      </c>
      <c r="M39" s="3">
        <v>28.750566482543945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30" customHeight="1" x14ac:dyDescent="0.25">
      <c r="A40" s="364" t="s">
        <v>178</v>
      </c>
      <c r="B40" s="4" t="s">
        <v>165</v>
      </c>
      <c r="C40" s="29" t="s">
        <v>44</v>
      </c>
      <c r="D40" s="3">
        <f>Totalizer!D18-Totalizer!C18</f>
        <v>645</v>
      </c>
      <c r="E40" s="3">
        <f>Totalizer!E18-Totalizer!D18</f>
        <v>702</v>
      </c>
      <c r="F40" s="3">
        <f>Totalizer!F18-Totalizer!E18</f>
        <v>711</v>
      </c>
      <c r="G40" s="3">
        <f>Totalizer!G18-Totalizer!F18</f>
        <v>693</v>
      </c>
      <c r="H40" s="3">
        <f>Totalizer!H18-Totalizer!G18</f>
        <v>706</v>
      </c>
      <c r="I40" s="3">
        <f>Totalizer!I18-Totalizer!H18</f>
        <v>702</v>
      </c>
      <c r="J40" s="3">
        <f>Totalizer!J18-Totalizer!I18</f>
        <v>698</v>
      </c>
      <c r="K40" s="3">
        <f>Totalizer!K18-Totalizer!J18</f>
        <v>722</v>
      </c>
      <c r="L40" s="3">
        <f>Totalizer!L18-Totalizer!K18</f>
        <v>719</v>
      </c>
      <c r="M40" s="3">
        <f>Totalizer!M18-Totalizer!L18</f>
        <v>679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30" customHeight="1" x14ac:dyDescent="0.25">
      <c r="A41" s="364"/>
      <c r="B41" s="2" t="s">
        <v>61</v>
      </c>
      <c r="C41" s="29" t="s">
        <v>44</v>
      </c>
      <c r="D41" s="3">
        <v>28.978366851806641</v>
      </c>
      <c r="E41" s="3">
        <v>31.076749801635742</v>
      </c>
      <c r="F41" s="3">
        <v>30.997493743896484</v>
      </c>
      <c r="G41" s="3">
        <v>31.614456176757813</v>
      </c>
      <c r="H41" s="3">
        <v>31.763141632080078</v>
      </c>
      <c r="I41" s="3">
        <v>30.73057746887207</v>
      </c>
      <c r="J41" s="3">
        <v>30.540679931640625</v>
      </c>
      <c r="K41" s="3">
        <v>31.280572891235352</v>
      </c>
      <c r="L41" s="3">
        <v>30.898786544799805</v>
      </c>
      <c r="M41" s="3">
        <v>31.040981292724609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61"/>
      <c r="AD41" s="61"/>
      <c r="AE41" s="3"/>
      <c r="AF41" s="3"/>
      <c r="AG41" s="3"/>
      <c r="AH41" s="3"/>
    </row>
    <row r="42" spans="1:34" ht="30" customHeight="1" x14ac:dyDescent="0.25">
      <c r="A42" s="364"/>
      <c r="B42" s="2" t="s">
        <v>62</v>
      </c>
      <c r="C42" s="29" t="s">
        <v>44</v>
      </c>
      <c r="D42" s="3">
        <v>24.998712539672852</v>
      </c>
      <c r="E42" s="3">
        <v>26.561285018920898</v>
      </c>
      <c r="F42" s="3">
        <v>28.515487670898438</v>
      </c>
      <c r="G42" s="3">
        <v>27.660673141479492</v>
      </c>
      <c r="H42" s="3">
        <v>27.364603042602539</v>
      </c>
      <c r="I42" s="3">
        <v>27.888679504394531</v>
      </c>
      <c r="J42" s="3">
        <v>26.52039909362793</v>
      </c>
      <c r="K42" s="3">
        <v>29.24791145324707</v>
      </c>
      <c r="L42" s="3">
        <v>27.875646591186523</v>
      </c>
      <c r="M42" s="3">
        <v>27.231109619140625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61"/>
      <c r="AD42" s="61"/>
      <c r="AE42" s="3"/>
      <c r="AF42" s="3"/>
      <c r="AG42" s="3"/>
      <c r="AH42" s="3"/>
    </row>
    <row r="43" spans="1:34" ht="30" customHeight="1" x14ac:dyDescent="0.25">
      <c r="A43" s="364" t="s">
        <v>179</v>
      </c>
      <c r="B43" s="4" t="s">
        <v>165</v>
      </c>
      <c r="C43" s="29" t="s">
        <v>44</v>
      </c>
      <c r="D43" s="3">
        <f>Totalizer!D19-Totalizer!C19</f>
        <v>615</v>
      </c>
      <c r="E43" s="3">
        <f>Totalizer!E19-Totalizer!D19</f>
        <v>660</v>
      </c>
      <c r="F43" s="3">
        <f>Totalizer!F19-Totalizer!E19</f>
        <v>684</v>
      </c>
      <c r="G43" s="3">
        <f>Totalizer!G19-Totalizer!F19</f>
        <v>650</v>
      </c>
      <c r="H43" s="3">
        <f>Totalizer!H19-Totalizer!G19</f>
        <v>679</v>
      </c>
      <c r="I43" s="3">
        <f>Totalizer!I19-Totalizer!H19</f>
        <v>696</v>
      </c>
      <c r="J43" s="3">
        <f>Totalizer!J19-Totalizer!I19</f>
        <v>690</v>
      </c>
      <c r="K43" s="3">
        <f>Totalizer!K19-Totalizer!J19</f>
        <v>719</v>
      </c>
      <c r="L43" s="3">
        <f>Totalizer!L19-Totalizer!K19</f>
        <v>702</v>
      </c>
      <c r="M43" s="3">
        <f>Totalizer!M19-Totalizer!L19</f>
        <v>681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30" customHeight="1" x14ac:dyDescent="0.25">
      <c r="A44" s="364"/>
      <c r="B44" s="2" t="s">
        <v>61</v>
      </c>
      <c r="C44" s="29" t="s">
        <v>44</v>
      </c>
      <c r="D44" s="3">
        <v>27.288986206054688</v>
      </c>
      <c r="E44" s="3">
        <v>28.820449829101563</v>
      </c>
      <c r="F44" s="3">
        <v>30.594184875488281</v>
      </c>
      <c r="G44" s="3">
        <v>28.991327285766602</v>
      </c>
      <c r="H44" s="3">
        <v>31.204492568969727</v>
      </c>
      <c r="I44" s="3">
        <v>31.511629104614258</v>
      </c>
      <c r="J44" s="3">
        <v>30.19654655456543</v>
      </c>
      <c r="K44" s="3">
        <v>31.771444320678711</v>
      </c>
      <c r="L44" s="3">
        <v>30.898786544799805</v>
      </c>
      <c r="M44" s="3">
        <v>31.040981292724609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61"/>
      <c r="AD44" s="61"/>
      <c r="AE44" s="3"/>
      <c r="AF44" s="3"/>
      <c r="AG44" s="3"/>
      <c r="AH44" s="3"/>
    </row>
    <row r="45" spans="1:34" ht="30" customHeight="1" x14ac:dyDescent="0.25">
      <c r="A45" s="364"/>
      <c r="B45" s="2" t="s">
        <v>62</v>
      </c>
      <c r="C45" s="29" t="s">
        <v>44</v>
      </c>
      <c r="D45" s="3">
        <v>24.211523056030273</v>
      </c>
      <c r="E45" s="3">
        <v>24.431240081787109</v>
      </c>
      <c r="F45" s="3">
        <v>26.652755737304688</v>
      </c>
      <c r="G45" s="3">
        <v>26.523298263549805</v>
      </c>
      <c r="H45" s="3">
        <v>25.882095336914063</v>
      </c>
      <c r="I45" s="3">
        <v>26.252712249755859</v>
      </c>
      <c r="J45" s="3">
        <v>26.630821228027344</v>
      </c>
      <c r="K45" s="3">
        <v>28.787185668945313</v>
      </c>
      <c r="L45" s="3">
        <v>27.875646591186523</v>
      </c>
      <c r="M45" s="3">
        <v>27.231109619140625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61"/>
      <c r="AD45" s="61"/>
      <c r="AE45" s="3"/>
      <c r="AF45" s="3"/>
      <c r="AG45" s="3"/>
      <c r="AH45" s="3"/>
    </row>
    <row r="46" spans="1:34" ht="30" customHeight="1" x14ac:dyDescent="0.25">
      <c r="A46" s="364" t="s">
        <v>180</v>
      </c>
      <c r="B46" s="4" t="s">
        <v>165</v>
      </c>
      <c r="C46" s="29" t="s">
        <v>44</v>
      </c>
      <c r="D46" s="3">
        <f>Totalizer!D20-Totalizer!C20</f>
        <v>448</v>
      </c>
      <c r="E46" s="3">
        <f>Totalizer!E20-Totalizer!D20</f>
        <v>695</v>
      </c>
      <c r="F46" s="3">
        <f>Totalizer!F20-Totalizer!E20</f>
        <v>520</v>
      </c>
      <c r="G46" s="3">
        <f>Totalizer!G20-Totalizer!F20</f>
        <v>662</v>
      </c>
      <c r="H46" s="3">
        <f>Totalizer!H20-Totalizer!G20</f>
        <v>685</v>
      </c>
      <c r="I46" s="3">
        <f>Totalizer!I20-Totalizer!H20</f>
        <v>665</v>
      </c>
      <c r="J46" s="3">
        <f>Totalizer!J20-Totalizer!I20</f>
        <v>699</v>
      </c>
      <c r="K46" s="3">
        <f>Totalizer!K20-Totalizer!J20</f>
        <v>707</v>
      </c>
      <c r="L46" s="3">
        <f>Totalizer!L20-Totalizer!K20</f>
        <v>685</v>
      </c>
      <c r="M46" s="3">
        <f>Totalizer!M20-Totalizer!L20</f>
        <v>693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30" customHeight="1" x14ac:dyDescent="0.25">
      <c r="A47" s="364"/>
      <c r="B47" s="2" t="s">
        <v>61</v>
      </c>
      <c r="C47" s="29" t="s">
        <v>44</v>
      </c>
      <c r="D47" s="3">
        <v>28.00688362121582</v>
      </c>
      <c r="E47" s="3">
        <v>31.560281753540039</v>
      </c>
      <c r="F47" s="3">
        <v>30.140478134155273</v>
      </c>
      <c r="G47" s="3">
        <v>29.077255249023438</v>
      </c>
      <c r="H47" s="3">
        <v>30.640634536743164</v>
      </c>
      <c r="I47" s="3">
        <v>29.090976715087891</v>
      </c>
      <c r="J47" s="3">
        <v>30.484844207763672</v>
      </c>
      <c r="K47" s="3">
        <v>30.799646377563477</v>
      </c>
      <c r="L47" s="3">
        <v>30.503429412841797</v>
      </c>
      <c r="M47" s="3">
        <v>32.56915283203125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61"/>
      <c r="AD47" s="61"/>
      <c r="AE47" s="3"/>
      <c r="AF47" s="3"/>
      <c r="AG47" s="3"/>
      <c r="AH47" s="3"/>
    </row>
    <row r="48" spans="1:34" ht="30" customHeight="1" x14ac:dyDescent="0.25">
      <c r="A48" s="364"/>
      <c r="B48" s="2" t="s">
        <v>62</v>
      </c>
      <c r="C48" s="29" t="s">
        <v>44</v>
      </c>
      <c r="D48" s="3">
        <v>-2.3178139701485634E-2</v>
      </c>
      <c r="E48" s="3">
        <v>25.936977386474609</v>
      </c>
      <c r="F48" s="3">
        <v>-7.3912506923079491E-3</v>
      </c>
      <c r="G48" s="3">
        <v>26.402103424072266</v>
      </c>
      <c r="H48" s="3">
        <v>27.149673461914063</v>
      </c>
      <c r="I48" s="3">
        <v>26.413936614990234</v>
      </c>
      <c r="J48" s="3">
        <v>26.701766967773438</v>
      </c>
      <c r="K48" s="3">
        <v>27.694467544555664</v>
      </c>
      <c r="L48" s="3">
        <v>26.413593292236328</v>
      </c>
      <c r="M48" s="3">
        <v>26.800695419311523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61"/>
      <c r="AD48" s="61"/>
      <c r="AE48" s="3"/>
      <c r="AF48" s="3"/>
      <c r="AG48" s="3"/>
      <c r="AH48" s="3"/>
    </row>
    <row r="49" spans="1:38" ht="30" customHeight="1" x14ac:dyDescent="0.25">
      <c r="A49" s="364" t="s">
        <v>181</v>
      </c>
      <c r="B49" s="4" t="s">
        <v>165</v>
      </c>
      <c r="C49" s="29" t="s">
        <v>44</v>
      </c>
      <c r="D49" s="3">
        <f>Totalizer!D21-Totalizer!C21</f>
        <v>612</v>
      </c>
      <c r="E49" s="3">
        <f>Totalizer!E21-Totalizer!D21</f>
        <v>665</v>
      </c>
      <c r="F49" s="3">
        <f>Totalizer!F21-Totalizer!E21</f>
        <v>686</v>
      </c>
      <c r="G49" s="3">
        <f>Totalizer!G21-Totalizer!F21</f>
        <v>663</v>
      </c>
      <c r="H49" s="3">
        <f>Totalizer!H21-Totalizer!G21</f>
        <v>671</v>
      </c>
      <c r="I49" s="3">
        <f>Totalizer!I21-Totalizer!H21</f>
        <v>681</v>
      </c>
      <c r="J49" s="3">
        <f>Totalizer!J21-Totalizer!I21</f>
        <v>696</v>
      </c>
      <c r="K49" s="3">
        <f>Totalizer!K21-Totalizer!J21</f>
        <v>695</v>
      </c>
      <c r="L49" s="3">
        <f>Totalizer!L21-Totalizer!K21</f>
        <v>696</v>
      </c>
      <c r="M49" s="3">
        <f>Totalizer!M21-Totalizer!L21</f>
        <v>682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8" ht="30" customHeight="1" x14ac:dyDescent="0.25">
      <c r="A50" s="364"/>
      <c r="B50" s="2" t="s">
        <v>61</v>
      </c>
      <c r="C50" s="29" t="s">
        <v>44</v>
      </c>
      <c r="D50" s="3">
        <v>28.174892425537109</v>
      </c>
      <c r="E50" s="3">
        <v>29.53736686706543</v>
      </c>
      <c r="F50" s="3">
        <v>31.814868927001953</v>
      </c>
      <c r="G50" s="3">
        <v>29.314943313598633</v>
      </c>
      <c r="H50" s="3">
        <v>31.726276397705078</v>
      </c>
      <c r="I50" s="3">
        <v>30.600000381469727</v>
      </c>
      <c r="J50" s="3">
        <v>29.597211837768555</v>
      </c>
      <c r="K50" s="3">
        <v>31.324798583984375</v>
      </c>
      <c r="L50" s="3">
        <v>30.357109069824219</v>
      </c>
      <c r="M50" s="3">
        <v>30.179506301879883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8" ht="30" customHeight="1" x14ac:dyDescent="0.25">
      <c r="A51" s="364"/>
      <c r="B51" s="2" t="s">
        <v>62</v>
      </c>
      <c r="C51" s="29" t="s">
        <v>44</v>
      </c>
      <c r="D51" s="3">
        <v>24.395900726318359</v>
      </c>
      <c r="E51" s="3">
        <v>25.161813735961914</v>
      </c>
      <c r="F51" s="3">
        <v>26.036357879638672</v>
      </c>
      <c r="G51" s="3">
        <v>26.67878532409668</v>
      </c>
      <c r="H51" s="3">
        <v>27.176990509033203</v>
      </c>
      <c r="I51" s="3">
        <v>27.40971565246582</v>
      </c>
      <c r="J51" s="3">
        <v>27.177236557006836</v>
      </c>
      <c r="K51" s="3">
        <v>26.738983154296875</v>
      </c>
      <c r="L51" s="150">
        <v>27.687065124511719</v>
      </c>
      <c r="M51" s="3">
        <v>26.848396301269531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8" ht="9.75" customHeight="1" x14ac:dyDescent="0.25">
      <c r="A52" s="43"/>
      <c r="B52" s="43"/>
      <c r="C52" s="43"/>
      <c r="D52" s="43"/>
      <c r="E52" s="43"/>
      <c r="F52" s="43"/>
      <c r="G52" s="43"/>
      <c r="H52" s="43"/>
      <c r="I52" s="44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4"/>
      <c r="Y52" s="43"/>
      <c r="Z52" s="43"/>
      <c r="AA52" s="43"/>
      <c r="AB52" s="43"/>
      <c r="AC52" s="63"/>
      <c r="AD52" s="43"/>
      <c r="AE52" s="43"/>
      <c r="AF52" s="43"/>
      <c r="AG52" s="62"/>
      <c r="AH52" s="257"/>
    </row>
    <row r="53" spans="1:38" ht="27" customHeight="1" x14ac:dyDescent="0.25">
      <c r="A53" s="365" t="s">
        <v>202</v>
      </c>
      <c r="B53" s="2" t="s">
        <v>197</v>
      </c>
      <c r="C53" s="22" t="s">
        <v>182</v>
      </c>
      <c r="D53" s="23">
        <v>6</v>
      </c>
      <c r="E53" s="23">
        <v>5</v>
      </c>
      <c r="F53" s="23">
        <v>6</v>
      </c>
      <c r="G53" s="23">
        <v>6</v>
      </c>
      <c r="H53" s="23">
        <v>6</v>
      </c>
      <c r="I53" s="23">
        <v>6</v>
      </c>
      <c r="J53" s="23">
        <v>6</v>
      </c>
      <c r="K53" s="23">
        <v>6</v>
      </c>
      <c r="L53" s="23">
        <v>6</v>
      </c>
      <c r="M53" s="23">
        <v>6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8" ht="29.25" customHeight="1" x14ac:dyDescent="0.25">
      <c r="A54" s="366"/>
      <c r="B54" s="2" t="s">
        <v>183</v>
      </c>
      <c r="C54" s="22" t="s">
        <v>182</v>
      </c>
      <c r="D54" s="23">
        <v>0</v>
      </c>
      <c r="E54" s="23">
        <v>1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8" ht="39.75" customHeight="1" x14ac:dyDescent="0.25">
      <c r="A55" s="366"/>
      <c r="B55" s="32" t="s">
        <v>184</v>
      </c>
      <c r="C55" s="22" t="s">
        <v>52</v>
      </c>
      <c r="D55" s="40">
        <v>0</v>
      </c>
      <c r="E55" s="40">
        <f>24-7.17</f>
        <v>16.829999999999998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</row>
    <row r="56" spans="1:38" s="259" customFormat="1" ht="38.25" customHeight="1" x14ac:dyDescent="0.25">
      <c r="A56" s="366"/>
      <c r="B56" s="56" t="s">
        <v>185</v>
      </c>
      <c r="C56" s="57" t="s">
        <v>186</v>
      </c>
      <c r="D56" s="58">
        <f t="shared" ref="D56:E56" si="0">D53+(D54*D55)/24</f>
        <v>6</v>
      </c>
      <c r="E56" s="58">
        <f t="shared" si="0"/>
        <v>5.7012499999999999</v>
      </c>
      <c r="F56" s="58">
        <f t="shared" ref="F56" si="1">F53+(F54*F55)/24</f>
        <v>6</v>
      </c>
      <c r="G56" s="58">
        <f t="shared" ref="G56" si="2">G53+(G54*G55)/24</f>
        <v>6</v>
      </c>
      <c r="H56" s="58">
        <f t="shared" ref="H56:I56" si="3">H53+(H54*H55)/24</f>
        <v>6</v>
      </c>
      <c r="I56" s="58">
        <f t="shared" si="3"/>
        <v>6</v>
      </c>
      <c r="J56" s="58">
        <f t="shared" ref="J56" si="4">J53+(J54*J55)/24</f>
        <v>6</v>
      </c>
      <c r="K56" s="58">
        <f t="shared" ref="K56:L56" si="5">K53+(K54*K55)/24</f>
        <v>6</v>
      </c>
      <c r="L56" s="58">
        <f t="shared" si="5"/>
        <v>6</v>
      </c>
      <c r="M56" s="58">
        <f t="shared" ref="M56" si="6">M53+(M54*M55)/24</f>
        <v>6</v>
      </c>
      <c r="N56" s="58">
        <f t="shared" ref="N56:O56" si="7">N53+(N54*N55)/24</f>
        <v>0</v>
      </c>
      <c r="O56" s="58">
        <f t="shared" si="7"/>
        <v>0</v>
      </c>
      <c r="P56" s="58">
        <f t="shared" ref="P56:Q56" si="8">P53+(P54*P55)/24</f>
        <v>0</v>
      </c>
      <c r="Q56" s="58">
        <f t="shared" si="8"/>
        <v>0</v>
      </c>
      <c r="R56" s="58">
        <f t="shared" ref="R56" si="9">R53+(R54*R55)/24</f>
        <v>0</v>
      </c>
      <c r="S56" s="58">
        <f t="shared" ref="S56" si="10">S53+(S54*S55)/24</f>
        <v>0</v>
      </c>
      <c r="T56" s="58">
        <f t="shared" ref="T56:U56" si="11">T53+(T54*T55)/24</f>
        <v>0</v>
      </c>
      <c r="U56" s="58">
        <f t="shared" si="11"/>
        <v>0</v>
      </c>
      <c r="V56" s="58">
        <f t="shared" ref="V56:W56" si="12">V53+(V54*V55)/24</f>
        <v>0</v>
      </c>
      <c r="W56" s="58">
        <f t="shared" si="12"/>
        <v>0</v>
      </c>
      <c r="X56" s="58">
        <f t="shared" ref="X56:Y56" si="13">X53+(X54*X55)/24</f>
        <v>0</v>
      </c>
      <c r="Y56" s="58">
        <f t="shared" si="13"/>
        <v>0</v>
      </c>
      <c r="Z56" s="58">
        <f t="shared" ref="Z56" si="14">Z53+(Z54*Z55)/24</f>
        <v>0</v>
      </c>
      <c r="AA56" s="58">
        <f t="shared" ref="AA56:AB56" si="15">AA53+(AA54*AA55)/24</f>
        <v>0</v>
      </c>
      <c r="AB56" s="58">
        <f t="shared" si="15"/>
        <v>0</v>
      </c>
      <c r="AC56" s="58">
        <f t="shared" ref="AC56:AD56" si="16">AC53+(AC54*AC55)/24</f>
        <v>0</v>
      </c>
      <c r="AD56" s="58">
        <f t="shared" si="16"/>
        <v>0</v>
      </c>
      <c r="AE56" s="58">
        <f t="shared" ref="AE56:AF56" si="17">AE53+(AE54*AE55)/24</f>
        <v>0</v>
      </c>
      <c r="AF56" s="58">
        <f t="shared" si="17"/>
        <v>0</v>
      </c>
      <c r="AG56" s="58">
        <f t="shared" ref="AG56" si="18">AG53+(AG54*AG55)/24</f>
        <v>0</v>
      </c>
      <c r="AH56" s="58">
        <f t="shared" ref="AH56" si="19">AH53+(AH54*AH55)/24</f>
        <v>0</v>
      </c>
      <c r="AI56" s="258"/>
      <c r="AJ56" s="258"/>
      <c r="AK56" s="258"/>
      <c r="AL56" s="258"/>
    </row>
    <row r="57" spans="1:38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62"/>
    </row>
    <row r="58" spans="1:38" ht="27" customHeight="1" x14ac:dyDescent="0.25">
      <c r="A58" s="367" t="s">
        <v>203</v>
      </c>
      <c r="B58" s="2" t="s">
        <v>198</v>
      </c>
      <c r="C58" s="22" t="s">
        <v>182</v>
      </c>
      <c r="D58" s="23">
        <v>5</v>
      </c>
      <c r="E58" s="23">
        <v>5</v>
      </c>
      <c r="F58" s="23">
        <v>6</v>
      </c>
      <c r="G58" s="23">
        <v>6</v>
      </c>
      <c r="H58" s="23">
        <v>6</v>
      </c>
      <c r="I58" s="23">
        <v>6</v>
      </c>
      <c r="J58" s="23">
        <v>6</v>
      </c>
      <c r="K58" s="23">
        <v>6</v>
      </c>
      <c r="L58" s="23">
        <v>6</v>
      </c>
      <c r="M58" s="23">
        <v>6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8" ht="29.25" customHeight="1" x14ac:dyDescent="0.25">
      <c r="A59" s="368"/>
      <c r="B59" s="2" t="s">
        <v>183</v>
      </c>
      <c r="C59" s="22" t="s">
        <v>182</v>
      </c>
      <c r="D59" s="23">
        <v>1</v>
      </c>
      <c r="E59" s="23">
        <v>1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8" ht="39.75" customHeight="1" x14ac:dyDescent="0.25">
      <c r="A60" s="368"/>
      <c r="B60" s="32" t="s">
        <v>184</v>
      </c>
      <c r="C60" s="22" t="s">
        <v>52</v>
      </c>
      <c r="D60" s="40">
        <f>24-5.72</f>
        <v>18.28</v>
      </c>
      <c r="E60" s="40">
        <f>24-7.2</f>
        <v>16.8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</row>
    <row r="61" spans="1:38" s="259" customFormat="1" ht="38.25" customHeight="1" x14ac:dyDescent="0.25">
      <c r="A61" s="368"/>
      <c r="B61" s="56" t="s">
        <v>185</v>
      </c>
      <c r="C61" s="57" t="s">
        <v>186</v>
      </c>
      <c r="D61" s="58">
        <f t="shared" ref="D61:E61" si="20">D58+(D59*D60)/24</f>
        <v>5.7616666666666667</v>
      </c>
      <c r="E61" s="58">
        <f t="shared" si="20"/>
        <v>5.7</v>
      </c>
      <c r="F61" s="58">
        <f t="shared" ref="F61" si="21">F58+(F59*F60)/24</f>
        <v>6</v>
      </c>
      <c r="G61" s="58">
        <f t="shared" ref="G61:H61" si="22">G58+(G59*G60)/24</f>
        <v>6</v>
      </c>
      <c r="H61" s="58">
        <f t="shared" si="22"/>
        <v>6</v>
      </c>
      <c r="I61" s="58">
        <f t="shared" ref="I61:J61" si="23">I58+(I59*I60)/24</f>
        <v>6</v>
      </c>
      <c r="J61" s="58">
        <f t="shared" si="23"/>
        <v>6</v>
      </c>
      <c r="K61" s="58">
        <f t="shared" ref="K61:L61" si="24">K58+(K59*K60)/24</f>
        <v>6</v>
      </c>
      <c r="L61" s="58">
        <f t="shared" si="24"/>
        <v>6</v>
      </c>
      <c r="M61" s="58">
        <f t="shared" ref="M61" si="25">M58+(M59*M60)/24</f>
        <v>6</v>
      </c>
      <c r="N61" s="58">
        <f t="shared" ref="N61:O61" si="26">N58+(N59*N60)/24</f>
        <v>0</v>
      </c>
      <c r="O61" s="58">
        <f t="shared" si="26"/>
        <v>0</v>
      </c>
      <c r="P61" s="58">
        <f t="shared" ref="P61:Q61" si="27">P58+(P59*P60)/24</f>
        <v>0</v>
      </c>
      <c r="Q61" s="58">
        <f t="shared" si="27"/>
        <v>0</v>
      </c>
      <c r="R61" s="58">
        <f t="shared" ref="R61" si="28">R58+(R59*R60)/24</f>
        <v>0</v>
      </c>
      <c r="S61" s="58">
        <f t="shared" ref="S61" si="29">S58+(S59*S60)/24</f>
        <v>0</v>
      </c>
      <c r="T61" s="58">
        <f>T58+(T59*T60)/24</f>
        <v>0</v>
      </c>
      <c r="U61" s="58">
        <f>U58+(U59*U60)/24</f>
        <v>0</v>
      </c>
      <c r="V61" s="58">
        <f t="shared" ref="V61" si="30">V58+(V59*V60)/24</f>
        <v>0</v>
      </c>
      <c r="W61" s="58">
        <f t="shared" ref="W61:X61" si="31">W58+(W59*W60)/24</f>
        <v>0</v>
      </c>
      <c r="X61" s="58">
        <f t="shared" si="31"/>
        <v>0</v>
      </c>
      <c r="Y61" s="58">
        <f t="shared" ref="Y61:Z61" si="32">Y58+(Y59*Y60)/24</f>
        <v>0</v>
      </c>
      <c r="Z61" s="58">
        <f t="shared" si="32"/>
        <v>0</v>
      </c>
      <c r="AA61" s="58">
        <f t="shared" ref="AA61:AB61" si="33">AA58+(AA59*AA60)/24</f>
        <v>0</v>
      </c>
      <c r="AB61" s="58">
        <f t="shared" si="33"/>
        <v>0</v>
      </c>
      <c r="AC61" s="58">
        <f t="shared" ref="AC61" si="34">AC58+(AC59*AC60)/24</f>
        <v>0</v>
      </c>
      <c r="AD61" s="58">
        <f t="shared" ref="AD61" si="35">AD58+(AD59*AD60)/24</f>
        <v>0</v>
      </c>
      <c r="AE61" s="58">
        <f t="shared" ref="AE61:AF61" si="36">AE58+(AE59*AE60)/24</f>
        <v>0</v>
      </c>
      <c r="AF61" s="58">
        <f t="shared" si="36"/>
        <v>0</v>
      </c>
      <c r="AG61" s="58">
        <f t="shared" ref="AG61" si="37">AG58+(AG59*AG60)/24</f>
        <v>0</v>
      </c>
      <c r="AH61" s="58">
        <f t="shared" ref="AH61" si="38">AH58+(AH59*AH60)/24</f>
        <v>0</v>
      </c>
      <c r="AI61" s="258"/>
      <c r="AJ61" s="258"/>
      <c r="AK61" s="258"/>
      <c r="AL61" s="258"/>
    </row>
    <row r="62" spans="1:38" x14ac:dyDescent="0.25">
      <c r="A62" s="244"/>
      <c r="B62" s="245" t="s">
        <v>187</v>
      </c>
      <c r="C62" s="243">
        <f>$E4</f>
        <v>669</v>
      </c>
      <c r="D62" s="243">
        <f>$E7</f>
        <v>660</v>
      </c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43"/>
      <c r="T62" s="43"/>
      <c r="U62" s="246"/>
      <c r="V62" s="62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62"/>
    </row>
    <row r="63" spans="1:38" ht="27" customHeight="1" x14ac:dyDescent="0.25">
      <c r="A63" s="356" t="s">
        <v>204</v>
      </c>
      <c r="B63" s="2" t="s">
        <v>199</v>
      </c>
      <c r="C63" s="22" t="s">
        <v>182</v>
      </c>
      <c r="D63" s="23">
        <v>3</v>
      </c>
      <c r="E63" s="23">
        <v>4</v>
      </c>
      <c r="F63" s="23">
        <v>3</v>
      </c>
      <c r="G63" s="23">
        <v>4</v>
      </c>
      <c r="H63" s="23">
        <v>4</v>
      </c>
      <c r="I63" s="23">
        <v>4</v>
      </c>
      <c r="J63" s="23">
        <v>4</v>
      </c>
      <c r="K63" s="23">
        <v>4</v>
      </c>
      <c r="L63" s="23">
        <v>4</v>
      </c>
      <c r="M63" s="23">
        <v>4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8" ht="29.25" customHeight="1" x14ac:dyDescent="0.25">
      <c r="A64" s="357"/>
      <c r="B64" s="2" t="s">
        <v>183</v>
      </c>
      <c r="C64" s="22" t="s">
        <v>182</v>
      </c>
      <c r="D64" s="23">
        <v>1</v>
      </c>
      <c r="E64" s="23">
        <v>0</v>
      </c>
      <c r="F64" s="23">
        <v>1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8" ht="39.75" customHeight="1" x14ac:dyDescent="0.25">
      <c r="A65" s="357"/>
      <c r="B65" s="32" t="s">
        <v>184</v>
      </c>
      <c r="C65" s="22" t="s">
        <v>52</v>
      </c>
      <c r="D65" s="40">
        <f>24-6.43</f>
        <v>17.57</v>
      </c>
      <c r="E65" s="40">
        <v>0</v>
      </c>
      <c r="F65" s="40">
        <v>18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8" s="259" customFormat="1" ht="38.25" customHeight="1" x14ac:dyDescent="0.25">
      <c r="A66" s="357"/>
      <c r="B66" s="56" t="s">
        <v>185</v>
      </c>
      <c r="C66" s="57" t="s">
        <v>186</v>
      </c>
      <c r="D66" s="58">
        <f t="shared" ref="D66:E66" si="39">D63+(D64*D65)/24</f>
        <v>3.7320833333333332</v>
      </c>
      <c r="E66" s="58">
        <f t="shared" si="39"/>
        <v>4</v>
      </c>
      <c r="F66" s="58">
        <f t="shared" ref="F66" si="40">F63+(F64*F65)/24</f>
        <v>3.75</v>
      </c>
      <c r="G66" s="58">
        <f t="shared" ref="G66:H66" si="41">G63+(G64*G65)/24</f>
        <v>4</v>
      </c>
      <c r="H66" s="58">
        <f t="shared" si="41"/>
        <v>4</v>
      </c>
      <c r="I66" s="58">
        <f t="shared" ref="I66:J66" si="42">I63+(I64*I65)/24</f>
        <v>4</v>
      </c>
      <c r="J66" s="58">
        <f t="shared" si="42"/>
        <v>4</v>
      </c>
      <c r="K66" s="58">
        <f t="shared" ref="K66:L66" si="43">K63+(K64*K65)/24</f>
        <v>4</v>
      </c>
      <c r="L66" s="58">
        <f t="shared" si="43"/>
        <v>4</v>
      </c>
      <c r="M66" s="58">
        <f t="shared" ref="M66" si="44">M63+(M64*M65)/24</f>
        <v>4</v>
      </c>
      <c r="N66" s="58">
        <f t="shared" ref="N66:O66" si="45">N63+(N64*N65)/24</f>
        <v>0</v>
      </c>
      <c r="O66" s="58">
        <f t="shared" si="45"/>
        <v>0</v>
      </c>
      <c r="P66" s="58">
        <f t="shared" ref="P66:Q66" si="46">P63+(P64*P65)/24</f>
        <v>0</v>
      </c>
      <c r="Q66" s="58">
        <f t="shared" si="46"/>
        <v>0</v>
      </c>
      <c r="R66" s="58">
        <f t="shared" ref="R66" si="47">R63+(R64*R65)/24</f>
        <v>0</v>
      </c>
      <c r="S66" s="58">
        <f t="shared" ref="S66" si="48">S63+(S64*S65)/24</f>
        <v>0</v>
      </c>
      <c r="T66" s="58">
        <f t="shared" ref="T66:U66" si="49">T63+(T64*T65)/24</f>
        <v>0</v>
      </c>
      <c r="U66" s="58">
        <f t="shared" si="49"/>
        <v>0</v>
      </c>
      <c r="V66" s="58">
        <f t="shared" ref="V66:W66" si="50">V63+(V64*V65)/24</f>
        <v>0</v>
      </c>
      <c r="W66" s="58">
        <f t="shared" si="50"/>
        <v>0</v>
      </c>
      <c r="X66" s="58">
        <f t="shared" ref="X66:Y66" si="51">X63+(X64*X65)/24</f>
        <v>0</v>
      </c>
      <c r="Y66" s="58">
        <f t="shared" si="51"/>
        <v>0</v>
      </c>
      <c r="Z66" s="58">
        <f t="shared" ref="Z66" si="52">Z63+(Z64*Z65)/24</f>
        <v>0</v>
      </c>
      <c r="AA66" s="58">
        <f t="shared" ref="AA66:AB66" si="53">AA63+(AA64*AA65)/24</f>
        <v>0</v>
      </c>
      <c r="AB66" s="58">
        <f t="shared" si="53"/>
        <v>0</v>
      </c>
      <c r="AC66" s="58">
        <f t="shared" ref="AC66" si="54">AC63+(AC64*AC65)/24</f>
        <v>0</v>
      </c>
      <c r="AD66" s="58">
        <f t="shared" ref="AD66" si="55">AD63+(AD64*AD65)/24</f>
        <v>0</v>
      </c>
      <c r="AE66" s="58">
        <f t="shared" ref="AE66:AF66" si="56">AE63+(AE64*AE65)/24</f>
        <v>0</v>
      </c>
      <c r="AF66" s="58">
        <f t="shared" si="56"/>
        <v>0</v>
      </c>
      <c r="AG66" s="58">
        <f t="shared" ref="AG66" si="57">AG63+(AG64*AG65)/24</f>
        <v>0</v>
      </c>
      <c r="AH66" s="58">
        <f t="shared" ref="AH66" si="58">AH63+(AH64*AH65)/24</f>
        <v>0</v>
      </c>
      <c r="AI66" s="258"/>
      <c r="AJ66" s="258"/>
      <c r="AK66" s="258"/>
      <c r="AL66" s="258"/>
    </row>
    <row r="67" spans="1:38" x14ac:dyDescent="0.25">
      <c r="A67" s="244"/>
      <c r="B67" s="245" t="s">
        <v>188</v>
      </c>
      <c r="C67" s="243">
        <f>$J4</f>
        <v>681</v>
      </c>
      <c r="D67" s="243">
        <f>$J7</f>
        <v>678</v>
      </c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43"/>
      <c r="T67" s="43"/>
      <c r="U67" s="246"/>
      <c r="V67" s="62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62"/>
    </row>
    <row r="68" spans="1:38" ht="27" customHeight="1" x14ac:dyDescent="0.25">
      <c r="A68" s="356" t="s">
        <v>205</v>
      </c>
      <c r="B68" s="2" t="s">
        <v>201</v>
      </c>
      <c r="C68" s="22" t="s">
        <v>182</v>
      </c>
      <c r="D68" s="23">
        <f t="shared" ref="D68:E68" si="59">D53+D58+D63</f>
        <v>14</v>
      </c>
      <c r="E68" s="23">
        <f t="shared" si="59"/>
        <v>14</v>
      </c>
      <c r="F68" s="23">
        <f t="shared" ref="F68" si="60">F53+F58+F63</f>
        <v>15</v>
      </c>
      <c r="G68" s="23">
        <v>16</v>
      </c>
      <c r="H68" s="23">
        <v>16</v>
      </c>
      <c r="I68" s="23">
        <v>16</v>
      </c>
      <c r="J68" s="23">
        <v>16</v>
      </c>
      <c r="K68" s="23">
        <v>16</v>
      </c>
      <c r="L68" s="23">
        <v>16</v>
      </c>
      <c r="M68" s="23">
        <v>16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8" ht="29.25" customHeight="1" x14ac:dyDescent="0.25">
      <c r="A69" s="357"/>
      <c r="B69" s="2" t="s">
        <v>183</v>
      </c>
      <c r="C69" s="22" t="s">
        <v>182</v>
      </c>
      <c r="D69" s="23">
        <f t="shared" ref="D69:E69" si="61">D54+D59+D64</f>
        <v>2</v>
      </c>
      <c r="E69" s="23">
        <f t="shared" si="61"/>
        <v>2</v>
      </c>
      <c r="F69" s="23">
        <f t="shared" ref="F69" si="62">F54+F59+F64</f>
        <v>1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8" ht="39.75" customHeight="1" x14ac:dyDescent="0.25">
      <c r="A70" s="357"/>
      <c r="B70" s="32" t="s">
        <v>184</v>
      </c>
      <c r="C70" s="22" t="s">
        <v>52</v>
      </c>
      <c r="D70" s="40">
        <f>(D60+D65)/2</f>
        <v>17.925000000000001</v>
      </c>
      <c r="E70" s="40">
        <f>(E55+E60)/2</f>
        <v>16.814999999999998</v>
      </c>
      <c r="F70" s="40">
        <v>18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8" s="259" customFormat="1" ht="38.25" customHeight="1" x14ac:dyDescent="0.25">
      <c r="A71" s="357"/>
      <c r="B71" s="56" t="s">
        <v>185</v>
      </c>
      <c r="C71" s="57" t="s">
        <v>186</v>
      </c>
      <c r="D71" s="58">
        <f t="shared" ref="D71:E71" si="63">D68+(D69*D70)/24</f>
        <v>15.49375</v>
      </c>
      <c r="E71" s="58">
        <f t="shared" si="63"/>
        <v>15.401249999999999</v>
      </c>
      <c r="F71" s="58">
        <f t="shared" ref="F71" si="64">F68+(F69*F70)/24</f>
        <v>15.75</v>
      </c>
      <c r="G71" s="58">
        <f t="shared" ref="G71:H71" si="65">G68+(G69*G70)/24</f>
        <v>16</v>
      </c>
      <c r="H71" s="58">
        <f t="shared" si="65"/>
        <v>16</v>
      </c>
      <c r="I71" s="58">
        <f t="shared" ref="I71:J71" si="66">I68+(I69*I70)/24</f>
        <v>16</v>
      </c>
      <c r="J71" s="58">
        <f t="shared" si="66"/>
        <v>16</v>
      </c>
      <c r="K71" s="58">
        <f t="shared" ref="K71:L71" si="67">K68+(K69*K70)/24</f>
        <v>16</v>
      </c>
      <c r="L71" s="58">
        <f t="shared" si="67"/>
        <v>16</v>
      </c>
      <c r="M71" s="58">
        <f t="shared" ref="M71" si="68">M68+(M69*M70)/24</f>
        <v>16</v>
      </c>
      <c r="N71" s="58">
        <f t="shared" ref="N71:O71" si="69">N68+(N69*N70)/24</f>
        <v>0</v>
      </c>
      <c r="O71" s="58">
        <f t="shared" si="69"/>
        <v>0</v>
      </c>
      <c r="P71" s="58">
        <f t="shared" ref="P71:Q71" si="70">P68+(P69*P70)/24</f>
        <v>0</v>
      </c>
      <c r="Q71" s="58">
        <f t="shared" si="70"/>
        <v>0</v>
      </c>
      <c r="R71" s="58">
        <f t="shared" ref="R71" si="71">R68+(R69*R70)/24</f>
        <v>0</v>
      </c>
      <c r="S71" s="58">
        <f t="shared" ref="S71" si="72">S68+(S69*S70)/24</f>
        <v>0</v>
      </c>
      <c r="T71" s="58">
        <f t="shared" ref="T71:U71" si="73">T68+(T69*T70)/24</f>
        <v>0</v>
      </c>
      <c r="U71" s="58">
        <f t="shared" si="73"/>
        <v>0</v>
      </c>
      <c r="V71" s="58">
        <f t="shared" ref="V71" si="74">V68+(V69*V70)/24</f>
        <v>0</v>
      </c>
      <c r="W71" s="58">
        <f t="shared" ref="W71:X71" si="75">W68+(W69*W70)/24</f>
        <v>0</v>
      </c>
      <c r="X71" s="58">
        <f t="shared" si="75"/>
        <v>0</v>
      </c>
      <c r="Y71" s="58">
        <f t="shared" ref="Y71:Z71" si="76">Y68+(Y69*Y70)/24</f>
        <v>0</v>
      </c>
      <c r="Z71" s="58">
        <f t="shared" si="76"/>
        <v>0</v>
      </c>
      <c r="AA71" s="58">
        <f t="shared" ref="AA71:AB71" si="77">AA68+(AA69*AA70)/24</f>
        <v>0</v>
      </c>
      <c r="AB71" s="58">
        <f t="shared" si="77"/>
        <v>0</v>
      </c>
      <c r="AC71" s="58">
        <f t="shared" ref="AC71" si="78">AC68+(AC69*AC70)/24</f>
        <v>0</v>
      </c>
      <c r="AD71" s="58">
        <f t="shared" ref="AD71" si="79">AD68+(AD69*AD70)/24</f>
        <v>0</v>
      </c>
      <c r="AE71" s="58">
        <f t="shared" ref="AE71" si="80">AE68+(AE69*AE70)/24</f>
        <v>0</v>
      </c>
      <c r="AF71" s="58">
        <f t="shared" ref="AF71:AG71" si="81">AF68+(AF69*AF70)/24</f>
        <v>0</v>
      </c>
      <c r="AG71" s="58">
        <f t="shared" si="81"/>
        <v>0</v>
      </c>
      <c r="AH71" s="58">
        <f t="shared" ref="AH71" si="82">AH68+(AH69*AH70)/24</f>
        <v>0</v>
      </c>
      <c r="AI71" s="258"/>
      <c r="AJ71" s="258"/>
      <c r="AK71" s="258"/>
      <c r="AL71" s="258"/>
    </row>
    <row r="72" spans="1:38" x14ac:dyDescent="0.25">
      <c r="A72" s="47"/>
      <c r="B72" s="6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1:38" x14ac:dyDescent="0.25">
      <c r="A73" s="47"/>
      <c r="B73" s="6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1:38" x14ac:dyDescent="0.25">
      <c r="A74" s="47"/>
      <c r="B74" s="6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1:38" x14ac:dyDescent="0.25">
      <c r="A75" s="47"/>
      <c r="B75" s="6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1:38" ht="13" x14ac:dyDescent="0.25">
      <c r="A76" s="49"/>
      <c r="B76" s="6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1:38" x14ac:dyDescent="0.25">
      <c r="B77" s="6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1:38" x14ac:dyDescent="0.25">
      <c r="A78" s="47"/>
      <c r="B78" s="6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1:38" x14ac:dyDescent="0.25">
      <c r="B79" s="6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1:38" x14ac:dyDescent="0.25">
      <c r="B80" s="6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2:18" x14ac:dyDescent="0.25">
      <c r="B81" s="6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2:18" x14ac:dyDescent="0.25">
      <c r="B82" s="6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2:18" x14ac:dyDescent="0.25">
      <c r="B83" s="6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2:18" x14ac:dyDescent="0.25">
      <c r="B84" s="6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2:18" x14ac:dyDescent="0.25">
      <c r="B85" s="6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</row>
    <row r="86" spans="2:18" x14ac:dyDescent="0.25">
      <c r="B86" s="6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2:18" x14ac:dyDescent="0.25">
      <c r="B87" s="6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2:18" x14ac:dyDescent="0.25">
      <c r="B88" s="6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2:18" x14ac:dyDescent="0.25">
      <c r="B89" s="6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2:18" x14ac:dyDescent="0.25">
      <c r="B90" s="6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2:18" x14ac:dyDescent="0.25">
      <c r="B91" s="6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5" spans="2:18" x14ac:dyDescent="0.25">
      <c r="L95" s="28">
        <v>27</v>
      </c>
    </row>
    <row r="96" spans="2:18" x14ac:dyDescent="0.25">
      <c r="L96" s="28">
        <v>22</v>
      </c>
    </row>
    <row r="108" spans="12:12" x14ac:dyDescent="0.25">
      <c r="L108" s="28">
        <v>27</v>
      </c>
    </row>
    <row r="109" spans="12:12" x14ac:dyDescent="0.25">
      <c r="L109" s="28">
        <v>23</v>
      </c>
    </row>
    <row r="121" spans="12:12" x14ac:dyDescent="0.25">
      <c r="L121" s="28">
        <v>27</v>
      </c>
    </row>
    <row r="122" spans="12:12" x14ac:dyDescent="0.25">
      <c r="L122" s="28">
        <v>24</v>
      </c>
    </row>
    <row r="134" spans="12:12" x14ac:dyDescent="0.25">
      <c r="L134" s="28">
        <v>27</v>
      </c>
    </row>
    <row r="135" spans="12:12" x14ac:dyDescent="0.25">
      <c r="L135" s="28">
        <v>23</v>
      </c>
    </row>
    <row r="147" spans="12:12" x14ac:dyDescent="0.25">
      <c r="L147" s="28">
        <v>25</v>
      </c>
    </row>
    <row r="148" spans="12:12" x14ac:dyDescent="0.25">
      <c r="L148" s="28">
        <v>16</v>
      </c>
    </row>
    <row r="160" spans="12:12" x14ac:dyDescent="0.25">
      <c r="L160" s="28">
        <v>23</v>
      </c>
    </row>
    <row r="161" spans="12:12" x14ac:dyDescent="0.25">
      <c r="L161" s="28">
        <v>16</v>
      </c>
    </row>
    <row r="173" spans="12:12" x14ac:dyDescent="0.25">
      <c r="L173" s="28">
        <v>23</v>
      </c>
    </row>
    <row r="174" spans="12:12" x14ac:dyDescent="0.25">
      <c r="L174" s="28">
        <v>16</v>
      </c>
    </row>
    <row r="186" spans="12:12" x14ac:dyDescent="0.25">
      <c r="L186" s="28">
        <v>22</v>
      </c>
    </row>
    <row r="187" spans="12:12" x14ac:dyDescent="0.25">
      <c r="L187" s="28">
        <v>16</v>
      </c>
    </row>
    <row r="199" spans="12:12" x14ac:dyDescent="0.25">
      <c r="L199" s="28">
        <v>28</v>
      </c>
    </row>
    <row r="200" spans="12:12" x14ac:dyDescent="0.25">
      <c r="L200" s="28">
        <v>24</v>
      </c>
    </row>
    <row r="212" spans="12:12" x14ac:dyDescent="0.25">
      <c r="L212" s="28">
        <v>27</v>
      </c>
    </row>
    <row r="213" spans="12:12" x14ac:dyDescent="0.25">
      <c r="L213" s="28">
        <v>25</v>
      </c>
    </row>
    <row r="225" spans="12:12" x14ac:dyDescent="0.25">
      <c r="L225" s="28">
        <v>27</v>
      </c>
    </row>
    <row r="226" spans="12:12" x14ac:dyDescent="0.25">
      <c r="L226" s="28">
        <v>25</v>
      </c>
    </row>
    <row r="238" spans="12:12" x14ac:dyDescent="0.25">
      <c r="L238" s="28">
        <v>25</v>
      </c>
    </row>
    <row r="239" spans="12:12" x14ac:dyDescent="0.25">
      <c r="L239" s="28">
        <v>10</v>
      </c>
    </row>
    <row r="251" spans="12:12" x14ac:dyDescent="0.25">
      <c r="L251" s="28">
        <v>15</v>
      </c>
    </row>
    <row r="252" spans="12:12" x14ac:dyDescent="0.25">
      <c r="L252" s="28">
        <v>11</v>
      </c>
    </row>
    <row r="264" spans="12:12" x14ac:dyDescent="0.25">
      <c r="L264" s="28">
        <v>27</v>
      </c>
    </row>
    <row r="265" spans="12:12" x14ac:dyDescent="0.25">
      <c r="L265" s="28">
        <v>25</v>
      </c>
    </row>
    <row r="277" spans="12:12" x14ac:dyDescent="0.25">
      <c r="L277" s="28">
        <v>28</v>
      </c>
    </row>
    <row r="278" spans="12:12" x14ac:dyDescent="0.25">
      <c r="L278" s="28">
        <v>10</v>
      </c>
    </row>
    <row r="290" spans="12:12" x14ac:dyDescent="0.25">
      <c r="L290" s="28">
        <v>27</v>
      </c>
    </row>
    <row r="291" spans="12:12" x14ac:dyDescent="0.25">
      <c r="L291" s="28">
        <v>22</v>
      </c>
    </row>
  </sheetData>
  <mergeCells count="24">
    <mergeCell ref="AH3:BK3"/>
    <mergeCell ref="A25:A27"/>
    <mergeCell ref="A28:A30"/>
    <mergeCell ref="A46:A48"/>
    <mergeCell ref="A49:A51"/>
    <mergeCell ref="A10:A12"/>
    <mergeCell ref="A19:A21"/>
    <mergeCell ref="A13:A15"/>
    <mergeCell ref="A16:A18"/>
    <mergeCell ref="A31:A33"/>
    <mergeCell ref="A68:A71"/>
    <mergeCell ref="A1:B1"/>
    <mergeCell ref="A3:AG3"/>
    <mergeCell ref="A2:B2"/>
    <mergeCell ref="A34:A36"/>
    <mergeCell ref="A43:A45"/>
    <mergeCell ref="A37:A39"/>
    <mergeCell ref="A4:A6"/>
    <mergeCell ref="A7:A9"/>
    <mergeCell ref="A22:A24"/>
    <mergeCell ref="A40:A42"/>
    <mergeCell ref="A53:A56"/>
    <mergeCell ref="A58:A61"/>
    <mergeCell ref="A63:A66"/>
  </mergeCells>
  <phoneticPr fontId="24" type="noConversion"/>
  <printOptions horizontalCentered="1" verticalCentered="1"/>
  <pageMargins left="0" right="0" top="0" bottom="0" header="0" footer="0"/>
  <pageSetup paperSize="9" scale="15" fitToHeight="2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X108"/>
  <sheetViews>
    <sheetView topLeftCell="B1" zoomScaleNormal="100" workbookViewId="0">
      <selection activeCell="G6" sqref="G6"/>
    </sheetView>
  </sheetViews>
  <sheetFormatPr defaultColWidth="9.1796875" defaultRowHeight="12.5" x14ac:dyDescent="0.25"/>
  <cols>
    <col min="1" max="16384" width="9.1796875" style="24"/>
  </cols>
  <sheetData>
    <row r="2" spans="2:21" ht="21" customHeight="1" x14ac:dyDescent="0.25">
      <c r="B2" s="370" t="s">
        <v>189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</row>
    <row r="48" ht="21" customHeight="1" x14ac:dyDescent="0.25"/>
    <row r="50" spans="2:21" ht="18" x14ac:dyDescent="0.25">
      <c r="B50" s="370" t="s">
        <v>190</v>
      </c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</row>
    <row r="93" spans="2:21" ht="21" customHeight="1" x14ac:dyDescent="0.25"/>
    <row r="94" spans="2:21" ht="17.5" x14ac:dyDescent="0.25">
      <c r="B94" s="371"/>
      <c r="C94" s="371"/>
      <c r="D94" s="371"/>
      <c r="E94" s="371"/>
      <c r="F94" s="371"/>
      <c r="G94" s="371"/>
      <c r="H94" s="371"/>
      <c r="I94" s="371"/>
      <c r="J94" s="371"/>
      <c r="K94" s="371"/>
      <c r="L94" s="371"/>
      <c r="M94" s="371"/>
      <c r="N94" s="371"/>
      <c r="O94" s="371"/>
      <c r="P94" s="371"/>
      <c r="Q94" s="371"/>
      <c r="R94" s="371"/>
      <c r="S94" s="371"/>
      <c r="T94" s="371"/>
      <c r="U94" s="371"/>
    </row>
    <row r="105" spans="5:24" ht="18" x14ac:dyDescent="0.25">
      <c r="E105" s="370" t="s">
        <v>191</v>
      </c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</row>
    <row r="108" spans="5:24" x14ac:dyDescent="0.25">
      <c r="I108" s="60"/>
    </row>
  </sheetData>
  <mergeCells count="4">
    <mergeCell ref="B2:U2"/>
    <mergeCell ref="B50:U50"/>
    <mergeCell ref="B94:U94"/>
    <mergeCell ref="E105:X105"/>
  </mergeCells>
  <phoneticPr fontId="24" type="noConversion"/>
  <printOptions horizontalCentered="1" verticalCentered="1"/>
  <pageMargins left="0.25" right="0.25" top="0.25" bottom="0.25" header="0.25" footer="0.25"/>
  <pageSetup scale="43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659F9DE55821499A113E757D649075" ma:contentTypeVersion="11" ma:contentTypeDescription="Create a new document." ma:contentTypeScope="" ma:versionID="c0890b4e2f32cce2d1da8ac3d50d21a7">
  <xsd:schema xmlns:xsd="http://www.w3.org/2001/XMLSchema" xmlns:xs="http://www.w3.org/2001/XMLSchema" xmlns:p="http://schemas.microsoft.com/office/2006/metadata/properties" xmlns:ns3="0d96cb44-41ba-42be-948d-6bc05d514bf8" xmlns:ns4="53a6ba30-a323-406b-a0d3-ffdc4a13edfc" targetNamespace="http://schemas.microsoft.com/office/2006/metadata/properties" ma:root="true" ma:fieldsID="aa6736283ee6d91d5e538a6b1f58ba31" ns3:_="" ns4:_="">
    <xsd:import namespace="0d96cb44-41ba-42be-948d-6bc05d514bf8"/>
    <xsd:import namespace="53a6ba30-a323-406b-a0d3-ffdc4a13ed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6cb44-41ba-42be-948d-6bc05d514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a6ba30-a323-406b-a0d3-ffdc4a13e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29E2EA-EF9F-4CDB-B4B4-182F08F6C6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C96BC5-5FFF-4B8D-889B-9586FB4658D9}">
  <ds:schemaRefs>
    <ds:schemaRef ds:uri="0d96cb44-41ba-42be-948d-6bc05d514bf8"/>
    <ds:schemaRef ds:uri="http://schemas.microsoft.com/office/2006/documentManagement/types"/>
    <ds:schemaRef ds:uri="http://schemas.microsoft.com/office/2006/metadata/properties"/>
    <ds:schemaRef ds:uri="http://purl.org/dc/elements/1.1/"/>
    <ds:schemaRef ds:uri="53a6ba30-a323-406b-a0d3-ffdc4a13edf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D33B72-3275-4518-8697-47BC9ADE9F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6cb44-41ba-42be-948d-6bc05d514bf8"/>
    <ds:schemaRef ds:uri="53a6ba30-a323-406b-a0d3-ffdc4a13e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STATION</vt:lpstr>
      <vt:lpstr>UNITS</vt:lpstr>
      <vt:lpstr>Totalizer</vt:lpstr>
      <vt:lpstr>BOILERS</vt:lpstr>
      <vt:lpstr>GRAPHS</vt:lpstr>
      <vt:lpstr>BOILERS!Print_Titles</vt:lpstr>
      <vt:lpstr>STATION!Print_Titles</vt:lpstr>
      <vt:lpstr>UNITS!Print_Titles</vt:lpstr>
    </vt:vector>
  </TitlesOfParts>
  <Manager/>
  <Company>The Tata Power Company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PxxxEmpnumCxxxx</dc:creator>
  <cp:keywords/>
  <dc:description/>
  <cp:lastModifiedBy>Chakraborty Biplab</cp:lastModifiedBy>
  <cp:revision/>
  <dcterms:created xsi:type="dcterms:W3CDTF">2008-11-01T17:13:50Z</dcterms:created>
  <dcterms:modified xsi:type="dcterms:W3CDTF">2024-11-11T07:31:57Z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8ed580-7b07-4de3-bcfc-baf51b37f0d5_Enabled">
    <vt:lpwstr>True</vt:lpwstr>
  </property>
  <property fmtid="{D5CDD505-2E9C-101B-9397-08002B2CF9AE}" pid="3" name="MSIP_Label_9b8ed580-7b07-4de3-bcfc-baf51b37f0d5_SiteId">
    <vt:lpwstr>04ea39e3-ac5b-4971-937c-8344c97a4509</vt:lpwstr>
  </property>
  <property fmtid="{D5CDD505-2E9C-101B-9397-08002B2CF9AE}" pid="4" name="MSIP_Label_9b8ed580-7b07-4de3-bcfc-baf51b37f0d5_Owner">
    <vt:lpwstr>amitsadhukhan@tatapower.com</vt:lpwstr>
  </property>
  <property fmtid="{D5CDD505-2E9C-101B-9397-08002B2CF9AE}" pid="5" name="MSIP_Label_9b8ed580-7b07-4de3-bcfc-baf51b37f0d5_SetDate">
    <vt:lpwstr>2019-02-15T18:04:24.7963772Z</vt:lpwstr>
  </property>
  <property fmtid="{D5CDD505-2E9C-101B-9397-08002B2CF9AE}" pid="6" name="MSIP_Label_9b8ed580-7b07-4de3-bcfc-baf51b37f0d5_Name">
    <vt:lpwstr>Public</vt:lpwstr>
  </property>
  <property fmtid="{D5CDD505-2E9C-101B-9397-08002B2CF9AE}" pid="7" name="MSIP_Label_9b8ed580-7b07-4de3-bcfc-baf51b37f0d5_Application">
    <vt:lpwstr>Microsoft Azure Information Protection</vt:lpwstr>
  </property>
  <property fmtid="{D5CDD505-2E9C-101B-9397-08002B2CF9AE}" pid="8" name="MSIP_Label_9b8ed580-7b07-4de3-bcfc-baf51b37f0d5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0x0101003F659F9DE55821499A113E757D649075</vt:lpwstr>
  </property>
</Properties>
</file>