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ae460\lab05_06\AE-460\Lab 6\"/>
    </mc:Choice>
  </mc:AlternateContent>
  <xr:revisionPtr revIDLastSave="0" documentId="13_ncr:1_{CEC6E21C-785F-4066-B222-69D1662F00FD}" xr6:coauthVersionLast="47" xr6:coauthVersionMax="47" xr10:uidLastSave="{00000000-0000-0000-0000-000000000000}"/>
  <bookViews>
    <workbookView xWindow="-108" yWindow="-108" windowWidth="23256" windowHeight="12576" activeTab="2" xr2:uid="{7DB2D3F6-6F86-4E49-8BA8-4E3C7F5D5D0B}"/>
  </bookViews>
  <sheets>
    <sheet name="0 ft" sheetId="1" r:id="rId1"/>
    <sheet name="40 ft " sheetId="2" r:id="rId2"/>
    <sheet name="100 ft" sheetId="3" r:id="rId3"/>
    <sheet name="Cl calculation" sheetId="4" r:id="rId4"/>
    <sheet name="CD calculation" sheetId="5" r:id="rId5"/>
    <sheet name="CM calculation" sheetId="6" r:id="rId6"/>
    <sheet name="L-D Rat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3" l="1"/>
  <c r="X6" i="3"/>
  <c r="X7" i="3"/>
  <c r="X8" i="3"/>
  <c r="X9" i="3"/>
  <c r="X10" i="3"/>
  <c r="X11" i="3"/>
  <c r="X12" i="3"/>
  <c r="X13" i="3"/>
  <c r="X14" i="3"/>
  <c r="X15" i="3"/>
  <c r="X16" i="3"/>
  <c r="X17" i="3"/>
  <c r="X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4" i="3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4" i="2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4" i="3"/>
  <c r="V20" i="2"/>
  <c r="W8" i="2"/>
  <c r="X8" i="2"/>
  <c r="Y8" i="2"/>
  <c r="Z8" i="2"/>
  <c r="AA8" i="2"/>
  <c r="AB8" i="2"/>
  <c r="AC8" i="2"/>
  <c r="AD8" i="2"/>
  <c r="AE8" i="2"/>
  <c r="AF8" i="2"/>
  <c r="W9" i="2"/>
  <c r="X9" i="2"/>
  <c r="Y9" i="2"/>
  <c r="Z9" i="2"/>
  <c r="AA9" i="2"/>
  <c r="AB9" i="2"/>
  <c r="AC9" i="2"/>
  <c r="AD9" i="2"/>
  <c r="AE9" i="2"/>
  <c r="AF9" i="2"/>
  <c r="W10" i="2"/>
  <c r="X10" i="2"/>
  <c r="Y10" i="2"/>
  <c r="Z10" i="2"/>
  <c r="AA10" i="2"/>
  <c r="AB10" i="2"/>
  <c r="AC10" i="2"/>
  <c r="AD10" i="2"/>
  <c r="AE10" i="2"/>
  <c r="AF10" i="2"/>
  <c r="W11" i="2"/>
  <c r="X11" i="2"/>
  <c r="Y11" i="2"/>
  <c r="Z11" i="2"/>
  <c r="AA11" i="2"/>
  <c r="AB11" i="2"/>
  <c r="AC11" i="2"/>
  <c r="AD11" i="2"/>
  <c r="AE11" i="2"/>
  <c r="AF11" i="2"/>
  <c r="W12" i="2"/>
  <c r="X12" i="2"/>
  <c r="Y12" i="2"/>
  <c r="Z12" i="2"/>
  <c r="AA12" i="2"/>
  <c r="AB12" i="2"/>
  <c r="AC12" i="2"/>
  <c r="AD12" i="2"/>
  <c r="AE12" i="2"/>
  <c r="AF12" i="2"/>
  <c r="W13" i="2"/>
  <c r="X13" i="2"/>
  <c r="Y13" i="2"/>
  <c r="Z13" i="2"/>
  <c r="AA13" i="2"/>
  <c r="AB13" i="2"/>
  <c r="AC13" i="2"/>
  <c r="AD13" i="2"/>
  <c r="AE13" i="2"/>
  <c r="AF13" i="2"/>
  <c r="W14" i="2"/>
  <c r="X14" i="2"/>
  <c r="Y14" i="2"/>
  <c r="Z14" i="2"/>
  <c r="AA14" i="2"/>
  <c r="AB14" i="2"/>
  <c r="AC14" i="2"/>
  <c r="AD14" i="2"/>
  <c r="AE14" i="2"/>
  <c r="AF14" i="2"/>
  <c r="W15" i="2"/>
  <c r="X15" i="2"/>
  <c r="Y15" i="2"/>
  <c r="Z15" i="2"/>
  <c r="AA15" i="2"/>
  <c r="AB15" i="2"/>
  <c r="AC15" i="2"/>
  <c r="AD15" i="2"/>
  <c r="AE15" i="2"/>
  <c r="AF15" i="2"/>
  <c r="W16" i="2"/>
  <c r="X16" i="2"/>
  <c r="Y16" i="2"/>
  <c r="Z16" i="2"/>
  <c r="AA16" i="2"/>
  <c r="AB16" i="2"/>
  <c r="AC16" i="2"/>
  <c r="AD16" i="2"/>
  <c r="AE16" i="2"/>
  <c r="AF16" i="2"/>
  <c r="W17" i="2"/>
  <c r="X17" i="2"/>
  <c r="Y17" i="2"/>
  <c r="Z17" i="2"/>
  <c r="AA17" i="2"/>
  <c r="AB17" i="2"/>
  <c r="AC17" i="2"/>
  <c r="AD17" i="2"/>
  <c r="AE17" i="2"/>
  <c r="AF17" i="2"/>
  <c r="W18" i="2"/>
  <c r="X18" i="2"/>
  <c r="Y18" i="2"/>
  <c r="Z18" i="2"/>
  <c r="AA18" i="2"/>
  <c r="AB18" i="2"/>
  <c r="AC18" i="2"/>
  <c r="AD18" i="2"/>
  <c r="AE18" i="2"/>
  <c r="AF18" i="2"/>
  <c r="W19" i="2"/>
  <c r="X19" i="2"/>
  <c r="Y19" i="2"/>
  <c r="Z19" i="2"/>
  <c r="AA19" i="2"/>
  <c r="AB19" i="2"/>
  <c r="AC19" i="2"/>
  <c r="AD19" i="2"/>
  <c r="AE19" i="2"/>
  <c r="AF19" i="2"/>
  <c r="W20" i="2"/>
  <c r="X20" i="2"/>
  <c r="Y20" i="2"/>
  <c r="Z20" i="2"/>
  <c r="AA20" i="2"/>
  <c r="AB20" i="2"/>
  <c r="AC20" i="2"/>
  <c r="AD20" i="2"/>
  <c r="AE20" i="2"/>
  <c r="AF20" i="2"/>
  <c r="AF7" i="2"/>
  <c r="AE7" i="2"/>
  <c r="AD7" i="2"/>
  <c r="AC7" i="2"/>
  <c r="AB7" i="2"/>
  <c r="AA7" i="2"/>
  <c r="Z7" i="2"/>
  <c r="Y7" i="2"/>
  <c r="X7" i="2"/>
  <c r="W7" i="2"/>
  <c r="V8" i="2"/>
  <c r="V9" i="2"/>
  <c r="V10" i="2"/>
  <c r="V11" i="2"/>
  <c r="V12" i="2"/>
  <c r="V13" i="2"/>
  <c r="V14" i="2"/>
  <c r="V15" i="2"/>
  <c r="V16" i="2"/>
  <c r="V17" i="2"/>
  <c r="V18" i="2"/>
  <c r="V19" i="2"/>
  <c r="V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7" i="2"/>
  <c r="B11" i="5"/>
  <c r="E11" i="5" s="1"/>
  <c r="G11" i="7" s="1"/>
  <c r="B14" i="4"/>
  <c r="B14" i="7" s="1"/>
  <c r="B13" i="4"/>
  <c r="B13" i="7" s="1"/>
  <c r="B6" i="4"/>
  <c r="B6" i="7" s="1"/>
  <c r="B5" i="4"/>
  <c r="B5" i="7" s="1"/>
  <c r="C21" i="6"/>
  <c r="B21" i="6"/>
  <c r="A2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B4" i="6"/>
  <c r="B5" i="6"/>
  <c r="B6" i="6"/>
  <c r="B7" i="6"/>
  <c r="E7" i="6" s="1"/>
  <c r="B8" i="6"/>
  <c r="B9" i="6"/>
  <c r="E9" i="6" s="1"/>
  <c r="B10" i="6"/>
  <c r="B11" i="6"/>
  <c r="B12" i="6"/>
  <c r="B13" i="6"/>
  <c r="B14" i="6"/>
  <c r="B15" i="6"/>
  <c r="E15" i="6" s="1"/>
  <c r="B16" i="6"/>
  <c r="E16" i="6" s="1"/>
  <c r="B3" i="6"/>
  <c r="E3" i="6" s="1"/>
  <c r="H16" i="6"/>
  <c r="G16" i="6"/>
  <c r="D16" i="6"/>
  <c r="C16" i="6"/>
  <c r="H15" i="6"/>
  <c r="G15" i="6"/>
  <c r="D15" i="6"/>
  <c r="C15" i="6"/>
  <c r="H14" i="6"/>
  <c r="G14" i="6"/>
  <c r="D14" i="6"/>
  <c r="C14" i="6"/>
  <c r="E14" i="6" s="1"/>
  <c r="H13" i="6"/>
  <c r="G13" i="6"/>
  <c r="D13" i="6"/>
  <c r="C13" i="6"/>
  <c r="H12" i="6"/>
  <c r="G12" i="6"/>
  <c r="I12" i="6" s="1"/>
  <c r="D12" i="6"/>
  <c r="C12" i="6"/>
  <c r="H11" i="6"/>
  <c r="G11" i="6"/>
  <c r="I11" i="6" s="1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I6" i="6" s="1"/>
  <c r="D6" i="6"/>
  <c r="C6" i="6"/>
  <c r="E6" i="6" s="1"/>
  <c r="H5" i="6"/>
  <c r="G5" i="6"/>
  <c r="I5" i="6" s="1"/>
  <c r="D5" i="6"/>
  <c r="C5" i="6"/>
  <c r="H4" i="6"/>
  <c r="G4" i="6"/>
  <c r="D4" i="6"/>
  <c r="C4" i="6"/>
  <c r="H3" i="6"/>
  <c r="G3" i="6"/>
  <c r="D3" i="6"/>
  <c r="C3" i="6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3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4" i="3"/>
  <c r="M21" i="3"/>
  <c r="N21" i="3"/>
  <c r="O21" i="3"/>
  <c r="M22" i="3"/>
  <c r="N22" i="3"/>
  <c r="O22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22" i="3"/>
  <c r="B22" i="3"/>
  <c r="C22" i="3"/>
  <c r="D22" i="3"/>
  <c r="E22" i="3"/>
  <c r="F22" i="3"/>
  <c r="G22" i="3"/>
  <c r="H22" i="3"/>
  <c r="I22" i="3"/>
  <c r="J22" i="3"/>
  <c r="K22" i="3"/>
  <c r="L22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B21" i="3"/>
  <c r="C21" i="3"/>
  <c r="D21" i="3"/>
  <c r="E21" i="3"/>
  <c r="F21" i="3"/>
  <c r="G21" i="3"/>
  <c r="H21" i="3"/>
  <c r="I21" i="3"/>
  <c r="J21" i="3"/>
  <c r="K21" i="3"/>
  <c r="L21" i="3"/>
  <c r="A21" i="3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4" i="2"/>
  <c r="A24" i="2"/>
  <c r="B24" i="2"/>
  <c r="C24" i="2"/>
  <c r="D24" i="2"/>
  <c r="E24" i="2"/>
  <c r="F24" i="2"/>
  <c r="G24" i="2"/>
  <c r="H24" i="2"/>
  <c r="I24" i="2"/>
  <c r="J24" i="2"/>
  <c r="K24" i="2"/>
  <c r="L24" i="2"/>
  <c r="M22" i="2"/>
  <c r="N22" i="2"/>
  <c r="O22" i="2"/>
  <c r="B22" i="2"/>
  <c r="C22" i="2"/>
  <c r="D22" i="2"/>
  <c r="E22" i="2"/>
  <c r="F22" i="2"/>
  <c r="G22" i="2"/>
  <c r="H22" i="2"/>
  <c r="I22" i="2"/>
  <c r="J22" i="2"/>
  <c r="K22" i="2"/>
  <c r="L22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1" i="2"/>
  <c r="O35" i="1"/>
  <c r="N35" i="1"/>
  <c r="M35" i="1"/>
  <c r="L35" i="1"/>
  <c r="K35" i="1"/>
  <c r="J35" i="1"/>
  <c r="I35" i="1"/>
  <c r="G35" i="1"/>
  <c r="F35" i="1"/>
  <c r="E35" i="1"/>
  <c r="D35" i="1"/>
  <c r="C35" i="1"/>
  <c r="O34" i="1"/>
  <c r="N34" i="1"/>
  <c r="M34" i="1"/>
  <c r="L34" i="1"/>
  <c r="K34" i="1"/>
  <c r="J34" i="1"/>
  <c r="I34" i="1"/>
  <c r="G34" i="1"/>
  <c r="F34" i="1"/>
  <c r="E34" i="1"/>
  <c r="D34" i="1"/>
  <c r="C34" i="1"/>
  <c r="O33" i="1"/>
  <c r="N33" i="1"/>
  <c r="M33" i="1"/>
  <c r="L33" i="1"/>
  <c r="K33" i="1"/>
  <c r="J33" i="1"/>
  <c r="I33" i="1"/>
  <c r="G33" i="1"/>
  <c r="F33" i="1"/>
  <c r="E33" i="1"/>
  <c r="D33" i="1"/>
  <c r="C33" i="1"/>
  <c r="O32" i="1"/>
  <c r="N32" i="1"/>
  <c r="M32" i="1"/>
  <c r="L32" i="1"/>
  <c r="K32" i="1"/>
  <c r="J32" i="1"/>
  <c r="I32" i="1"/>
  <c r="G32" i="1"/>
  <c r="F32" i="1"/>
  <c r="E32" i="1"/>
  <c r="D32" i="1"/>
  <c r="C32" i="1"/>
  <c r="O31" i="1"/>
  <c r="N31" i="1"/>
  <c r="M31" i="1"/>
  <c r="L31" i="1"/>
  <c r="K31" i="1"/>
  <c r="J31" i="1"/>
  <c r="I31" i="1"/>
  <c r="G31" i="1"/>
  <c r="F31" i="1"/>
  <c r="E31" i="1"/>
  <c r="D31" i="1"/>
  <c r="C31" i="1"/>
  <c r="O30" i="1"/>
  <c r="N30" i="1"/>
  <c r="M30" i="1"/>
  <c r="L30" i="1"/>
  <c r="K30" i="1"/>
  <c r="J30" i="1"/>
  <c r="I30" i="1"/>
  <c r="G30" i="1"/>
  <c r="F30" i="1"/>
  <c r="E30" i="1"/>
  <c r="D30" i="1"/>
  <c r="C30" i="1"/>
  <c r="O29" i="1"/>
  <c r="N29" i="1"/>
  <c r="M29" i="1"/>
  <c r="L29" i="1"/>
  <c r="K29" i="1"/>
  <c r="J29" i="1"/>
  <c r="I29" i="1"/>
  <c r="G29" i="1"/>
  <c r="F29" i="1"/>
  <c r="E29" i="1"/>
  <c r="D29" i="1"/>
  <c r="C29" i="1"/>
  <c r="O28" i="1"/>
  <c r="N28" i="1"/>
  <c r="M28" i="1"/>
  <c r="L28" i="1"/>
  <c r="K28" i="1"/>
  <c r="J28" i="1"/>
  <c r="I28" i="1"/>
  <c r="G28" i="1"/>
  <c r="F28" i="1"/>
  <c r="E28" i="1"/>
  <c r="D28" i="1"/>
  <c r="C28" i="1"/>
  <c r="O27" i="1"/>
  <c r="N27" i="1"/>
  <c r="M27" i="1"/>
  <c r="L27" i="1"/>
  <c r="K27" i="1"/>
  <c r="J27" i="1"/>
  <c r="I27" i="1"/>
  <c r="G27" i="1"/>
  <c r="F27" i="1"/>
  <c r="E27" i="1"/>
  <c r="D27" i="1"/>
  <c r="C27" i="1"/>
  <c r="O26" i="1"/>
  <c r="N26" i="1"/>
  <c r="M26" i="1"/>
  <c r="L26" i="1"/>
  <c r="K26" i="1"/>
  <c r="J26" i="1"/>
  <c r="I26" i="1"/>
  <c r="G26" i="1"/>
  <c r="F26" i="1"/>
  <c r="E26" i="1"/>
  <c r="D26" i="1"/>
  <c r="C26" i="1"/>
  <c r="O25" i="1"/>
  <c r="N25" i="1"/>
  <c r="M25" i="1"/>
  <c r="L25" i="1"/>
  <c r="K25" i="1"/>
  <c r="J25" i="1"/>
  <c r="I25" i="1"/>
  <c r="G25" i="1"/>
  <c r="F25" i="1"/>
  <c r="E25" i="1"/>
  <c r="D25" i="1"/>
  <c r="C25" i="1"/>
  <c r="O24" i="1"/>
  <c r="N24" i="1"/>
  <c r="M24" i="1"/>
  <c r="L24" i="1"/>
  <c r="K24" i="1"/>
  <c r="J24" i="1"/>
  <c r="I24" i="1"/>
  <c r="G24" i="1"/>
  <c r="F24" i="1"/>
  <c r="E24" i="1"/>
  <c r="D24" i="1"/>
  <c r="C24" i="1"/>
  <c r="O23" i="1"/>
  <c r="N23" i="1"/>
  <c r="M23" i="1"/>
  <c r="L23" i="1"/>
  <c r="K23" i="1"/>
  <c r="J23" i="1"/>
  <c r="I23" i="1"/>
  <c r="G23" i="1"/>
  <c r="F23" i="1"/>
  <c r="E23" i="1"/>
  <c r="D23" i="1"/>
  <c r="C23" i="1"/>
  <c r="O22" i="1"/>
  <c r="N22" i="1"/>
  <c r="M22" i="1"/>
  <c r="L22" i="1"/>
  <c r="K22" i="1"/>
  <c r="J22" i="1"/>
  <c r="I22" i="1"/>
  <c r="G22" i="1"/>
  <c r="F22" i="1"/>
  <c r="E22" i="1"/>
  <c r="D22" i="1"/>
  <c r="C22" i="1"/>
  <c r="O56" i="3"/>
  <c r="N56" i="3"/>
  <c r="M56" i="3"/>
  <c r="L56" i="3"/>
  <c r="K56" i="3"/>
  <c r="J56" i="3"/>
  <c r="I56" i="3"/>
  <c r="F16" i="5" s="1"/>
  <c r="G56" i="3"/>
  <c r="F56" i="3"/>
  <c r="E56" i="3"/>
  <c r="D56" i="3"/>
  <c r="C56" i="3"/>
  <c r="O55" i="3"/>
  <c r="N55" i="3"/>
  <c r="M55" i="3"/>
  <c r="L55" i="3"/>
  <c r="K55" i="3"/>
  <c r="J55" i="3"/>
  <c r="I55" i="3"/>
  <c r="F15" i="5" s="1"/>
  <c r="G55" i="3"/>
  <c r="F55" i="3"/>
  <c r="E55" i="3"/>
  <c r="D55" i="3"/>
  <c r="C55" i="3"/>
  <c r="O54" i="3"/>
  <c r="N54" i="3"/>
  <c r="M54" i="3"/>
  <c r="L54" i="3"/>
  <c r="K54" i="3"/>
  <c r="J54" i="3"/>
  <c r="I54" i="3"/>
  <c r="F14" i="5" s="1"/>
  <c r="G54" i="3"/>
  <c r="F54" i="3"/>
  <c r="E54" i="3"/>
  <c r="D54" i="3"/>
  <c r="C54" i="3"/>
  <c r="O53" i="3"/>
  <c r="N53" i="3"/>
  <c r="M53" i="3"/>
  <c r="L53" i="3"/>
  <c r="K53" i="3"/>
  <c r="J53" i="3"/>
  <c r="I53" i="3"/>
  <c r="F13" i="5" s="1"/>
  <c r="G53" i="3"/>
  <c r="F53" i="3"/>
  <c r="E53" i="3"/>
  <c r="D53" i="3"/>
  <c r="C53" i="3"/>
  <c r="O52" i="3"/>
  <c r="N52" i="3"/>
  <c r="M52" i="3"/>
  <c r="L52" i="3"/>
  <c r="K52" i="3"/>
  <c r="J52" i="3"/>
  <c r="I52" i="3"/>
  <c r="F12" i="5" s="1"/>
  <c r="G52" i="3"/>
  <c r="F52" i="3"/>
  <c r="E52" i="3"/>
  <c r="D52" i="3"/>
  <c r="C52" i="3"/>
  <c r="O51" i="3"/>
  <c r="N51" i="3"/>
  <c r="M51" i="3"/>
  <c r="L51" i="3"/>
  <c r="K51" i="3"/>
  <c r="J51" i="3"/>
  <c r="I51" i="3"/>
  <c r="F11" i="5" s="1"/>
  <c r="G51" i="3"/>
  <c r="F51" i="3"/>
  <c r="E51" i="3"/>
  <c r="D51" i="3"/>
  <c r="C51" i="3"/>
  <c r="O50" i="3"/>
  <c r="N50" i="3"/>
  <c r="M50" i="3"/>
  <c r="L50" i="3"/>
  <c r="K50" i="3"/>
  <c r="J50" i="3"/>
  <c r="I50" i="3"/>
  <c r="F10" i="5" s="1"/>
  <c r="G50" i="3"/>
  <c r="F50" i="3"/>
  <c r="E50" i="3"/>
  <c r="D50" i="3"/>
  <c r="C50" i="3"/>
  <c r="O49" i="3"/>
  <c r="N49" i="3"/>
  <c r="M49" i="3"/>
  <c r="L49" i="3"/>
  <c r="K49" i="3"/>
  <c r="J49" i="3"/>
  <c r="I49" i="3"/>
  <c r="F9" i="5" s="1"/>
  <c r="G49" i="3"/>
  <c r="F49" i="3"/>
  <c r="E49" i="3"/>
  <c r="D49" i="3"/>
  <c r="C49" i="3"/>
  <c r="O48" i="3"/>
  <c r="N48" i="3"/>
  <c r="M48" i="3"/>
  <c r="L48" i="3"/>
  <c r="K48" i="3"/>
  <c r="J48" i="3"/>
  <c r="I48" i="3"/>
  <c r="F8" i="5" s="1"/>
  <c r="G48" i="3"/>
  <c r="F48" i="3"/>
  <c r="E48" i="3"/>
  <c r="D48" i="3"/>
  <c r="C48" i="3"/>
  <c r="O47" i="3"/>
  <c r="N47" i="3"/>
  <c r="M47" i="3"/>
  <c r="L47" i="3"/>
  <c r="K47" i="3"/>
  <c r="J47" i="3"/>
  <c r="I47" i="3"/>
  <c r="F7" i="4" s="1"/>
  <c r="D7" i="7" s="1"/>
  <c r="G47" i="3"/>
  <c r="F47" i="3"/>
  <c r="E47" i="3"/>
  <c r="D47" i="3"/>
  <c r="C47" i="3"/>
  <c r="O46" i="3"/>
  <c r="N46" i="3"/>
  <c r="M46" i="3"/>
  <c r="L46" i="3"/>
  <c r="K46" i="3"/>
  <c r="J46" i="3"/>
  <c r="I46" i="3"/>
  <c r="F6" i="4" s="1"/>
  <c r="D6" i="7" s="1"/>
  <c r="G46" i="3"/>
  <c r="F46" i="3"/>
  <c r="E46" i="3"/>
  <c r="D46" i="3"/>
  <c r="C46" i="3"/>
  <c r="O45" i="3"/>
  <c r="N45" i="3"/>
  <c r="M45" i="3"/>
  <c r="L45" i="3"/>
  <c r="K45" i="3"/>
  <c r="J45" i="3"/>
  <c r="I45" i="3"/>
  <c r="F5" i="4" s="1"/>
  <c r="D5" i="7" s="1"/>
  <c r="G45" i="3"/>
  <c r="F45" i="3"/>
  <c r="E45" i="3"/>
  <c r="D45" i="3"/>
  <c r="C45" i="3"/>
  <c r="O44" i="3"/>
  <c r="N44" i="3"/>
  <c r="M44" i="3"/>
  <c r="L44" i="3"/>
  <c r="K44" i="3"/>
  <c r="J44" i="3"/>
  <c r="I44" i="3"/>
  <c r="F4" i="5" s="1"/>
  <c r="G44" i="3"/>
  <c r="F44" i="3"/>
  <c r="E44" i="3"/>
  <c r="D44" i="3"/>
  <c r="C44" i="3"/>
  <c r="O43" i="3"/>
  <c r="N43" i="3"/>
  <c r="M43" i="3"/>
  <c r="L43" i="3"/>
  <c r="K43" i="3"/>
  <c r="J43" i="3"/>
  <c r="I43" i="3"/>
  <c r="F3" i="4" s="1"/>
  <c r="G43" i="3"/>
  <c r="F43" i="3"/>
  <c r="E43" i="3"/>
  <c r="D43" i="3"/>
  <c r="C43" i="3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9" i="2"/>
  <c r="I50" i="2"/>
  <c r="B4" i="5" s="1"/>
  <c r="I51" i="2"/>
  <c r="B5" i="5" s="1"/>
  <c r="I52" i="2"/>
  <c r="B6" i="5" s="1"/>
  <c r="I53" i="2"/>
  <c r="B7" i="5" s="1"/>
  <c r="C7" i="7" s="1"/>
  <c r="I54" i="2"/>
  <c r="B8" i="5" s="1"/>
  <c r="C8" i="7" s="1"/>
  <c r="I55" i="2"/>
  <c r="B9" i="4" s="1"/>
  <c r="B9" i="7" s="1"/>
  <c r="I56" i="2"/>
  <c r="B10" i="4" s="1"/>
  <c r="B10" i="7" s="1"/>
  <c r="I57" i="2"/>
  <c r="B11" i="4" s="1"/>
  <c r="B11" i="7" s="1"/>
  <c r="I58" i="2"/>
  <c r="B12" i="5" s="1"/>
  <c r="E12" i="5" s="1"/>
  <c r="G12" i="7" s="1"/>
  <c r="I59" i="2"/>
  <c r="B13" i="5" s="1"/>
  <c r="I60" i="2"/>
  <c r="B14" i="5" s="1"/>
  <c r="I61" i="2"/>
  <c r="B15" i="5" s="1"/>
  <c r="C15" i="7" s="1"/>
  <c r="I62" i="2"/>
  <c r="B16" i="5" s="1"/>
  <c r="I49" i="2"/>
  <c r="B3" i="4" s="1"/>
  <c r="B3" i="7" s="1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9" i="2"/>
  <c r="I16" i="6" l="1"/>
  <c r="I4" i="6"/>
  <c r="I15" i="6"/>
  <c r="I14" i="6"/>
  <c r="I3" i="6"/>
  <c r="I13" i="6"/>
  <c r="I10" i="6"/>
  <c r="I9" i="6"/>
  <c r="I8" i="6"/>
  <c r="I7" i="6"/>
  <c r="I3" i="4"/>
  <c r="H3" i="7" s="1"/>
  <c r="D3" i="7"/>
  <c r="I8" i="5"/>
  <c r="I8" i="7" s="1"/>
  <c r="E8" i="7"/>
  <c r="I9" i="5"/>
  <c r="I9" i="7" s="1"/>
  <c r="E9" i="7"/>
  <c r="I10" i="5"/>
  <c r="I10" i="7" s="1"/>
  <c r="E10" i="7"/>
  <c r="I11" i="5"/>
  <c r="I11" i="7" s="1"/>
  <c r="E11" i="7"/>
  <c r="E12" i="7"/>
  <c r="I12" i="5"/>
  <c r="I12" i="7" s="1"/>
  <c r="E13" i="7"/>
  <c r="I13" i="5"/>
  <c r="I13" i="7" s="1"/>
  <c r="E14" i="7"/>
  <c r="I14" i="5"/>
  <c r="I14" i="7" s="1"/>
  <c r="E15" i="7"/>
  <c r="K15" i="7" s="1"/>
  <c r="I15" i="5"/>
  <c r="I15" i="7" s="1"/>
  <c r="I16" i="5"/>
  <c r="I16" i="7" s="1"/>
  <c r="E16" i="7"/>
  <c r="I4" i="5"/>
  <c r="I4" i="7" s="1"/>
  <c r="E4" i="7"/>
  <c r="F16" i="4"/>
  <c r="D16" i="7" s="1"/>
  <c r="K16" i="7" s="1"/>
  <c r="F4" i="4"/>
  <c r="F7" i="5"/>
  <c r="F15" i="4"/>
  <c r="D15" i="7" s="1"/>
  <c r="F6" i="5"/>
  <c r="F14" i="4"/>
  <c r="D14" i="7" s="1"/>
  <c r="F3" i="5"/>
  <c r="F5" i="5"/>
  <c r="F13" i="4"/>
  <c r="D13" i="7" s="1"/>
  <c r="K13" i="7" s="1"/>
  <c r="F12" i="4"/>
  <c r="F11" i="4"/>
  <c r="F10" i="4"/>
  <c r="F9" i="4"/>
  <c r="F8" i="4"/>
  <c r="I5" i="4"/>
  <c r="H5" i="7" s="1"/>
  <c r="I7" i="4"/>
  <c r="H7" i="7" s="1"/>
  <c r="E8" i="6"/>
  <c r="E12" i="6"/>
  <c r="E4" i="6"/>
  <c r="E11" i="6"/>
  <c r="C16" i="7"/>
  <c r="E16" i="5"/>
  <c r="G16" i="7" s="1"/>
  <c r="C6" i="7"/>
  <c r="E6" i="5"/>
  <c r="G6" i="7" s="1"/>
  <c r="C13" i="7"/>
  <c r="J13" i="7" s="1"/>
  <c r="E13" i="5"/>
  <c r="G13" i="7" s="1"/>
  <c r="C5" i="7"/>
  <c r="J5" i="7" s="1"/>
  <c r="E5" i="5"/>
  <c r="G5" i="7" s="1"/>
  <c r="C4" i="7"/>
  <c r="E4" i="5"/>
  <c r="G4" i="7" s="1"/>
  <c r="B10" i="5"/>
  <c r="E10" i="5" s="1"/>
  <c r="G10" i="7" s="1"/>
  <c r="E10" i="6"/>
  <c r="B7" i="4"/>
  <c r="B7" i="7" s="1"/>
  <c r="B15" i="4"/>
  <c r="B15" i="7" s="1"/>
  <c r="J15" i="7" s="1"/>
  <c r="B3" i="5"/>
  <c r="C3" i="7" s="1"/>
  <c r="J3" i="7" s="1"/>
  <c r="B9" i="5"/>
  <c r="E9" i="5" s="1"/>
  <c r="G9" i="7" s="1"/>
  <c r="B8" i="4"/>
  <c r="B8" i="7" s="1"/>
  <c r="B16" i="4"/>
  <c r="B16" i="7" s="1"/>
  <c r="E15" i="5"/>
  <c r="G15" i="7" s="1"/>
  <c r="E13" i="6"/>
  <c r="E5" i="6"/>
  <c r="B4" i="4"/>
  <c r="B4" i="7" s="1"/>
  <c r="B12" i="4"/>
  <c r="B12" i="7" s="1"/>
  <c r="J12" i="7" s="1"/>
  <c r="C12" i="7"/>
  <c r="C11" i="7"/>
  <c r="E8" i="5"/>
  <c r="G8" i="7" s="1"/>
  <c r="E14" i="5"/>
  <c r="G14" i="7" s="1"/>
  <c r="E7" i="5"/>
  <c r="G7" i="7" s="1"/>
  <c r="C14" i="7"/>
  <c r="J14" i="7" s="1"/>
  <c r="J7" i="7"/>
  <c r="J11" i="7"/>
  <c r="J6" i="7"/>
  <c r="K14" i="7"/>
  <c r="I6" i="4"/>
  <c r="J16" i="7"/>
  <c r="J8" i="7"/>
  <c r="E3" i="4"/>
  <c r="F3" i="7" s="1"/>
  <c r="E9" i="4"/>
  <c r="E14" i="4"/>
  <c r="E6" i="4"/>
  <c r="E11" i="4"/>
  <c r="E13" i="4"/>
  <c r="E5" i="4"/>
  <c r="E10" i="4"/>
  <c r="E15" i="4"/>
  <c r="E7" i="4"/>
  <c r="E8" i="4"/>
  <c r="I14" i="4" l="1"/>
  <c r="H14" i="7" s="1"/>
  <c r="M14" i="7" s="1"/>
  <c r="I15" i="4"/>
  <c r="I13" i="4"/>
  <c r="H13" i="7" s="1"/>
  <c r="M13" i="7" s="1"/>
  <c r="K3" i="7"/>
  <c r="I16" i="4"/>
  <c r="H16" i="7" s="1"/>
  <c r="M16" i="7" s="1"/>
  <c r="I9" i="4"/>
  <c r="H9" i="7" s="1"/>
  <c r="M9" i="7" s="1"/>
  <c r="D9" i="7"/>
  <c r="K9" i="7" s="1"/>
  <c r="D4" i="7"/>
  <c r="K4" i="7" s="1"/>
  <c r="I4" i="4"/>
  <c r="H4" i="7" s="1"/>
  <c r="M4" i="7" s="1"/>
  <c r="D10" i="7"/>
  <c r="K10" i="7" s="1"/>
  <c r="I10" i="4"/>
  <c r="H10" i="7" s="1"/>
  <c r="M10" i="7" s="1"/>
  <c r="H6" i="7"/>
  <c r="D12" i="7"/>
  <c r="K12" i="7" s="1"/>
  <c r="I12" i="4"/>
  <c r="H12" i="7" s="1"/>
  <c r="M12" i="7" s="1"/>
  <c r="D11" i="7"/>
  <c r="K11" i="7" s="1"/>
  <c r="I11" i="4"/>
  <c r="H11" i="7" s="1"/>
  <c r="M11" i="7" s="1"/>
  <c r="H15" i="7"/>
  <c r="M15" i="7" s="1"/>
  <c r="I5" i="5"/>
  <c r="I5" i="7" s="1"/>
  <c r="M5" i="7" s="1"/>
  <c r="E5" i="7"/>
  <c r="K5" i="7" s="1"/>
  <c r="E3" i="7"/>
  <c r="I3" i="5"/>
  <c r="I3" i="7" s="1"/>
  <c r="M3" i="7" s="1"/>
  <c r="I6" i="5"/>
  <c r="I6" i="7" s="1"/>
  <c r="E6" i="7"/>
  <c r="K6" i="7" s="1"/>
  <c r="I8" i="4"/>
  <c r="H8" i="7" s="1"/>
  <c r="M8" i="7" s="1"/>
  <c r="D8" i="7"/>
  <c r="K8" i="7" s="1"/>
  <c r="I7" i="5"/>
  <c r="I7" i="7" s="1"/>
  <c r="M7" i="7" s="1"/>
  <c r="E7" i="7"/>
  <c r="K7" i="7" s="1"/>
  <c r="C10" i="7"/>
  <c r="J10" i="7" s="1"/>
  <c r="E12" i="4"/>
  <c r="J4" i="7"/>
  <c r="E16" i="4"/>
  <c r="F16" i="7" s="1"/>
  <c r="L16" i="7" s="1"/>
  <c r="C9" i="7"/>
  <c r="J9" i="7" s="1"/>
  <c r="E3" i="5"/>
  <c r="G3" i="7" s="1"/>
  <c r="L3" i="7" s="1"/>
  <c r="E4" i="4"/>
  <c r="F4" i="7" s="1"/>
  <c r="L4" i="7" s="1"/>
  <c r="F6" i="7"/>
  <c r="L6" i="7" s="1"/>
  <c r="F15" i="7"/>
  <c r="L15" i="7" s="1"/>
  <c r="F9" i="7"/>
  <c r="L9" i="7" s="1"/>
  <c r="F13" i="7"/>
  <c r="L13" i="7" s="1"/>
  <c r="F7" i="7"/>
  <c r="L7" i="7" s="1"/>
  <c r="F14" i="7"/>
  <c r="L14" i="7" s="1"/>
  <c r="F10" i="7"/>
  <c r="L10" i="7" s="1"/>
  <c r="F5" i="7"/>
  <c r="L5" i="7" s="1"/>
  <c r="F11" i="7"/>
  <c r="L11" i="7" s="1"/>
  <c r="F8" i="7"/>
  <c r="L8" i="7" s="1"/>
  <c r="F12" i="7"/>
  <c r="L12" i="7" s="1"/>
  <c r="M6" i="7" l="1"/>
</calcChain>
</file>

<file path=xl/sharedStrings.xml><?xml version="1.0" encoding="utf-8"?>
<sst xmlns="http://schemas.openxmlformats.org/spreadsheetml/2006/main" count="237" uniqueCount="89">
  <si>
    <t>Data Point</t>
  </si>
  <si>
    <t xml:space="preserve"> Corr Factor</t>
  </si>
  <si>
    <t xml:space="preserve"> Length Scale</t>
  </si>
  <si>
    <t xml:space="preserve"> AmbPress</t>
  </si>
  <si>
    <t xml:space="preserve"> AmbTemp</t>
  </si>
  <si>
    <t xml:space="preserve"> Density</t>
  </si>
  <si>
    <t xml:space="preserve"> Viscosity</t>
  </si>
  <si>
    <t xml:space="preserve"> Motor Speed</t>
  </si>
  <si>
    <t xml:space="preserve"> Angle of Attack</t>
  </si>
  <si>
    <t xml:space="preserve"> Corrected q</t>
  </si>
  <si>
    <t xml:space="preserve"> Avg Velocity</t>
  </si>
  <si>
    <t xml:space="preserve"> Reynolds number</t>
  </si>
  <si>
    <t xml:space="preserve"> Axial Force</t>
  </si>
  <si>
    <t>Normal Force</t>
  </si>
  <si>
    <t xml:space="preserve"> Pitching Mom</t>
  </si>
  <si>
    <t>#</t>
  </si>
  <si>
    <t xml:space="preserve"> ND</t>
  </si>
  <si>
    <t xml:space="preserve"> [in]</t>
  </si>
  <si>
    <t xml:space="preserve"> [psia]</t>
  </si>
  <si>
    <t xml:space="preserve"> [R]</t>
  </si>
  <si>
    <t xml:space="preserve"> [slug/ft3]</t>
  </si>
  <si>
    <t xml:space="preserve"> [slug/ft s]</t>
  </si>
  <si>
    <t xml:space="preserve"> [RPM]</t>
  </si>
  <si>
    <t xml:space="preserve"> [deg]</t>
  </si>
  <si>
    <t xml:space="preserve"> [dpsi]</t>
  </si>
  <si>
    <t xml:space="preserve"> [ft/s]</t>
  </si>
  <si>
    <t xml:space="preserve"> [Lbf]</t>
  </si>
  <si>
    <t xml:space="preserve"> [in-Lbf]</t>
  </si>
  <si>
    <t> Corr Factor</t>
  </si>
  <si>
    <t> Length Scale</t>
  </si>
  <si>
    <t> AmbPress</t>
  </si>
  <si>
    <t> AmbTemp</t>
  </si>
  <si>
    <t> Density</t>
  </si>
  <si>
    <t> Viscosity</t>
  </si>
  <si>
    <t> Motor Speed</t>
  </si>
  <si>
    <t> Angle of Attack</t>
  </si>
  <si>
    <t> Corrected q</t>
  </si>
  <si>
    <t> Avg Velocity</t>
  </si>
  <si>
    <t> Reynolds number</t>
  </si>
  <si>
    <t> Axial Force</t>
  </si>
  <si>
    <t> Pitching Mom</t>
  </si>
  <si>
    <t> ND</t>
  </si>
  <si>
    <t> [in]</t>
  </si>
  <si>
    <t> [psia]</t>
  </si>
  <si>
    <t> [R]</t>
  </si>
  <si>
    <t> [slug/ft3]</t>
  </si>
  <si>
    <t> [slug/ft s]</t>
  </si>
  <si>
    <t> [RPM]</t>
  </si>
  <si>
    <t> [deg]</t>
  </si>
  <si>
    <t> [dpsi]</t>
  </si>
  <si>
    <t> [ft/s]</t>
  </si>
  <si>
    <t> [Lbf]</t>
  </si>
  <si>
    <t> [in-Lbf]</t>
  </si>
  <si>
    <t>Lift</t>
  </si>
  <si>
    <t xml:space="preserve">q_infy </t>
  </si>
  <si>
    <t>SI Unit Conversion</t>
  </si>
  <si>
    <t> [m]</t>
  </si>
  <si>
    <t> [Pa]</t>
  </si>
  <si>
    <t> [K]</t>
  </si>
  <si>
    <t> [kg/m3]</t>
  </si>
  <si>
    <t> [kg/m2]</t>
  </si>
  <si>
    <t> [m/s]</t>
  </si>
  <si>
    <t>[N]</t>
  </si>
  <si>
    <t>[rad]</t>
  </si>
  <si>
    <t>Drag</t>
  </si>
  <si>
    <t>Corrected Values</t>
  </si>
  <si>
    <t>40 Feet per Second</t>
  </si>
  <si>
    <t>C_L</t>
  </si>
  <si>
    <t>e</t>
  </si>
  <si>
    <t>Normal Force Correction</t>
  </si>
  <si>
    <t>Axial Force Correction</t>
  </si>
  <si>
    <t>S [ft^2]</t>
  </si>
  <si>
    <t>100 Feet per Second</t>
  </si>
  <si>
    <t>AOA</t>
  </si>
  <si>
    <t>C_D</t>
  </si>
  <si>
    <t>Moment [ft-Lbf]</t>
  </si>
  <si>
    <t>C_M</t>
  </si>
  <si>
    <t>L</t>
  </si>
  <si>
    <t>D</t>
  </si>
  <si>
    <t>40 ft/s</t>
  </si>
  <si>
    <t>100 ft/s</t>
  </si>
  <si>
    <t>L/D</t>
  </si>
  <si>
    <t>C_L/C_D</t>
  </si>
  <si>
    <t>Aerodynamic Function = Neutral Point</t>
  </si>
  <si>
    <t>Chord [in]</t>
  </si>
  <si>
    <t>Chord [ft]</t>
  </si>
  <si>
    <t>Cm/4</t>
  </si>
  <si>
    <t>Initial Guesses:</t>
  </si>
  <si>
    <t>Initial Guess: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</si>
</sst>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434532664983698E-3"/>
                  <c:y val="-6.0213247644782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ft'!$M$4:$M$17</c:f>
              <c:numCache>
                <c:formatCode>General</c:formatCode>
                <c:ptCount val="14"/>
                <c:pt idx="0">
                  <c:v>-1.5192015999999999E-2</c:v>
                </c:pt>
                <c:pt idx="1">
                  <c:v>5.1659100000000001E-3</c:v>
                </c:pt>
                <c:pt idx="2">
                  <c:v>1.375593E-2</c:v>
                </c:pt>
                <c:pt idx="3">
                  <c:v>3.1842640999999998E-2</c:v>
                </c:pt>
                <c:pt idx="4">
                  <c:v>4.2531185999999999E-2</c:v>
                </c:pt>
                <c:pt idx="5">
                  <c:v>6.1028901000000003E-2</c:v>
                </c:pt>
                <c:pt idx="6">
                  <c:v>7.7644585000000002E-2</c:v>
                </c:pt>
                <c:pt idx="7">
                  <c:v>9.1670415000000005E-2</c:v>
                </c:pt>
                <c:pt idx="8">
                  <c:v>0.106670732</c:v>
                </c:pt>
                <c:pt idx="9">
                  <c:v>0.121693384</c:v>
                </c:pt>
                <c:pt idx="10">
                  <c:v>0.14040672400000001</c:v>
                </c:pt>
                <c:pt idx="11">
                  <c:v>0.14839295299999999</c:v>
                </c:pt>
                <c:pt idx="12">
                  <c:v>0.166368092</c:v>
                </c:pt>
                <c:pt idx="13">
                  <c:v>0.18123803399999999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A54F-A6D8-947420450D0C}"/>
            </c:ext>
          </c:extLst>
        </c:ser>
        <c:ser>
          <c:idx val="1"/>
          <c:order val="1"/>
          <c:tx>
            <c:v>Normal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466541912666009E-4"/>
                  <c:y val="-6.7563938177498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ft'!$N$4:$N$17</c:f>
              <c:numCache>
                <c:formatCode>General</c:formatCode>
                <c:ptCount val="14"/>
                <c:pt idx="0">
                  <c:v>-0.171261893</c:v>
                </c:pt>
                <c:pt idx="1">
                  <c:v>-0.17065941500000001</c:v>
                </c:pt>
                <c:pt idx="2">
                  <c:v>-0.16969954600000001</c:v>
                </c:pt>
                <c:pt idx="3">
                  <c:v>-0.17027831399999999</c:v>
                </c:pt>
                <c:pt idx="4">
                  <c:v>-0.17194325599999999</c:v>
                </c:pt>
                <c:pt idx="5">
                  <c:v>-0.17030889599999999</c:v>
                </c:pt>
                <c:pt idx="6">
                  <c:v>-0.168215171</c:v>
                </c:pt>
                <c:pt idx="7">
                  <c:v>-0.168044159</c:v>
                </c:pt>
                <c:pt idx="8">
                  <c:v>-0.165797153</c:v>
                </c:pt>
                <c:pt idx="9">
                  <c:v>-0.16287696900000001</c:v>
                </c:pt>
                <c:pt idx="10">
                  <c:v>-0.16196244800000001</c:v>
                </c:pt>
                <c:pt idx="11">
                  <c:v>-0.16062653199999999</c:v>
                </c:pt>
                <c:pt idx="12">
                  <c:v>-0.15785618800000001</c:v>
                </c:pt>
                <c:pt idx="13">
                  <c:v>-0.15278182400000001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5-A54F-A6D8-947420450D0C}"/>
            </c:ext>
          </c:extLst>
        </c:ser>
        <c:ser>
          <c:idx val="2"/>
          <c:order val="2"/>
          <c:tx>
            <c:v>Pitching Moment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79768081985143E-3"/>
                  <c:y val="-4.186675095048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ft'!$O$4:$O$17</c:f>
              <c:numCache>
                <c:formatCode>General</c:formatCode>
                <c:ptCount val="14"/>
                <c:pt idx="0">
                  <c:v>-0.47007560799999998</c:v>
                </c:pt>
                <c:pt idx="1">
                  <c:v>-0.46786025999999997</c:v>
                </c:pt>
                <c:pt idx="2">
                  <c:v>-0.465069332</c:v>
                </c:pt>
                <c:pt idx="3">
                  <c:v>-0.46292932799999997</c:v>
                </c:pt>
                <c:pt idx="4">
                  <c:v>-0.46134146300000001</c:v>
                </c:pt>
                <c:pt idx="5">
                  <c:v>-0.45797360100000001</c:v>
                </c:pt>
                <c:pt idx="6">
                  <c:v>-0.45451848099999997</c:v>
                </c:pt>
                <c:pt idx="7">
                  <c:v>-0.450870196</c:v>
                </c:pt>
                <c:pt idx="8">
                  <c:v>-0.44937065399999998</c:v>
                </c:pt>
                <c:pt idx="9">
                  <c:v>-0.44192954000000001</c:v>
                </c:pt>
                <c:pt idx="10">
                  <c:v>-0.43975337599999997</c:v>
                </c:pt>
                <c:pt idx="11">
                  <c:v>-0.43327860600000001</c:v>
                </c:pt>
                <c:pt idx="12">
                  <c:v>-0.43001637199999998</c:v>
                </c:pt>
                <c:pt idx="13">
                  <c:v>-0.42002785100000001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5-A54F-A6D8-94742045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9679"/>
        <c:axId val="1191394927"/>
      </c:scatterChart>
      <c:valAx>
        <c:axId val="4249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927"/>
        <c:crosses val="autoZero"/>
        <c:crossBetween val="midCat"/>
      </c:valAx>
      <c:valAx>
        <c:axId val="1191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'!$U$7:$U$20</c:f>
              <c:numCache>
                <c:formatCode>General</c:formatCode>
                <c:ptCount val="14"/>
                <c:pt idx="0">
                  <c:v>4.3966249999999943E-3</c:v>
                </c:pt>
                <c:pt idx="1">
                  <c:v>-6.3917349999999991E-3</c:v>
                </c:pt>
                <c:pt idx="2">
                  <c:v>-1.9044120000000001E-2</c:v>
                </c:pt>
                <c:pt idx="3">
                  <c:v>-3.1022428999999997E-2</c:v>
                </c:pt>
                <c:pt idx="4">
                  <c:v>-5.1048100999999985E-2</c:v>
                </c:pt>
                <c:pt idx="5">
                  <c:v>-6.4609258500000002E-2</c:v>
                </c:pt>
                <c:pt idx="6">
                  <c:v>-7.1797063500000008E-2</c:v>
                </c:pt>
                <c:pt idx="7">
                  <c:v>-7.769609999999999E-2</c:v>
                </c:pt>
                <c:pt idx="8">
                  <c:v>-7.7083469999999987E-2</c:v>
                </c:pt>
                <c:pt idx="9">
                  <c:v>-8.0517818500000005E-2</c:v>
                </c:pt>
                <c:pt idx="10">
                  <c:v>-7.6937706000000022E-2</c:v>
                </c:pt>
                <c:pt idx="11">
                  <c:v>-8.2917463499999983E-2</c:v>
                </c:pt>
                <c:pt idx="12">
                  <c:v>-8.7326085499999984E-2</c:v>
                </c:pt>
                <c:pt idx="13">
                  <c:v>-9.2916998999999972E-2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D-804E-840D-A23F77640EFD}"/>
            </c:ext>
          </c:extLst>
        </c:ser>
        <c:ser>
          <c:idx val="1"/>
          <c:order val="1"/>
          <c:tx>
            <c:v>1.9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'!$V$7:$V$20</c:f>
              <c:numCache>
                <c:formatCode>General</c:formatCode>
                <c:ptCount val="14"/>
                <c:pt idx="0">
                  <c:v>2.7484499999999995E-3</c:v>
                </c:pt>
                <c:pt idx="1">
                  <c:v>-7.2985899999999972E-3</c:v>
                </c:pt>
                <c:pt idx="2">
                  <c:v>-1.9140910000000001E-2</c:v>
                </c:pt>
                <c:pt idx="3">
                  <c:v>-3.0089655999999999E-2</c:v>
                </c:pt>
                <c:pt idx="4">
                  <c:v>-4.9246423999999997E-2</c:v>
                </c:pt>
                <c:pt idx="5">
                  <c:v>-6.1783429000000015E-2</c:v>
                </c:pt>
                <c:pt idx="6">
                  <c:v>-6.8188289000000041E-2</c:v>
                </c:pt>
                <c:pt idx="7">
                  <c:v>-7.3356480000000002E-2</c:v>
                </c:pt>
                <c:pt idx="8">
                  <c:v>-7.2125889999999998E-2</c:v>
                </c:pt>
                <c:pt idx="9">
                  <c:v>-7.5271559000000016E-2</c:v>
                </c:pt>
                <c:pt idx="10">
                  <c:v>-7.1686514000000034E-2</c:v>
                </c:pt>
                <c:pt idx="11">
                  <c:v>-7.7273048999999983E-2</c:v>
                </c:pt>
                <c:pt idx="12">
                  <c:v>-8.1214737000000009E-2</c:v>
                </c:pt>
                <c:pt idx="13">
                  <c:v>-8.6356825999999998E-2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D-804E-840D-A23F77640EFD}"/>
            </c:ext>
          </c:extLst>
        </c:ser>
        <c:ser>
          <c:idx val="2"/>
          <c:order val="2"/>
          <c:tx>
            <c:v>1.8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'!$T$7:$T$20</c:f>
              <c:numCache>
                <c:formatCode>General</c:formatCode>
                <c:ptCount val="14"/>
                <c:pt idx="0">
                  <c:v>6.044799999999996E-3</c:v>
                </c:pt>
                <c:pt idx="1">
                  <c:v>-5.484880000000001E-3</c:v>
                </c:pt>
                <c:pt idx="2">
                  <c:v>-1.8947329999999998E-2</c:v>
                </c:pt>
                <c:pt idx="3">
                  <c:v>-3.1955201999999995E-2</c:v>
                </c:pt>
                <c:pt idx="4">
                  <c:v>-5.2849777999999986E-2</c:v>
                </c:pt>
                <c:pt idx="5">
                  <c:v>-6.7435088000000004E-2</c:v>
                </c:pt>
                <c:pt idx="6">
                  <c:v>-7.5405838000000031E-2</c:v>
                </c:pt>
                <c:pt idx="7">
                  <c:v>-8.2035720000000006E-2</c:v>
                </c:pt>
                <c:pt idx="8">
                  <c:v>-8.2041049999999976E-2</c:v>
                </c:pt>
                <c:pt idx="9">
                  <c:v>-8.5764077999999994E-2</c:v>
                </c:pt>
                <c:pt idx="10">
                  <c:v>-8.2188898000000038E-2</c:v>
                </c:pt>
                <c:pt idx="11">
                  <c:v>-8.8561877999999983E-2</c:v>
                </c:pt>
                <c:pt idx="12">
                  <c:v>-9.3437434000000014E-2</c:v>
                </c:pt>
                <c:pt idx="13">
                  <c:v>-9.9477171999999975E-2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D-804E-840D-A23F77640EFD}"/>
            </c:ext>
          </c:extLst>
        </c:ser>
        <c:ser>
          <c:idx val="3"/>
          <c:order val="3"/>
          <c:tx>
            <c:v>1.95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'!$W$7:$W$20</c:f>
              <c:numCache>
                <c:formatCode>General</c:formatCode>
                <c:ptCount val="14"/>
                <c:pt idx="0">
                  <c:v>1.1002749999999978E-3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-4.7444746999999995E-2</c:v>
                </c:pt>
                <c:pt idx="5">
                  <c:v>-5.8957599500000013E-2</c:v>
                </c:pt>
                <c:pt idx="6">
                  <c:v>-6.4579514500000018E-2</c:v>
                </c:pt>
                <c:pt idx="7">
                  <c:v>-6.9016860000000013E-2</c:v>
                </c:pt>
                <c:pt idx="8">
                  <c:v>-6.7168310000000009E-2</c:v>
                </c:pt>
                <c:pt idx="9">
                  <c:v>-7.0025299500000027E-2</c:v>
                </c:pt>
                <c:pt idx="10">
                  <c:v>-6.6435322000000047E-2</c:v>
                </c:pt>
                <c:pt idx="11">
                  <c:v>-7.1628634499999982E-2</c:v>
                </c:pt>
                <c:pt idx="12">
                  <c:v>-7.5103388500000007E-2</c:v>
                </c:pt>
                <c:pt idx="13">
                  <c:v>-7.9796652999999995E-2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D-804E-840D-A23F77640EFD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'!$X$7:$X$20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8D-804E-840D-A23F77640EFD}"/>
            </c:ext>
          </c:extLst>
        </c:ser>
        <c:ser>
          <c:idx val="5"/>
          <c:order val="5"/>
          <c:tx>
            <c:v>2.05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'!$Y$7:$Y$20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8D-804E-840D-A23F77640EFD}"/>
            </c:ext>
          </c:extLst>
        </c:ser>
        <c:ser>
          <c:idx val="6"/>
          <c:order val="6"/>
          <c:tx>
            <c:v>2.1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'!$Z$7:$Z$20</c:f>
              <c:numCache>
                <c:formatCode>General</c:formatCode>
                <c:ptCount val="14"/>
                <c:pt idx="0">
                  <c:v>-3.8442500000000074E-3</c:v>
                </c:pt>
                <c:pt idx="1">
                  <c:v>-1.0926010000000003E-2</c:v>
                </c:pt>
                <c:pt idx="2">
                  <c:v>-1.9528070000000002E-2</c:v>
                </c:pt>
                <c:pt idx="3">
                  <c:v>-2.6358563999999994E-2</c:v>
                </c:pt>
                <c:pt idx="4">
                  <c:v>-4.2039715999999991E-2</c:v>
                </c:pt>
                <c:pt idx="5">
                  <c:v>-5.0480111000000008E-2</c:v>
                </c:pt>
                <c:pt idx="6">
                  <c:v>-5.3753191000000006E-2</c:v>
                </c:pt>
                <c:pt idx="7">
                  <c:v>-5.5997999999999992E-2</c:v>
                </c:pt>
                <c:pt idx="8">
                  <c:v>-5.2295569999999986E-2</c:v>
                </c:pt>
                <c:pt idx="9">
                  <c:v>-5.4286521000000004E-2</c:v>
                </c:pt>
                <c:pt idx="10">
                  <c:v>-5.0681746000000027E-2</c:v>
                </c:pt>
                <c:pt idx="11">
                  <c:v>-5.4695390999999982E-2</c:v>
                </c:pt>
                <c:pt idx="12">
                  <c:v>-5.6769342999999972E-2</c:v>
                </c:pt>
                <c:pt idx="13">
                  <c:v>-6.0116133999999988E-2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8D-804E-840D-A23F77640EFD}"/>
            </c:ext>
          </c:extLst>
        </c:ser>
        <c:ser>
          <c:idx val="7"/>
          <c:order val="7"/>
          <c:tx>
            <c:v>2.15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'!$AB$7:$AB$20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8D-804E-840D-A23F77640EFD}"/>
            </c:ext>
          </c:extLst>
        </c:ser>
        <c:ser>
          <c:idx val="8"/>
          <c:order val="8"/>
          <c:tx>
            <c:v>2.2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'!$AB$7:$AB$20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8D-804E-840D-A23F77640EFD}"/>
            </c:ext>
          </c:extLst>
        </c:ser>
        <c:ser>
          <c:idx val="9"/>
          <c:order val="9"/>
          <c:tx>
            <c:v>2.25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-8.7887749999999987E-3</c:v>
                </c:pt>
                <c:pt idx="1">
                  <c:v>-1.3646574999999998E-2</c:v>
                </c:pt>
                <c:pt idx="2">
                  <c:v>-1.981844E-2</c:v>
                </c:pt>
                <c:pt idx="3">
                  <c:v>-2.3560244999999994E-2</c:v>
                </c:pt>
                <c:pt idx="4">
                  <c:v>-3.6634684999999986E-2</c:v>
                </c:pt>
                <c:pt idx="5">
                  <c:v>-4.2002622500000003E-2</c:v>
                </c:pt>
                <c:pt idx="6">
                  <c:v>-4.2926867500000021E-2</c:v>
                </c:pt>
                <c:pt idx="7">
                  <c:v>-4.2979139999999999E-2</c:v>
                </c:pt>
                <c:pt idx="8">
                  <c:v>-3.742282999999999E-2</c:v>
                </c:pt>
                <c:pt idx="9">
                  <c:v>-3.854774250000001E-2</c:v>
                </c:pt>
                <c:pt idx="10">
                  <c:v>-3.4928170000000036E-2</c:v>
                </c:pt>
                <c:pt idx="11">
                  <c:v>-3.776214750000001E-2</c:v>
                </c:pt>
                <c:pt idx="12">
                  <c:v>-3.8435297500000021E-2</c:v>
                </c:pt>
                <c:pt idx="13">
                  <c:v>-4.043561499999998E-2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8D-804E-840D-A23F77640EFD}"/>
            </c:ext>
          </c:extLst>
        </c:ser>
        <c:ser>
          <c:idx val="10"/>
          <c:order val="10"/>
          <c:tx>
            <c:v>2.3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'!$AD$7:$AD$20</c:f>
              <c:numCache>
                <c:formatCode>General</c:formatCode>
                <c:ptCount val="14"/>
                <c:pt idx="0">
                  <c:v>-1.043695E-2</c:v>
                </c:pt>
                <c:pt idx="1">
                  <c:v>-1.4553429999999996E-2</c:v>
                </c:pt>
                <c:pt idx="2">
                  <c:v>-1.9915229999999999E-2</c:v>
                </c:pt>
                <c:pt idx="3">
                  <c:v>-2.2627472000000003E-2</c:v>
                </c:pt>
                <c:pt idx="4">
                  <c:v>-3.4833007999999999E-2</c:v>
                </c:pt>
                <c:pt idx="5">
                  <c:v>-3.9176793000000015E-2</c:v>
                </c:pt>
                <c:pt idx="6">
                  <c:v>-3.9318093000000026E-2</c:v>
                </c:pt>
                <c:pt idx="7">
                  <c:v>-3.8639520000000011E-2</c:v>
                </c:pt>
                <c:pt idx="8">
                  <c:v>-3.2465250000000001E-2</c:v>
                </c:pt>
                <c:pt idx="9">
                  <c:v>-3.3301483000000021E-2</c:v>
                </c:pt>
                <c:pt idx="10">
                  <c:v>-2.9676978000000048E-2</c:v>
                </c:pt>
                <c:pt idx="11">
                  <c:v>-3.2117732999999982E-2</c:v>
                </c:pt>
                <c:pt idx="12">
                  <c:v>-3.2323949000000018E-2</c:v>
                </c:pt>
                <c:pt idx="13">
                  <c:v>-3.3875442000000033E-2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98D-804E-840D-A23F77640EFD}"/>
            </c:ext>
          </c:extLst>
        </c:ser>
        <c:ser>
          <c:idx val="11"/>
          <c:order val="11"/>
          <c:tx>
            <c:v>2.35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'!$AE$7:$AE$20</c:f>
              <c:numCache>
                <c:formatCode>General</c:formatCode>
                <c:ptCount val="14"/>
                <c:pt idx="0">
                  <c:v>-1.2085125000000002E-2</c:v>
                </c:pt>
                <c:pt idx="1">
                  <c:v>-1.5460285000000001E-2</c:v>
                </c:pt>
                <c:pt idx="2">
                  <c:v>-2.0012019999999998E-2</c:v>
                </c:pt>
                <c:pt idx="3">
                  <c:v>-2.1694698999999998E-2</c:v>
                </c:pt>
                <c:pt idx="4">
                  <c:v>-3.3031330999999983E-2</c:v>
                </c:pt>
                <c:pt idx="5">
                  <c:v>-3.63509635E-2</c:v>
                </c:pt>
                <c:pt idx="6">
                  <c:v>-3.5709318500000031E-2</c:v>
                </c:pt>
                <c:pt idx="7">
                  <c:v>-3.4299899999999994E-2</c:v>
                </c:pt>
                <c:pt idx="8">
                  <c:v>-2.7507669999999984E-2</c:v>
                </c:pt>
                <c:pt idx="9">
                  <c:v>-2.8055223500000004E-2</c:v>
                </c:pt>
                <c:pt idx="10">
                  <c:v>-2.4425786000000033E-2</c:v>
                </c:pt>
                <c:pt idx="11">
                  <c:v>-2.6473318499999954E-2</c:v>
                </c:pt>
                <c:pt idx="12">
                  <c:v>-2.6212600500000016E-2</c:v>
                </c:pt>
                <c:pt idx="13">
                  <c:v>-2.7315268999999975E-2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98D-804E-840D-A23F77640EFD}"/>
            </c:ext>
          </c:extLst>
        </c:ser>
        <c:ser>
          <c:idx val="12"/>
          <c:order val="12"/>
          <c:tx>
            <c:v>2.4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'!$AF$7:$AF$20</c:f>
              <c:numCache>
                <c:formatCode>General</c:formatCode>
                <c:ptCount val="14"/>
                <c:pt idx="0">
                  <c:v>-1.3733300000000004E-2</c:v>
                </c:pt>
                <c:pt idx="1">
                  <c:v>-1.6367139999999999E-2</c:v>
                </c:pt>
                <c:pt idx="2">
                  <c:v>-2.0108810000000001E-2</c:v>
                </c:pt>
                <c:pt idx="3">
                  <c:v>-2.0761926E-2</c:v>
                </c:pt>
                <c:pt idx="4">
                  <c:v>-3.1229653999999996E-2</c:v>
                </c:pt>
                <c:pt idx="5">
                  <c:v>-3.3525134000000012E-2</c:v>
                </c:pt>
                <c:pt idx="6">
                  <c:v>-3.2100544000000036E-2</c:v>
                </c:pt>
                <c:pt idx="7">
                  <c:v>-2.9960280000000006E-2</c:v>
                </c:pt>
                <c:pt idx="8">
                  <c:v>-2.2550089999999995E-2</c:v>
                </c:pt>
                <c:pt idx="9">
                  <c:v>-2.2808964000000043E-2</c:v>
                </c:pt>
                <c:pt idx="10">
                  <c:v>-1.9174594000000045E-2</c:v>
                </c:pt>
                <c:pt idx="11">
                  <c:v>-2.0828903999999981E-2</c:v>
                </c:pt>
                <c:pt idx="12">
                  <c:v>-2.0101252000000014E-2</c:v>
                </c:pt>
                <c:pt idx="13">
                  <c:v>-2.0755096000000028E-2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98D-804E-840D-A23F7764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76976"/>
        <c:axId val="886029871"/>
      </c:scatterChart>
      <c:valAx>
        <c:axId val="389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29871"/>
        <c:crosses val="autoZero"/>
        <c:crossBetween val="midCat"/>
      </c:valAx>
      <c:valAx>
        <c:axId val="8860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</a:t>
            </a:r>
            <a:r>
              <a:rPr lang="en-US" baseline="0"/>
              <a:t> Moment vs Angle of Attack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Series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cat>
          <c:val>
            <c:numRef>
              <c:f>'40 ft '!$P$24:$P$37</c:f>
              <c:numCache>
                <c:formatCode>General</c:formatCode>
                <c:ptCount val="14"/>
                <c:pt idx="0">
                  <c:v>-2.0326000000000011E-2</c:v>
                </c:pt>
                <c:pt idx="1">
                  <c:v>-1.9994560000000005E-2</c:v>
                </c:pt>
                <c:pt idx="2">
                  <c:v>-2.0495970000000002E-2</c:v>
                </c:pt>
                <c:pt idx="3">
                  <c:v>-1.7030833999999995E-2</c:v>
                </c:pt>
                <c:pt idx="4">
                  <c:v>-2.4022945999999989E-2</c:v>
                </c:pt>
                <c:pt idx="5">
                  <c:v>-2.2221816000000005E-2</c:v>
                </c:pt>
                <c:pt idx="6">
                  <c:v>-1.7665446000000029E-2</c:v>
                </c:pt>
                <c:pt idx="7">
                  <c:v>-1.2601799999999996E-2</c:v>
                </c:pt>
                <c:pt idx="8">
                  <c:v>-2.7197699999999547E-3</c:v>
                </c:pt>
                <c:pt idx="9">
                  <c:v>-1.8239259999999757E-3</c:v>
                </c:pt>
                <c:pt idx="10">
                  <c:v>1.8301739999999622E-3</c:v>
                </c:pt>
                <c:pt idx="11">
                  <c:v>1.748754000000019E-3</c:v>
                </c:pt>
                <c:pt idx="12">
                  <c:v>4.3441419999999953E-3</c:v>
                </c:pt>
                <c:pt idx="13">
                  <c:v>5.485596000000037E-3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3-4925-A992-AB3CE0748DF1}"/>
            </c:ext>
          </c:extLst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ft '!$Q$24:$Q$37</c:f>
              <c:numCache>
                <c:formatCode>General</c:formatCode>
                <c:ptCount val="14"/>
                <c:pt idx="0">
                  <c:v>-2.1974174999999999E-2</c:v>
                </c:pt>
                <c:pt idx="1">
                  <c:v>-2.0901414999999996E-2</c:v>
                </c:pt>
                <c:pt idx="2">
                  <c:v>-2.0592760000000002E-2</c:v>
                </c:pt>
                <c:pt idx="3">
                  <c:v>-1.6098060999999997E-2</c:v>
                </c:pt>
                <c:pt idx="4">
                  <c:v>-2.2221269000000002E-2</c:v>
                </c:pt>
                <c:pt idx="5">
                  <c:v>-1.9395986500000018E-2</c:v>
                </c:pt>
                <c:pt idx="6">
                  <c:v>-1.4056671500000034E-2</c:v>
                </c:pt>
                <c:pt idx="7">
                  <c:v>-8.2621800000000079E-3</c:v>
                </c:pt>
                <c:pt idx="8">
                  <c:v>2.2378100000000067E-3</c:v>
                </c:pt>
                <c:pt idx="9">
                  <c:v>3.4223334999999855E-3</c:v>
                </c:pt>
                <c:pt idx="10">
                  <c:v>7.0813659999999778E-3</c:v>
                </c:pt>
                <c:pt idx="11">
                  <c:v>7.3931684999999914E-3</c:v>
                </c:pt>
                <c:pt idx="12">
                  <c:v>1.0455490499999998E-2</c:v>
                </c:pt>
                <c:pt idx="13">
                  <c:v>1.2045768999999984E-2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03-4925-A992-AB3CE0748DF1}"/>
            </c:ext>
          </c:extLst>
        </c:ser>
        <c:ser>
          <c:idx val="2"/>
          <c:order val="2"/>
          <c:tx>
            <c:v>Series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 ft '!$R$24:$R$37</c:f>
              <c:numCache>
                <c:formatCode>General</c:formatCode>
                <c:ptCount val="14"/>
                <c:pt idx="0">
                  <c:v>-2.3622350000000014E-2</c:v>
                </c:pt>
                <c:pt idx="1">
                  <c:v>-2.1808270000000001E-2</c:v>
                </c:pt>
                <c:pt idx="2">
                  <c:v>-2.0689550000000001E-2</c:v>
                </c:pt>
                <c:pt idx="3">
                  <c:v>-1.5165287999999992E-2</c:v>
                </c:pt>
                <c:pt idx="4">
                  <c:v>-2.0419591999999986E-2</c:v>
                </c:pt>
                <c:pt idx="5">
                  <c:v>-1.6570157000000002E-2</c:v>
                </c:pt>
                <c:pt idx="6">
                  <c:v>-1.0447897000000012E-2</c:v>
                </c:pt>
                <c:pt idx="7">
                  <c:v>-3.9225599999999639E-3</c:v>
                </c:pt>
                <c:pt idx="8">
                  <c:v>7.1953900000000237E-3</c:v>
                </c:pt>
                <c:pt idx="9">
                  <c:v>8.6685930000000022E-3</c:v>
                </c:pt>
                <c:pt idx="10">
                  <c:v>1.2332557999999993E-2</c:v>
                </c:pt>
                <c:pt idx="11">
                  <c:v>1.3037583000000019E-2</c:v>
                </c:pt>
                <c:pt idx="12">
                  <c:v>1.6566839E-2</c:v>
                </c:pt>
                <c:pt idx="13">
                  <c:v>1.8605942000000042E-2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03-4925-A992-AB3CE0748DF1}"/>
            </c:ext>
          </c:extLst>
        </c:ser>
        <c:ser>
          <c:idx val="3"/>
          <c:order val="3"/>
          <c:tx>
            <c:v>Series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 ft '!$S$24:$S$37</c:f>
              <c:numCache>
                <c:formatCode>General</c:formatCode>
                <c:ptCount val="14"/>
                <c:pt idx="0">
                  <c:v>-2.5270525000000002E-2</c:v>
                </c:pt>
                <c:pt idx="1">
                  <c:v>-2.2715124999999999E-2</c:v>
                </c:pt>
                <c:pt idx="2">
                  <c:v>-2.078634E-2</c:v>
                </c:pt>
                <c:pt idx="3">
                  <c:v>-1.4232515000000001E-2</c:v>
                </c:pt>
                <c:pt idx="4">
                  <c:v>-1.8617914999999999E-2</c:v>
                </c:pt>
                <c:pt idx="5">
                  <c:v>-1.3744327500000014E-2</c:v>
                </c:pt>
                <c:pt idx="6">
                  <c:v>-6.8391225000000166E-3</c:v>
                </c:pt>
                <c:pt idx="7">
                  <c:v>4.1705999999999688E-4</c:v>
                </c:pt>
                <c:pt idx="8">
                  <c:v>1.2152970000000041E-2</c:v>
                </c:pt>
                <c:pt idx="9">
                  <c:v>1.3914852500000019E-2</c:v>
                </c:pt>
                <c:pt idx="10">
                  <c:v>1.7583749999999954E-2</c:v>
                </c:pt>
                <c:pt idx="11">
                  <c:v>1.8681997500000047E-2</c:v>
                </c:pt>
                <c:pt idx="12">
                  <c:v>2.2678187500000002E-2</c:v>
                </c:pt>
                <c:pt idx="13">
                  <c:v>2.5166114999999989E-2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03-4925-A992-AB3CE0748DF1}"/>
            </c:ext>
          </c:extLst>
        </c:ser>
        <c:ser>
          <c:idx val="4"/>
          <c:order val="4"/>
          <c:tx>
            <c:v>Series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 ft '!$T$24:$T$37</c:f>
              <c:numCache>
                <c:formatCode>General</c:formatCode>
                <c:ptCount val="14"/>
                <c:pt idx="0">
                  <c:v>-2.6918700000000004E-2</c:v>
                </c:pt>
                <c:pt idx="1">
                  <c:v>-2.3621979999999997E-2</c:v>
                </c:pt>
                <c:pt idx="2">
                  <c:v>-2.088313E-2</c:v>
                </c:pt>
                <c:pt idx="3">
                  <c:v>-1.3299742000000003E-2</c:v>
                </c:pt>
                <c:pt idx="4">
                  <c:v>-1.6816237999999997E-2</c:v>
                </c:pt>
                <c:pt idx="5">
                  <c:v>-1.0918498000000026E-2</c:v>
                </c:pt>
                <c:pt idx="6">
                  <c:v>-3.2303480000000495E-3</c:v>
                </c:pt>
                <c:pt idx="7">
                  <c:v>4.7566799999999854E-3</c:v>
                </c:pt>
                <c:pt idx="8">
                  <c:v>1.7110550000000002E-2</c:v>
                </c:pt>
                <c:pt idx="9">
                  <c:v>1.916111199999998E-2</c:v>
                </c:pt>
                <c:pt idx="10">
                  <c:v>2.2834941999999969E-2</c:v>
                </c:pt>
                <c:pt idx="11">
                  <c:v>2.4326412000000019E-2</c:v>
                </c:pt>
                <c:pt idx="12">
                  <c:v>2.8789536000000004E-2</c:v>
                </c:pt>
                <c:pt idx="13">
                  <c:v>3.1726287999999991E-2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03-4925-A992-AB3CE0748DF1}"/>
            </c:ext>
          </c:extLst>
        </c:ser>
        <c:ser>
          <c:idx val="5"/>
          <c:order val="5"/>
          <c:tx>
            <c:v>Series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 ft '!$U$24:$U$37</c:f>
              <c:numCache>
                <c:formatCode>General</c:formatCode>
                <c:ptCount val="14"/>
                <c:pt idx="0">
                  <c:v>-2.8566875000000005E-2</c:v>
                </c:pt>
                <c:pt idx="1">
                  <c:v>-2.4528835000000002E-2</c:v>
                </c:pt>
                <c:pt idx="2">
                  <c:v>-2.0979919999999999E-2</c:v>
                </c:pt>
                <c:pt idx="3">
                  <c:v>-1.2366968999999998E-2</c:v>
                </c:pt>
                <c:pt idx="4">
                  <c:v>-1.5014560999999982E-2</c:v>
                </c:pt>
                <c:pt idx="5">
                  <c:v>-8.0926685000000109E-3</c:v>
                </c:pt>
                <c:pt idx="6">
                  <c:v>3.7842649999997313E-4</c:v>
                </c:pt>
                <c:pt idx="7">
                  <c:v>9.0963000000000294E-3</c:v>
                </c:pt>
                <c:pt idx="8">
                  <c:v>2.2068130000000019E-2</c:v>
                </c:pt>
                <c:pt idx="9">
                  <c:v>2.4407371499999997E-2</c:v>
                </c:pt>
                <c:pt idx="10">
                  <c:v>2.8086133999999985E-2</c:v>
                </c:pt>
                <c:pt idx="11">
                  <c:v>2.9970826500000047E-2</c:v>
                </c:pt>
                <c:pt idx="12">
                  <c:v>3.4900884500000007E-2</c:v>
                </c:pt>
                <c:pt idx="13">
                  <c:v>3.8286460999999994E-2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03-4925-A992-AB3CE0748DF1}"/>
            </c:ext>
          </c:extLst>
        </c:ser>
        <c:ser>
          <c:idx val="6"/>
          <c:order val="6"/>
          <c:tx>
            <c:v>Series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 ft '!$V$24:$V$37</c:f>
              <c:numCache>
                <c:formatCode>General</c:formatCode>
                <c:ptCount val="14"/>
                <c:pt idx="0">
                  <c:v>-3.0215050000000007E-2</c:v>
                </c:pt>
                <c:pt idx="1">
                  <c:v>-2.543569E-2</c:v>
                </c:pt>
                <c:pt idx="2">
                  <c:v>-2.1076709999999999E-2</c:v>
                </c:pt>
                <c:pt idx="3">
                  <c:v>-1.1434196000000001E-2</c:v>
                </c:pt>
                <c:pt idx="4">
                  <c:v>-1.3212883999999994E-2</c:v>
                </c:pt>
                <c:pt idx="5">
                  <c:v>-5.2668390000000231E-3</c:v>
                </c:pt>
                <c:pt idx="6">
                  <c:v>3.987200999999968E-3</c:v>
                </c:pt>
                <c:pt idx="7">
                  <c:v>1.343591999999999E-2</c:v>
                </c:pt>
                <c:pt idx="8">
                  <c:v>2.7025709999999981E-2</c:v>
                </c:pt>
                <c:pt idx="9">
                  <c:v>2.9653630999999958E-2</c:v>
                </c:pt>
                <c:pt idx="10">
                  <c:v>3.3337325999999945E-2</c:v>
                </c:pt>
                <c:pt idx="11">
                  <c:v>3.561524100000002E-2</c:v>
                </c:pt>
                <c:pt idx="12">
                  <c:v>4.1012233000000009E-2</c:v>
                </c:pt>
                <c:pt idx="13">
                  <c:v>4.4846633999999996E-2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03-4925-A992-AB3CE0748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13984"/>
        <c:axId val="1115691520"/>
      </c:lineChart>
      <c:catAx>
        <c:axId val="111571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91520"/>
        <c:crosses val="autoZero"/>
        <c:auto val="1"/>
        <c:lblAlgn val="ctr"/>
        <c:lblOffset val="100"/>
        <c:noMultiLvlLbl val="0"/>
      </c:catAx>
      <c:valAx>
        <c:axId val="1115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 Moment at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Moment vs Angle</a:t>
            </a:r>
            <a:r>
              <a:rPr lang="en-US" baseline="0"/>
              <a:t> of Attack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ft'!$Q$4:$Q$17</c:f>
              <c:numCache>
                <c:formatCode>General</c:formatCode>
                <c:ptCount val="14"/>
                <c:pt idx="0">
                  <c:v>5.2995999999999599E-3</c:v>
                </c:pt>
                <c:pt idx="1">
                  <c:v>-1.2956275000000017E-2</c:v>
                </c:pt>
                <c:pt idx="2">
                  <c:v>-3.75546E-2</c:v>
                </c:pt>
                <c:pt idx="3">
                  <c:v>-5.9284287500000032E-2</c:v>
                </c:pt>
                <c:pt idx="4">
                  <c:v>-8.6139292500000075E-2</c:v>
                </c:pt>
                <c:pt idx="5">
                  <c:v>-8.9101569999999963E-2</c:v>
                </c:pt>
                <c:pt idx="6">
                  <c:v>-8.3978132499999969E-2</c:v>
                </c:pt>
                <c:pt idx="7">
                  <c:v>-6.6769007500000033E-2</c:v>
                </c:pt>
                <c:pt idx="8">
                  <c:v>-4.7626614999999983E-2</c:v>
                </c:pt>
                <c:pt idx="9">
                  <c:v>-2.7402557499999869E-2</c:v>
                </c:pt>
                <c:pt idx="10">
                  <c:v>-1.9455592500000174E-2</c:v>
                </c:pt>
                <c:pt idx="11">
                  <c:v>-2.5762765000000076E-2</c:v>
                </c:pt>
                <c:pt idx="12">
                  <c:v>-3.124994999999986E-2</c:v>
                </c:pt>
                <c:pt idx="13">
                  <c:v>-2.8058299999999869E-2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6-4CB0-A785-09A8B97113A6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ft'!$R$4:$R$17</c:f>
              <c:numCache>
                <c:formatCode>General</c:formatCode>
                <c:ptCount val="14"/>
                <c:pt idx="0">
                  <c:v>-7.1574199999999699E-3</c:v>
                </c:pt>
                <c:pt idx="1">
                  <c:v>-2.0025409999999966E-2</c:v>
                </c:pt>
                <c:pt idx="2">
                  <c:v>-3.8697819999999994E-2</c:v>
                </c:pt>
                <c:pt idx="3">
                  <c:v>-5.5443573000000024E-2</c:v>
                </c:pt>
                <c:pt idx="4">
                  <c:v>-7.580543100000009E-2</c:v>
                </c:pt>
                <c:pt idx="5">
                  <c:v>-7.2630244000000066E-2</c:v>
                </c:pt>
                <c:pt idx="6">
                  <c:v>-6.1107005000000214E-2</c:v>
                </c:pt>
                <c:pt idx="7">
                  <c:v>-3.8910371000000055E-2</c:v>
                </c:pt>
                <c:pt idx="8">
                  <c:v>-1.8467634000000066E-2</c:v>
                </c:pt>
                <c:pt idx="9">
                  <c:v>3.343521000000127E-3</c:v>
                </c:pt>
                <c:pt idx="10">
                  <c:v>1.2363386999999726E-2</c:v>
                </c:pt>
                <c:pt idx="11">
                  <c:v>6.4463399999998838E-3</c:v>
                </c:pt>
                <c:pt idx="12">
                  <c:v>1.8348939999999203E-3</c:v>
                </c:pt>
                <c:pt idx="13">
                  <c:v>7.4353480000000083E-3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6-4CB0-A785-09A8B97113A6}"/>
            </c:ext>
          </c:extLst>
        </c:ser>
        <c:ser>
          <c:idx val="2"/>
          <c:order val="2"/>
          <c:tx>
            <c:v>Series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ft'!$S$4:$S$17</c:f>
              <c:numCache>
                <c:formatCode>General</c:formatCode>
                <c:ptCount val="14"/>
                <c:pt idx="0">
                  <c:v>-1.9614440000000011E-2</c:v>
                </c:pt>
                <c:pt idx="1">
                  <c:v>-2.7094545000000025E-2</c:v>
                </c:pt>
                <c:pt idx="2">
                  <c:v>-3.9841040000000001E-2</c:v>
                </c:pt>
                <c:pt idx="3">
                  <c:v>-5.1602858500000015E-2</c:v>
                </c:pt>
                <c:pt idx="4">
                  <c:v>-6.5471569500000049E-2</c:v>
                </c:pt>
                <c:pt idx="5">
                  <c:v>-5.6158917999999947E-2</c:v>
                </c:pt>
                <c:pt idx="6">
                  <c:v>-3.8235877500000015E-2</c:v>
                </c:pt>
                <c:pt idx="7">
                  <c:v>-1.1051734499999855E-2</c:v>
                </c:pt>
                <c:pt idx="8">
                  <c:v>1.0691347000000073E-2</c:v>
                </c:pt>
                <c:pt idx="9">
                  <c:v>3.4089599500000123E-2</c:v>
                </c:pt>
                <c:pt idx="10">
                  <c:v>4.4182366499999848E-2</c:v>
                </c:pt>
                <c:pt idx="11">
                  <c:v>3.8655444999999844E-2</c:v>
                </c:pt>
                <c:pt idx="12">
                  <c:v>3.4919738000000144E-2</c:v>
                </c:pt>
                <c:pt idx="13">
                  <c:v>4.2928996000000108E-2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86-4CB0-A785-09A8B97113A6}"/>
            </c:ext>
          </c:extLst>
        </c:ser>
        <c:ser>
          <c:idx val="3"/>
          <c:order val="3"/>
          <c:tx>
            <c:v>Series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ft'!$T$4:$T$17</c:f>
              <c:numCache>
                <c:formatCode>General</c:formatCode>
                <c:ptCount val="14"/>
                <c:pt idx="0">
                  <c:v>-3.2071459999999941E-2</c:v>
                </c:pt>
                <c:pt idx="1">
                  <c:v>-3.4163679999999974E-2</c:v>
                </c:pt>
                <c:pt idx="2">
                  <c:v>-4.0984259999999995E-2</c:v>
                </c:pt>
                <c:pt idx="3">
                  <c:v>-4.7762144000000034E-2</c:v>
                </c:pt>
                <c:pt idx="4">
                  <c:v>-5.5137708000000063E-2</c:v>
                </c:pt>
                <c:pt idx="5">
                  <c:v>-3.9687592000000049E-2</c:v>
                </c:pt>
                <c:pt idx="6">
                  <c:v>-1.5364750000000038E-2</c:v>
                </c:pt>
                <c:pt idx="7">
                  <c:v>1.6806902000000123E-2</c:v>
                </c:pt>
                <c:pt idx="8">
                  <c:v>3.985032799999999E-2</c:v>
                </c:pt>
                <c:pt idx="9">
                  <c:v>6.4835678000000119E-2</c:v>
                </c:pt>
                <c:pt idx="10">
                  <c:v>7.6001345999999748E-2</c:v>
                </c:pt>
                <c:pt idx="11">
                  <c:v>7.0864549999999804E-2</c:v>
                </c:pt>
                <c:pt idx="12">
                  <c:v>6.8004582000000147E-2</c:v>
                </c:pt>
                <c:pt idx="13">
                  <c:v>7.8422643999999986E-2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86-4CB0-A785-09A8B97113A6}"/>
            </c:ext>
          </c:extLst>
        </c:ser>
        <c:ser>
          <c:idx val="4"/>
          <c:order val="4"/>
          <c:tx>
            <c:v>Series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ft'!$V$4:$V$17</c:f>
              <c:numCache>
                <c:formatCode>General</c:formatCode>
                <c:ptCount val="14"/>
                <c:pt idx="0">
                  <c:v>-5.6985500000000022E-2</c:v>
                </c:pt>
                <c:pt idx="1">
                  <c:v>-4.8301949999999982E-2</c:v>
                </c:pt>
                <c:pt idx="2">
                  <c:v>-4.3270700000000002E-2</c:v>
                </c:pt>
                <c:pt idx="3">
                  <c:v>-4.0080715000000017E-2</c:v>
                </c:pt>
                <c:pt idx="4">
                  <c:v>-3.4469985000000092E-2</c:v>
                </c:pt>
                <c:pt idx="5">
                  <c:v>-6.7449400000000326E-3</c:v>
                </c:pt>
                <c:pt idx="6">
                  <c:v>3.0377504999999916E-2</c:v>
                </c:pt>
                <c:pt idx="7">
                  <c:v>7.252417500000008E-2</c:v>
                </c:pt>
                <c:pt idx="8">
                  <c:v>9.8168290000000047E-2</c:v>
                </c:pt>
                <c:pt idx="9">
                  <c:v>0.12632783500000011</c:v>
                </c:pt>
                <c:pt idx="10">
                  <c:v>0.13963930499999977</c:v>
                </c:pt>
                <c:pt idx="11">
                  <c:v>0.13528275999999995</c:v>
                </c:pt>
                <c:pt idx="12">
                  <c:v>0.13417427000000015</c:v>
                </c:pt>
                <c:pt idx="13">
                  <c:v>0.14940994000000019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86-4CB0-A785-09A8B97113A6}"/>
            </c:ext>
          </c:extLst>
        </c:ser>
        <c:ser>
          <c:idx val="5"/>
          <c:order val="5"/>
          <c:tx>
            <c:v>Series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ft'!$W$4:$W$17</c:f>
              <c:numCache>
                <c:formatCode>General</c:formatCode>
                <c:ptCount val="14"/>
                <c:pt idx="0">
                  <c:v>-6.9442519999999952E-2</c:v>
                </c:pt>
                <c:pt idx="1">
                  <c:v>-5.5371084999999987E-2</c:v>
                </c:pt>
                <c:pt idx="2">
                  <c:v>-4.4413919999999996E-2</c:v>
                </c:pt>
                <c:pt idx="3">
                  <c:v>-3.6240000500000036E-2</c:v>
                </c:pt>
                <c:pt idx="4">
                  <c:v>-2.4136123500000051E-2</c:v>
                </c:pt>
                <c:pt idx="5">
                  <c:v>9.7263859999999758E-3</c:v>
                </c:pt>
                <c:pt idx="6">
                  <c:v>5.3248632499999893E-2</c:v>
                </c:pt>
                <c:pt idx="7">
                  <c:v>0.10038281150000006</c:v>
                </c:pt>
                <c:pt idx="8">
                  <c:v>0.12732727099999996</c:v>
                </c:pt>
                <c:pt idx="9">
                  <c:v>0.15707391350000011</c:v>
                </c:pt>
                <c:pt idx="10">
                  <c:v>0.17145828449999967</c:v>
                </c:pt>
                <c:pt idx="11">
                  <c:v>0.16749186499999968</c:v>
                </c:pt>
                <c:pt idx="12">
                  <c:v>0.16725911399999993</c:v>
                </c:pt>
                <c:pt idx="13">
                  <c:v>0.18490358799999984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86-4CB0-A785-09A8B97113A6}"/>
            </c:ext>
          </c:extLst>
        </c:ser>
        <c:ser>
          <c:idx val="6"/>
          <c:order val="6"/>
          <c:tx>
            <c:v>Series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ft'!$X$4:$X$17</c:f>
              <c:numCache>
                <c:formatCode>General</c:formatCode>
                <c:ptCount val="14"/>
                <c:pt idx="0">
                  <c:v>-8.1899539999999993E-2</c:v>
                </c:pt>
                <c:pt idx="1">
                  <c:v>-6.2440219999999991E-2</c:v>
                </c:pt>
                <c:pt idx="2">
                  <c:v>-4.5557140000000003E-2</c:v>
                </c:pt>
                <c:pt idx="3">
                  <c:v>-3.2399286000000027E-2</c:v>
                </c:pt>
                <c:pt idx="4">
                  <c:v>-1.380226200000001E-2</c:v>
                </c:pt>
                <c:pt idx="5">
                  <c:v>2.6197711999999984E-2</c:v>
                </c:pt>
                <c:pt idx="6">
                  <c:v>7.611975999999987E-2</c:v>
                </c:pt>
                <c:pt idx="7">
                  <c:v>0.12824144800000004</c:v>
                </c:pt>
                <c:pt idx="8">
                  <c:v>0.1564862520000001</c:v>
                </c:pt>
                <c:pt idx="9">
                  <c:v>0.18781999200000032</c:v>
                </c:pt>
                <c:pt idx="10">
                  <c:v>0.20327726400000001</c:v>
                </c:pt>
                <c:pt idx="11">
                  <c:v>0.19970096999999987</c:v>
                </c:pt>
                <c:pt idx="12">
                  <c:v>0.20034395800000016</c:v>
                </c:pt>
                <c:pt idx="13">
                  <c:v>0.22039723600000016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86-4CB0-A785-09A8B971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513696"/>
        <c:axId val="1027514112"/>
      </c:scatterChart>
      <c:valAx>
        <c:axId val="10275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4112"/>
        <c:crosses val="autoZero"/>
        <c:crossBetween val="midCat"/>
      </c:valAx>
      <c:valAx>
        <c:axId val="1027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at Neutral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calculation'!$E$3:$E$16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3D4E-A897-EBFC279361A9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calculation'!$I$3:$I$16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4-3D4E-A897-EBFC2793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88"/>
        <c:axId val="984101439"/>
      </c:scatterChart>
      <c:valAx>
        <c:axId val="10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1439"/>
        <c:crosses val="autoZero"/>
        <c:crossBetween val="midCat"/>
      </c:valAx>
      <c:valAx>
        <c:axId val="984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calculation'!$E$3:$E$16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7140-A796-BFD5E4CC8665}"/>
            </c:ext>
          </c:extLst>
        </c:ser>
        <c:ser>
          <c:idx val="1"/>
          <c:order val="1"/>
          <c:tx>
            <c:v>100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3-7140-A796-BFD5E4CC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0175"/>
        <c:axId val="1087221823"/>
      </c:scatterChart>
      <c:valAx>
        <c:axId val="10872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1823"/>
        <c:crosses val="autoZero"/>
        <c:crossBetween val="midCat"/>
      </c:valAx>
      <c:valAx>
        <c:axId val="1087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calculation'!$E$3:$E$16</c:f>
              <c:numCache>
                <c:formatCode>General</c:formatCode>
                <c:ptCount val="14"/>
                <c:pt idx="0">
                  <c:v>-0.21502857815879467</c:v>
                </c:pt>
                <c:pt idx="1">
                  <c:v>-8.6942697312058018E-2</c:v>
                </c:pt>
                <c:pt idx="2">
                  <c:v>4.9245772885143792E-2</c:v>
                </c:pt>
                <c:pt idx="3">
                  <c:v>0.21226306665022188</c:v>
                </c:pt>
                <c:pt idx="4">
                  <c:v>0.38236919661581886</c:v>
                </c:pt>
                <c:pt idx="5">
                  <c:v>0.55069918303327947</c:v>
                </c:pt>
                <c:pt idx="6">
                  <c:v>0.67084197884189767</c:v>
                </c:pt>
                <c:pt idx="7">
                  <c:v>0.76454575293331239</c:v>
                </c:pt>
                <c:pt idx="8">
                  <c:v>0.82592776431227144</c:v>
                </c:pt>
                <c:pt idx="9">
                  <c:v>0.86040670997633228</c:v>
                </c:pt>
                <c:pt idx="10">
                  <c:v>0.86925101929373749</c:v>
                </c:pt>
                <c:pt idx="11">
                  <c:v>0.94710572853549624</c:v>
                </c:pt>
                <c:pt idx="12">
                  <c:v>0.98133660318045302</c:v>
                </c:pt>
                <c:pt idx="13">
                  <c:v>1.0562681462397507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5540-BB58-26A759528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calculation'!$I$3:$I$16</c:f>
              <c:numCache>
                <c:formatCode>General</c:formatCode>
                <c:ptCount val="14"/>
                <c:pt idx="0">
                  <c:v>-0.28672727470540177</c:v>
                </c:pt>
                <c:pt idx="1">
                  <c:v>-0.1538378444094384</c:v>
                </c:pt>
                <c:pt idx="2">
                  <c:v>-7.0658562317545189E-3</c:v>
                </c:pt>
                <c:pt idx="3">
                  <c:v>0.11728127985002214</c:v>
                </c:pt>
                <c:pt idx="4">
                  <c:v>0.27953041500611708</c:v>
                </c:pt>
                <c:pt idx="5">
                  <c:v>0.44783148721854249</c:v>
                </c:pt>
                <c:pt idx="6">
                  <c:v>0.56911469481763866</c:v>
                </c:pt>
                <c:pt idx="7">
                  <c:v>0.65605614932265011</c:v>
                </c:pt>
                <c:pt idx="8">
                  <c:v>0.69097796520339672</c:v>
                </c:pt>
                <c:pt idx="9">
                  <c:v>0.70803438196958313</c:v>
                </c:pt>
                <c:pt idx="10">
                  <c:v>0.70169667523924484</c:v>
                </c:pt>
                <c:pt idx="11">
                  <c:v>0.74116757362574126</c:v>
                </c:pt>
                <c:pt idx="12">
                  <c:v>0.766085285633617</c:v>
                </c:pt>
                <c:pt idx="13">
                  <c:v>0.83141874396877025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A-5540-BB58-26A75952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9280"/>
        <c:axId val="289126960"/>
      </c:scatterChart>
      <c:valAx>
        <c:axId val="174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6960"/>
        <c:crosses val="autoZero"/>
        <c:crossBetween val="midCat"/>
      </c:valAx>
      <c:valAx>
        <c:axId val="289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Ratio'!$G$3:$G$16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xVal>
          <c:yVal>
            <c:numRef>
              <c:f>'L-D Ratio'!$F$3:$F$16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514D-B546-8A0E03BAF79B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xVal>
          <c:yVal>
            <c:numRef>
              <c:f>'L-D Ratio'!$H$3:$H$16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F-514D-B546-8A0E03BA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5168"/>
        <c:axId val="174236816"/>
      </c:scatterChart>
      <c:valAx>
        <c:axId val="174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6816"/>
        <c:crosses val="autoZero"/>
        <c:crossBetween val="midCat"/>
      </c:valAx>
      <c:valAx>
        <c:axId val="174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Ratio'!$J$3:$J$16</c:f>
              <c:numCache>
                <c:formatCode>General</c:formatCode>
                <c:ptCount val="14"/>
                <c:pt idx="0">
                  <c:v>1.2422733819434713</c:v>
                </c:pt>
                <c:pt idx="1">
                  <c:v>1.1500149315094266</c:v>
                </c:pt>
                <c:pt idx="2">
                  <c:v>0.2387505790918491</c:v>
                </c:pt>
                <c:pt idx="3">
                  <c:v>3.782255055793609</c:v>
                </c:pt>
                <c:pt idx="4">
                  <c:v>1.7617843162380324</c:v>
                </c:pt>
                <c:pt idx="5">
                  <c:v>1.5728098489166618</c:v>
                </c:pt>
                <c:pt idx="6">
                  <c:v>1.4739313189885286</c:v>
                </c:pt>
                <c:pt idx="7">
                  <c:v>1.1310114580951864</c:v>
                </c:pt>
                <c:pt idx="8">
                  <c:v>0.98415016316278803</c:v>
                </c:pt>
                <c:pt idx="9">
                  <c:v>0.77662318892531512</c:v>
                </c:pt>
                <c:pt idx="10">
                  <c:v>0.64310147366945369</c:v>
                </c:pt>
                <c:pt idx="11">
                  <c:v>0.5614896681257131</c:v>
                </c:pt>
                <c:pt idx="12">
                  <c:v>0.48406490455376938</c:v>
                </c:pt>
                <c:pt idx="13">
                  <c:v>0.40163489331785002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3D44-B4E4-B6B43A92F010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Ratio'!$K$3:$K$16</c:f>
              <c:numCache>
                <c:formatCode>General</c:formatCode>
                <c:ptCount val="14"/>
                <c:pt idx="0">
                  <c:v>-16.966385829856982</c:v>
                </c:pt>
                <c:pt idx="1">
                  <c:v>-5.3893318538787574</c:v>
                </c:pt>
                <c:pt idx="2">
                  <c:v>-0.50814721428748499</c:v>
                </c:pt>
                <c:pt idx="3">
                  <c:v>1.3218014285369324</c:v>
                </c:pt>
                <c:pt idx="4">
                  <c:v>2.4542822854526913</c:v>
                </c:pt>
                <c:pt idx="5">
                  <c:v>2.9333366782973216</c:v>
                </c:pt>
                <c:pt idx="6">
                  <c:v>3.0136433995282621</c:v>
                </c:pt>
                <c:pt idx="7">
                  <c:v>2.5768250294376491</c:v>
                </c:pt>
                <c:pt idx="8">
                  <c:v>2.2897046865296318</c:v>
                </c:pt>
                <c:pt idx="9">
                  <c:v>2.0030238976013233</c:v>
                </c:pt>
                <c:pt idx="10">
                  <c:v>1.7224313166350149</c:v>
                </c:pt>
                <c:pt idx="11">
                  <c:v>1.5643764310734365</c:v>
                </c:pt>
                <c:pt idx="12">
                  <c:v>1.4032121630892371</c:v>
                </c:pt>
                <c:pt idx="13">
                  <c:v>1.2933842881583335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0-3D44-B4E4-B6B43A92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096"/>
        <c:axId val="1415700672"/>
      </c:scatterChart>
      <c:valAx>
        <c:axId val="11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672"/>
        <c:crosses val="autoZero"/>
        <c:crossBetween val="midCat"/>
      </c:valAx>
      <c:valAx>
        <c:axId val="1415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459921</xdr:colOff>
      <xdr:row>17</xdr:row>
      <xdr:rowOff>138793</xdr:rowOff>
    </xdr:from>
    <xdr:to>
      <xdr:col>27</xdr:col>
      <xdr:colOff>181428</xdr:colOff>
      <xdr:row>42</xdr:row>
      <xdr:rowOff>161145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379C-8ACC-4048-AE3C-7A49EBA1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165100</xdr:colOff>
      <xdr:row>38</xdr:row>
      <xdr:rowOff>163830</xdr:rowOff>
    </xdr:from>
    <xdr:to>
      <xdr:col>24</xdr:col>
      <xdr:colOff>609600</xdr:colOff>
      <xdr:row>52</xdr:row>
      <xdr:rowOff>67310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9F4AB-0D32-F14B-B68E-FD55C847E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18</xdr:row>
      <xdr:rowOff>141515</xdr:rowOff>
    </xdr:from>
    <xdr:to>
      <xdr:col>18</xdr:col>
      <xdr:colOff>587829</xdr:colOff>
      <xdr:row>43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07F9A-66EE-CF6B-EA1D-934B7F25B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</xdr:colOff>
      <xdr:row>6</xdr:row>
      <xdr:rowOff>83820</xdr:rowOff>
    </xdr:from>
    <xdr:to>
      <xdr:col>20</xdr:col>
      <xdr:colOff>316230</xdr:colOff>
      <xdr:row>20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B0459-3672-5BA5-11D7-9E12CFDA3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456252</xdr:colOff>
      <xdr:row>0</xdr:row>
      <xdr:rowOff>98640</xdr:rowOff>
    </xdr:from>
    <xdr:to>
      <xdr:col>18</xdr:col>
      <xdr:colOff>579513</xdr:colOff>
      <xdr:row>21</xdr:row>
      <xdr:rowOff>135631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F5DEE-555A-514B-A306-7163C243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394562</xdr:colOff>
      <xdr:row>16</xdr:row>
      <xdr:rowOff>184952</xdr:rowOff>
    </xdr:from>
    <xdr:to>
      <xdr:col>8</xdr:col>
      <xdr:colOff>364847</xdr:colOff>
      <xdr:row>44</xdr:row>
      <xdr:rowOff>71268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6AEFD-E851-A84F-BBFF-ACD91E07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79" y="3415437"/>
          <a:ext cx="5753100" cy="541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127000</xdr:rowOff>
    </xdr:from>
    <xdr:to>
      <xdr:col>18</xdr:col>
      <xdr:colOff>223520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A612-D6B0-1643-927E-BE73E5FA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330200</xdr:colOff>
      <xdr:row>19</xdr:row>
      <xdr:rowOff>88900</xdr:rowOff>
    </xdr:from>
    <xdr:to>
      <xdr:col>8</xdr:col>
      <xdr:colOff>444500</xdr:colOff>
      <xdr:row>45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A53DD-88C8-704A-ADF9-A1E82BA29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" y="3987800"/>
          <a:ext cx="5892800" cy="5245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25400</xdr:rowOff>
    </xdr:from>
    <xdr:to>
      <xdr:col>19</xdr:col>
      <xdr:colOff>469900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1922D-F982-5641-AC5F-E21338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63500</xdr:rowOff>
    </xdr:from>
    <xdr:to>
      <xdr:col>10</xdr:col>
      <xdr:colOff>279400</xdr:colOff>
      <xdr:row>41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83CA1-7BC6-3C45-9D4D-D6A00034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17</xdr:row>
      <xdr:rowOff>107950</xdr:rowOff>
    </xdr:from>
    <xdr:to>
      <xdr:col>19</xdr:col>
      <xdr:colOff>342900</xdr:colOff>
      <xdr:row>38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8DDC7-5401-A140-B86D-D232D7D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3D1-EEDA-8C42-8D7A-DBDBF882D52B}">
  <dimension ref="A1:X41"/>
  <sheetViews>
    <sheetView topLeftCell="E1" zoomScale="140" zoomScaleNormal="100" workbookViewId="0">
      <selection activeCell="P8" sqref="P8"/>
    </sheetView>
  </sheetViews>
  <sheetFormatPr defaultColWidth="11.19921875" defaultRowHeight="15.6" x14ac:dyDescent="0.3"/>
  <cols>
    <col min="3" max="3" width="12" bestFit="1" customWidth="1"/>
    <col min="4" max="6" width="12.19921875" bestFit="1" customWidth="1"/>
    <col min="7" max="7" width="9.796875" bestFit="1" customWidth="1"/>
    <col min="8" max="8" width="12.296875" bestFit="1" customWidth="1"/>
    <col min="9" max="9" width="14.19921875" bestFit="1" customWidth="1"/>
    <col min="10" max="10" width="12.796875" bestFit="1" customWidth="1"/>
    <col min="11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  <col min="23" max="24" width="21.79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s="2" t="s">
        <v>70</v>
      </c>
      <c r="X1" s="2" t="s">
        <v>69</v>
      </c>
    </row>
    <row r="2" spans="1:24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16</v>
      </c>
      <c r="M2" t="s">
        <v>26</v>
      </c>
      <c r="N2" t="s">
        <v>26</v>
      </c>
      <c r="O2" t="s">
        <v>27</v>
      </c>
      <c r="W2">
        <f>0.0075*I4+0.0161</f>
        <v>-1.406924419E-2</v>
      </c>
      <c r="X2">
        <f>0.0006*I4-0.1716</f>
        <v>-0.17401353953519999</v>
      </c>
    </row>
    <row r="3" spans="1:24" x14ac:dyDescent="0.3">
      <c r="W3">
        <f t="shared" ref="W3:W15" si="0">0.0075*I5+0.0161</f>
        <v>1.1746065725000004E-3</v>
      </c>
      <c r="X3">
        <f t="shared" ref="X3:X15" si="1">0.0006*I5-0.1716</f>
        <v>-0.1727940314742</v>
      </c>
    </row>
    <row r="4" spans="1:24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2.260799E-3</v>
      </c>
      <c r="G4" s="1">
        <v>3.8221999999999999E-7</v>
      </c>
      <c r="H4">
        <v>0</v>
      </c>
      <c r="I4">
        <v>-4.0225658920000003</v>
      </c>
      <c r="J4" s="1">
        <v>-1.8490800000000001E-6</v>
      </c>
      <c r="K4">
        <v>0.48533728700000001</v>
      </c>
      <c r="L4">
        <v>598.06060790000004</v>
      </c>
      <c r="M4">
        <v>-1.5192015999999999E-2</v>
      </c>
      <c r="N4">
        <v>-0.171261893</v>
      </c>
      <c r="O4">
        <v>-0.47007560799999998</v>
      </c>
      <c r="W4">
        <f t="shared" si="0"/>
        <v>1.5885194315E-2</v>
      </c>
      <c r="X4">
        <f t="shared" si="1"/>
        <v>-0.17161718445480001</v>
      </c>
    </row>
    <row r="5" spans="1:24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2.260799E-3</v>
      </c>
      <c r="G5" s="1">
        <v>3.8221999999999999E-7</v>
      </c>
      <c r="H5">
        <v>0</v>
      </c>
      <c r="I5">
        <v>-1.990052457</v>
      </c>
      <c r="J5" s="1">
        <v>-3.2734699999999997E-5</v>
      </c>
      <c r="K5">
        <v>2.0420632360000002</v>
      </c>
      <c r="L5">
        <v>2516.3481449999999</v>
      </c>
      <c r="M5">
        <v>5.1659100000000001E-3</v>
      </c>
      <c r="N5">
        <v>-0.17065941500000001</v>
      </c>
      <c r="O5">
        <v>-0.46786025999999997</v>
      </c>
      <c r="W5">
        <f t="shared" si="0"/>
        <v>3.1577252149999999E-2</v>
      </c>
      <c r="X5">
        <f t="shared" si="1"/>
        <v>-0.170361819828</v>
      </c>
    </row>
    <row r="6" spans="1:24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2.260799E-3</v>
      </c>
      <c r="G6" s="1">
        <v>3.8221999999999999E-7</v>
      </c>
      <c r="H6">
        <v>0</v>
      </c>
      <c r="I6">
        <v>-2.8640757999999999E-2</v>
      </c>
      <c r="J6" s="1">
        <v>-4.7639200000000003E-5</v>
      </c>
      <c r="K6">
        <v>2.4634721279999998</v>
      </c>
      <c r="L6">
        <v>3035.632568</v>
      </c>
      <c r="M6">
        <v>1.375593E-2</v>
      </c>
      <c r="N6">
        <v>-0.16969954600000001</v>
      </c>
      <c r="O6">
        <v>-0.465069332</v>
      </c>
      <c r="W6">
        <f t="shared" si="0"/>
        <v>4.6322435457499998E-2</v>
      </c>
      <c r="X6">
        <f t="shared" si="1"/>
        <v>-0.16918220516339999</v>
      </c>
    </row>
    <row r="7" spans="1:24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2.260799E-3</v>
      </c>
      <c r="G7" s="1">
        <v>3.8221999999999999E-7</v>
      </c>
      <c r="H7">
        <v>0</v>
      </c>
      <c r="I7">
        <v>2.0636336200000001</v>
      </c>
      <c r="J7" s="1">
        <v>-2.7890800000000001E-5</v>
      </c>
      <c r="K7">
        <v>1.884932399</v>
      </c>
      <c r="L7">
        <v>2322.7224120000001</v>
      </c>
      <c r="M7">
        <v>3.1842640999999998E-2</v>
      </c>
      <c r="N7">
        <v>-0.17027831399999999</v>
      </c>
      <c r="O7">
        <v>-0.46292932799999997</v>
      </c>
      <c r="W7">
        <f t="shared" si="0"/>
        <v>6.0907946914999997E-2</v>
      </c>
      <c r="X7">
        <f t="shared" si="1"/>
        <v>-0.1680153642468</v>
      </c>
    </row>
    <row r="8" spans="1:24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2.260799E-3</v>
      </c>
      <c r="G8" s="1">
        <v>3.8221999999999999E-7</v>
      </c>
      <c r="H8">
        <v>0</v>
      </c>
      <c r="I8">
        <v>4.0296580610000001</v>
      </c>
      <c r="J8" s="1">
        <v>8.3405999999999994E-5</v>
      </c>
      <c r="K8">
        <v>3.2595963480000001</v>
      </c>
      <c r="L8">
        <v>4016.6628420000002</v>
      </c>
      <c r="M8">
        <v>4.2531185999999999E-2</v>
      </c>
      <c r="N8">
        <v>-0.17194325599999999</v>
      </c>
      <c r="O8">
        <v>-0.46134146300000001</v>
      </c>
      <c r="W8">
        <f t="shared" si="0"/>
        <v>7.6191613294999988E-2</v>
      </c>
      <c r="X8">
        <f t="shared" si="1"/>
        <v>-0.16679267093639999</v>
      </c>
    </row>
    <row r="9" spans="1:24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2.260799E-3</v>
      </c>
      <c r="G9" s="1">
        <v>3.8221999999999999E-7</v>
      </c>
      <c r="H9">
        <v>0</v>
      </c>
      <c r="I9">
        <v>5.9743929219999998</v>
      </c>
      <c r="J9" s="1">
        <v>-1.7798100000000002E-5</v>
      </c>
      <c r="K9">
        <v>1.5057474369999999</v>
      </c>
      <c r="L9">
        <v>1855.4688719999999</v>
      </c>
      <c r="M9">
        <v>6.1028901000000003E-2</v>
      </c>
      <c r="N9">
        <v>-0.17030889599999999</v>
      </c>
      <c r="O9">
        <v>-0.45797360100000001</v>
      </c>
      <c r="W9">
        <f t="shared" si="0"/>
        <v>9.1333622074999996E-2</v>
      </c>
      <c r="X9">
        <f t="shared" si="1"/>
        <v>-0.165581310234</v>
      </c>
    </row>
    <row r="10" spans="1:24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2.260799E-3</v>
      </c>
      <c r="G10" s="1">
        <v>3.8221999999999999E-7</v>
      </c>
      <c r="H10">
        <v>0</v>
      </c>
      <c r="I10">
        <v>8.0122151059999993</v>
      </c>
      <c r="J10" s="1">
        <v>-4.6104499999999999E-5</v>
      </c>
      <c r="K10">
        <v>2.4234673980000001</v>
      </c>
      <c r="L10">
        <v>2986.3364259999998</v>
      </c>
      <c r="M10">
        <v>7.7644585000000002E-2</v>
      </c>
      <c r="N10">
        <v>-0.168215171</v>
      </c>
      <c r="O10">
        <v>-0.45451848099999997</v>
      </c>
      <c r="W10">
        <f t="shared" si="0"/>
        <v>0.10590347345000001</v>
      </c>
      <c r="X10">
        <f t="shared" si="1"/>
        <v>-0.16441572212399999</v>
      </c>
    </row>
    <row r="11" spans="1:24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2.260799E-3</v>
      </c>
      <c r="G11" s="1">
        <v>3.8221999999999999E-7</v>
      </c>
      <c r="H11">
        <v>0</v>
      </c>
      <c r="I11">
        <v>10.03114961</v>
      </c>
      <c r="J11" s="1">
        <v>-2.0265300000000001E-5</v>
      </c>
      <c r="K11">
        <v>1.606726885</v>
      </c>
      <c r="L11">
        <v>1979.901611</v>
      </c>
      <c r="M11">
        <v>9.1670415000000005E-2</v>
      </c>
      <c r="N11">
        <v>-0.168044159</v>
      </c>
      <c r="O11">
        <v>-0.450870196</v>
      </c>
      <c r="W11">
        <f t="shared" si="0"/>
        <v>0.12147710795</v>
      </c>
      <c r="X11">
        <f t="shared" si="1"/>
        <v>-0.16316983136400001</v>
      </c>
    </row>
    <row r="12" spans="1:24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2.260799E-3</v>
      </c>
      <c r="G12" s="1">
        <v>3.8221999999999999E-7</v>
      </c>
      <c r="H12">
        <v>0</v>
      </c>
      <c r="I12">
        <v>11.973796460000001</v>
      </c>
      <c r="J12">
        <v>2.0745400000000001E-4</v>
      </c>
      <c r="K12">
        <v>5.1407523160000004</v>
      </c>
      <c r="L12">
        <v>6334.7319340000004</v>
      </c>
      <c r="M12">
        <v>0.106670732</v>
      </c>
      <c r="N12">
        <v>-0.165797153</v>
      </c>
      <c r="O12">
        <v>-0.44937065399999998</v>
      </c>
      <c r="W12">
        <f t="shared" si="0"/>
        <v>0.13612618107499999</v>
      </c>
      <c r="X12">
        <f t="shared" si="1"/>
        <v>-0.16199790551400001</v>
      </c>
    </row>
    <row r="13" spans="1:24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2.260799E-3</v>
      </c>
      <c r="G13" s="1">
        <v>3.8221999999999999E-7</v>
      </c>
      <c r="H13">
        <v>0</v>
      </c>
      <c r="I13">
        <v>14.05028106</v>
      </c>
      <c r="J13">
        <v>-1.09474E-4</v>
      </c>
      <c r="K13">
        <v>3.734405041</v>
      </c>
      <c r="L13">
        <v>4601.7495120000003</v>
      </c>
      <c r="M13">
        <v>0.121693384</v>
      </c>
      <c r="N13">
        <v>-0.16287696900000001</v>
      </c>
      <c r="O13">
        <v>-0.44192954000000001</v>
      </c>
      <c r="W13">
        <f t="shared" si="0"/>
        <v>0.151728269975</v>
      </c>
      <c r="X13">
        <f t="shared" si="1"/>
        <v>-0.16074973840199999</v>
      </c>
    </row>
    <row r="14" spans="1:24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2.260799E-3</v>
      </c>
      <c r="G14" s="1">
        <v>3.8221999999999999E-7</v>
      </c>
      <c r="H14">
        <v>0</v>
      </c>
      <c r="I14">
        <v>16.003490809999999</v>
      </c>
      <c r="J14">
        <v>2.7694200000000002E-4</v>
      </c>
      <c r="K14">
        <v>5.939630985</v>
      </c>
      <c r="L14">
        <v>7319.15625</v>
      </c>
      <c r="M14">
        <v>0.14040672400000001</v>
      </c>
      <c r="N14">
        <v>-0.16196244800000001</v>
      </c>
      <c r="O14">
        <v>-0.43975337599999997</v>
      </c>
      <c r="W14">
        <f t="shared" si="0"/>
        <v>0.16649310522500002</v>
      </c>
      <c r="X14">
        <f t="shared" si="1"/>
        <v>-0.15956855158200001</v>
      </c>
    </row>
    <row r="15" spans="1:24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2.260799E-3</v>
      </c>
      <c r="G15" s="1">
        <v>3.8221999999999999E-7</v>
      </c>
      <c r="H15">
        <v>0</v>
      </c>
      <c r="I15">
        <v>18.083769329999999</v>
      </c>
      <c r="J15">
        <v>7.1676800000000001E-4</v>
      </c>
      <c r="K15">
        <v>9.55552578</v>
      </c>
      <c r="L15">
        <v>11774.87012</v>
      </c>
      <c r="M15">
        <v>0.14839295299999999</v>
      </c>
      <c r="N15">
        <v>-0.16062653199999999</v>
      </c>
      <c r="O15">
        <v>-0.43327860600000001</v>
      </c>
      <c r="W15">
        <f t="shared" si="0"/>
        <v>0.18117851397500001</v>
      </c>
      <c r="X15">
        <f t="shared" si="1"/>
        <v>-0.15839371888199999</v>
      </c>
    </row>
    <row r="16" spans="1:24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2.260799E-3</v>
      </c>
      <c r="G16" s="1">
        <v>3.8221999999999999E-7</v>
      </c>
      <c r="H16">
        <v>0</v>
      </c>
      <c r="I16">
        <v>20.052414030000001</v>
      </c>
      <c r="J16">
        <v>5.9555999999999997E-4</v>
      </c>
      <c r="K16">
        <v>8.7101964949999999</v>
      </c>
      <c r="L16">
        <v>10733.20703</v>
      </c>
      <c r="M16">
        <v>0.166368092</v>
      </c>
      <c r="N16">
        <v>-0.15785618800000001</v>
      </c>
      <c r="O16">
        <v>-0.43001637199999998</v>
      </c>
    </row>
    <row r="17" spans="1:15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2.260799E-3</v>
      </c>
      <c r="G17" s="1">
        <v>3.8221999999999999E-7</v>
      </c>
      <c r="H17">
        <v>0</v>
      </c>
      <c r="I17">
        <v>22.010468530000001</v>
      </c>
      <c r="J17">
        <v>1.27882E-3</v>
      </c>
      <c r="K17">
        <v>12.763507840000001</v>
      </c>
      <c r="L17">
        <v>15727.93066</v>
      </c>
      <c r="M17">
        <v>0.18123803399999999</v>
      </c>
      <c r="N17">
        <v>-0.15278182400000001</v>
      </c>
      <c r="O17">
        <v>-0.42002785100000001</v>
      </c>
    </row>
    <row r="19" spans="1:15" x14ac:dyDescent="0.3">
      <c r="A19" s="29" t="s">
        <v>55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5" x14ac:dyDescent="0.3">
      <c r="A20" s="3"/>
      <c r="B20" s="3"/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13</v>
      </c>
      <c r="O20" t="s">
        <v>40</v>
      </c>
    </row>
    <row r="21" spans="1:15" x14ac:dyDescent="0.3">
      <c r="A21" s="3"/>
      <c r="B21" s="3"/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47</v>
      </c>
      <c r="I21" t="s">
        <v>63</v>
      </c>
      <c r="J21" t="s">
        <v>57</v>
      </c>
      <c r="K21" t="s">
        <v>61</v>
      </c>
      <c r="L21" t="s">
        <v>41</v>
      </c>
      <c r="M21" t="s">
        <v>62</v>
      </c>
      <c r="N21" t="s">
        <v>62</v>
      </c>
      <c r="O21" t="s">
        <v>52</v>
      </c>
    </row>
    <row r="22" spans="1:15" x14ac:dyDescent="0.3">
      <c r="C22">
        <f t="shared" ref="C22:C35" si="2">C4*0.0254</f>
        <v>6.3500000000000001E-2</v>
      </c>
      <c r="D22">
        <f t="shared" ref="D22:D35" si="3">D4*6894.76</f>
        <v>99186.524644460005</v>
      </c>
      <c r="E22">
        <f t="shared" ref="E22:E35" si="4">E4*0.555556</f>
        <v>296.65023732000003</v>
      </c>
      <c r="F22">
        <f t="shared" ref="F22:F35" si="5">F4*515.379</f>
        <v>1.1651683278210001</v>
      </c>
      <c r="G22" s="1">
        <f t="shared" ref="G22:G35" si="6">G4*157.087</f>
        <v>6.0041793139999997E-5</v>
      </c>
      <c r="I22">
        <f t="shared" ref="I22:I35" si="7">I4/180*PI()</f>
        <v>-7.0207019193822634E-2</v>
      </c>
      <c r="J22">
        <f t="shared" ref="J22:J35" si="8">J4*6894.76</f>
        <v>-1.2748962820800002E-2</v>
      </c>
      <c r="K22">
        <f t="shared" ref="K22:K35" si="9">K4*0.3048</f>
        <v>0.14793080507760001</v>
      </c>
      <c r="L22">
        <f t="shared" ref="L22:L35" si="10">L4</f>
        <v>598.06060790000004</v>
      </c>
      <c r="M22">
        <f t="shared" ref="M22:N35" si="11">M4*4.44822</f>
        <v>-6.7577429411519993E-2</v>
      </c>
      <c r="N22">
        <f t="shared" si="11"/>
        <v>-0.76181057768046001</v>
      </c>
      <c r="O22">
        <f t="shared" ref="O22:O35" si="12">O4*0.1129848333</f>
        <v>-5.3111414208276149E-2</v>
      </c>
    </row>
    <row r="23" spans="1:15" x14ac:dyDescent="0.3">
      <c r="C23">
        <f t="shared" si="2"/>
        <v>6.3500000000000001E-2</v>
      </c>
      <c r="D23">
        <f t="shared" si="3"/>
        <v>99186.524644460005</v>
      </c>
      <c r="E23">
        <f t="shared" si="4"/>
        <v>296.65023732000003</v>
      </c>
      <c r="F23">
        <f t="shared" si="5"/>
        <v>1.1651683278210001</v>
      </c>
      <c r="G23" s="1">
        <f t="shared" si="6"/>
        <v>6.0041793139999997E-5</v>
      </c>
      <c r="I23">
        <f t="shared" si="7"/>
        <v>-3.4732967662052874E-2</v>
      </c>
      <c r="J23">
        <f t="shared" si="8"/>
        <v>-0.22569790017199998</v>
      </c>
      <c r="K23">
        <f t="shared" si="9"/>
        <v>0.62242087433280013</v>
      </c>
      <c r="L23">
        <f t="shared" si="10"/>
        <v>2516.3481449999999</v>
      </c>
      <c r="M23">
        <f t="shared" si="11"/>
        <v>2.2979104180200001E-2</v>
      </c>
      <c r="N23">
        <f t="shared" si="11"/>
        <v>-0.75913062299130007</v>
      </c>
      <c r="O23">
        <f t="shared" si="12"/>
        <v>-5.2861113483794658E-2</v>
      </c>
    </row>
    <row r="24" spans="1:15" x14ac:dyDescent="0.3">
      <c r="C24">
        <f t="shared" si="2"/>
        <v>6.3500000000000001E-2</v>
      </c>
      <c r="D24">
        <f t="shared" si="3"/>
        <v>99186.524644460005</v>
      </c>
      <c r="E24">
        <f t="shared" si="4"/>
        <v>296.65023732000003</v>
      </c>
      <c r="F24">
        <f t="shared" si="5"/>
        <v>1.1651683278210001</v>
      </c>
      <c r="G24" s="1">
        <f t="shared" si="6"/>
        <v>6.0041793139999997E-5</v>
      </c>
      <c r="I24">
        <f t="shared" si="7"/>
        <v>-4.9987552736690611E-4</v>
      </c>
      <c r="J24">
        <f t="shared" si="8"/>
        <v>-0.32846085059200003</v>
      </c>
      <c r="K24">
        <f t="shared" si="9"/>
        <v>0.75086630461439996</v>
      </c>
      <c r="L24">
        <f t="shared" si="10"/>
        <v>3035.632568</v>
      </c>
      <c r="M24">
        <f t="shared" si="11"/>
        <v>6.1189402944599999E-2</v>
      </c>
      <c r="N24">
        <f t="shared" si="11"/>
        <v>-0.7548609145081201</v>
      </c>
      <c r="O24">
        <f t="shared" si="12"/>
        <v>-5.254578094896236E-2</v>
      </c>
    </row>
    <row r="25" spans="1:15" x14ac:dyDescent="0.3">
      <c r="C25">
        <f t="shared" si="2"/>
        <v>6.3500000000000001E-2</v>
      </c>
      <c r="D25">
        <f t="shared" si="3"/>
        <v>99186.524644460005</v>
      </c>
      <c r="E25">
        <f t="shared" si="4"/>
        <v>296.65023732000003</v>
      </c>
      <c r="F25">
        <f t="shared" si="5"/>
        <v>1.1651683278210001</v>
      </c>
      <c r="G25" s="1">
        <f t="shared" si="6"/>
        <v>6.0041793139999997E-5</v>
      </c>
      <c r="I25">
        <f t="shared" si="7"/>
        <v>3.6017201223849507E-2</v>
      </c>
      <c r="J25">
        <f t="shared" si="8"/>
        <v>-0.192300372208</v>
      </c>
      <c r="K25">
        <f t="shared" si="9"/>
        <v>0.57452739521520002</v>
      </c>
      <c r="L25">
        <f t="shared" si="10"/>
        <v>2322.7224120000001</v>
      </c>
      <c r="M25">
        <f t="shared" si="11"/>
        <v>0.14164307254902</v>
      </c>
      <c r="N25">
        <f t="shared" si="11"/>
        <v>-0.75743540190107994</v>
      </c>
      <c r="O25">
        <f t="shared" si="12"/>
        <v>-5.2303992953761022E-2</v>
      </c>
    </row>
    <row r="26" spans="1:15" x14ac:dyDescent="0.3">
      <c r="C26">
        <f t="shared" si="2"/>
        <v>6.3500000000000001E-2</v>
      </c>
      <c r="D26">
        <f t="shared" si="3"/>
        <v>99186.524644460005</v>
      </c>
      <c r="E26">
        <f t="shared" si="4"/>
        <v>296.65023732000003</v>
      </c>
      <c r="F26">
        <f t="shared" si="5"/>
        <v>1.1651683278210001</v>
      </c>
      <c r="G26" s="1">
        <f t="shared" si="6"/>
        <v>6.0041793139999997E-5</v>
      </c>
      <c r="I26">
        <f t="shared" si="7"/>
        <v>7.03308008939805E-2</v>
      </c>
      <c r="J26">
        <f t="shared" si="8"/>
        <v>0.57506435255999999</v>
      </c>
      <c r="K26">
        <f t="shared" si="9"/>
        <v>0.99352496687040004</v>
      </c>
      <c r="L26">
        <f t="shared" si="10"/>
        <v>4016.6628420000002</v>
      </c>
      <c r="M26">
        <f t="shared" si="11"/>
        <v>0.18918807218892</v>
      </c>
      <c r="N26">
        <f t="shared" si="11"/>
        <v>-0.76484143020431994</v>
      </c>
      <c r="O26">
        <f t="shared" si="12"/>
        <v>-5.212458829143312E-2</v>
      </c>
    </row>
    <row r="27" spans="1:15" x14ac:dyDescent="0.3">
      <c r="C27">
        <f t="shared" si="2"/>
        <v>6.3500000000000001E-2</v>
      </c>
      <c r="D27">
        <f t="shared" si="3"/>
        <v>99186.524644460005</v>
      </c>
      <c r="E27">
        <f t="shared" si="4"/>
        <v>296.65023732000003</v>
      </c>
      <c r="F27">
        <f t="shared" si="5"/>
        <v>1.1651683278210001</v>
      </c>
      <c r="G27" s="1">
        <f t="shared" si="6"/>
        <v>6.0041793139999997E-5</v>
      </c>
      <c r="I27">
        <f t="shared" si="7"/>
        <v>0.10427282729674477</v>
      </c>
      <c r="J27">
        <f t="shared" si="8"/>
        <v>-0.12271362795600002</v>
      </c>
      <c r="K27">
        <f t="shared" si="9"/>
        <v>0.4589518187976</v>
      </c>
      <c r="L27">
        <f t="shared" si="10"/>
        <v>1855.4688719999999</v>
      </c>
      <c r="M27">
        <f t="shared" si="11"/>
        <v>0.27146997800622003</v>
      </c>
      <c r="N27">
        <f t="shared" si="11"/>
        <v>-0.75757143736512</v>
      </c>
      <c r="O27">
        <f t="shared" si="12"/>
        <v>-5.1744070964785713E-2</v>
      </c>
    </row>
    <row r="28" spans="1:15" x14ac:dyDescent="0.3">
      <c r="C28">
        <f t="shared" si="2"/>
        <v>6.3500000000000001E-2</v>
      </c>
      <c r="D28">
        <f t="shared" si="3"/>
        <v>99186.524644460005</v>
      </c>
      <c r="E28">
        <f t="shared" si="4"/>
        <v>296.65023732000003</v>
      </c>
      <c r="F28">
        <f t="shared" si="5"/>
        <v>1.1651683278210001</v>
      </c>
      <c r="G28" s="1">
        <f t="shared" si="6"/>
        <v>6.0041793139999997E-5</v>
      </c>
      <c r="I28">
        <f t="shared" si="7"/>
        <v>0.13983953397772647</v>
      </c>
      <c r="J28">
        <f t="shared" si="8"/>
        <v>-0.31787946241999998</v>
      </c>
      <c r="K28">
        <f t="shared" si="9"/>
        <v>0.73867286291040002</v>
      </c>
      <c r="L28">
        <f t="shared" si="10"/>
        <v>2986.3364259999998</v>
      </c>
      <c r="M28">
        <f t="shared" si="11"/>
        <v>0.3453801958887</v>
      </c>
      <c r="N28">
        <f t="shared" si="11"/>
        <v>-0.74825808794561999</v>
      </c>
      <c r="O28">
        <f t="shared" si="12"/>
        <v>-5.1353694807554216E-2</v>
      </c>
    </row>
    <row r="29" spans="1:15" x14ac:dyDescent="0.3">
      <c r="C29">
        <f t="shared" si="2"/>
        <v>6.3500000000000001E-2</v>
      </c>
      <c r="D29">
        <f t="shared" si="3"/>
        <v>99186.524644460005</v>
      </c>
      <c r="E29">
        <f t="shared" si="4"/>
        <v>296.65023732000003</v>
      </c>
      <c r="F29">
        <f t="shared" si="5"/>
        <v>1.1651683278210001</v>
      </c>
      <c r="G29" s="1">
        <f t="shared" si="6"/>
        <v>6.0041793139999997E-5</v>
      </c>
      <c r="I29">
        <f t="shared" si="7"/>
        <v>0.1750765884546451</v>
      </c>
      <c r="J29">
        <f t="shared" si="8"/>
        <v>-0.13972437982800001</v>
      </c>
      <c r="K29">
        <f t="shared" si="9"/>
        <v>0.48973035454800001</v>
      </c>
      <c r="L29">
        <f t="shared" si="10"/>
        <v>1979.901611</v>
      </c>
      <c r="M29">
        <f t="shared" si="11"/>
        <v>0.40777017341130001</v>
      </c>
      <c r="N29">
        <f t="shared" si="11"/>
        <v>-0.74749738894698003</v>
      </c>
      <c r="O29">
        <f t="shared" si="12"/>
        <v>-5.0941493934998326E-2</v>
      </c>
    </row>
    <row r="30" spans="1:15" x14ac:dyDescent="0.3">
      <c r="C30">
        <f t="shared" si="2"/>
        <v>6.3500000000000001E-2</v>
      </c>
      <c r="D30">
        <f t="shared" si="3"/>
        <v>99186.524644460005</v>
      </c>
      <c r="E30">
        <f t="shared" si="4"/>
        <v>296.65023732000003</v>
      </c>
      <c r="F30">
        <f t="shared" si="5"/>
        <v>1.1651683278210001</v>
      </c>
      <c r="G30" s="1">
        <f t="shared" si="6"/>
        <v>6.0041793139999997E-5</v>
      </c>
      <c r="I30">
        <f t="shared" si="7"/>
        <v>0.2089821721906415</v>
      </c>
      <c r="J30">
        <f t="shared" si="8"/>
        <v>1.4303455410400001</v>
      </c>
      <c r="K30">
        <f t="shared" si="9"/>
        <v>1.5669013059168002</v>
      </c>
      <c r="L30">
        <f t="shared" si="10"/>
        <v>6334.7319340000004</v>
      </c>
      <c r="M30">
        <f t="shared" si="11"/>
        <v>0.47449488349704</v>
      </c>
      <c r="N30">
        <f t="shared" si="11"/>
        <v>-0.73750221191766008</v>
      </c>
      <c r="O30">
        <f t="shared" si="12"/>
        <v>-5.0772068432101976E-2</v>
      </c>
    </row>
    <row r="31" spans="1:15" x14ac:dyDescent="0.3">
      <c r="C31">
        <f t="shared" si="2"/>
        <v>6.3500000000000001E-2</v>
      </c>
      <c r="D31">
        <f t="shared" si="3"/>
        <v>99186.524644460005</v>
      </c>
      <c r="E31">
        <f t="shared" si="4"/>
        <v>296.65023732000003</v>
      </c>
      <c r="F31">
        <f t="shared" si="5"/>
        <v>1.1651683278210001</v>
      </c>
      <c r="G31" s="1">
        <f t="shared" si="6"/>
        <v>6.0041793139999997E-5</v>
      </c>
      <c r="I31">
        <f t="shared" si="7"/>
        <v>0.24522366532759893</v>
      </c>
      <c r="J31">
        <f t="shared" si="8"/>
        <v>-0.75479695624000009</v>
      </c>
      <c r="K31">
        <f t="shared" si="9"/>
        <v>1.1382466564968001</v>
      </c>
      <c r="L31">
        <f t="shared" si="10"/>
        <v>4601.7495120000003</v>
      </c>
      <c r="M31">
        <f t="shared" si="11"/>
        <v>0.54131894457648</v>
      </c>
      <c r="N31">
        <f t="shared" si="11"/>
        <v>-0.72451259104518007</v>
      </c>
      <c r="O31">
        <f t="shared" si="12"/>
        <v>-4.9931335407245682E-2</v>
      </c>
    </row>
    <row r="32" spans="1:15" x14ac:dyDescent="0.3">
      <c r="C32">
        <f t="shared" si="2"/>
        <v>6.3500000000000001E-2</v>
      </c>
      <c r="D32">
        <f t="shared" si="3"/>
        <v>99186.524644460005</v>
      </c>
      <c r="E32">
        <f t="shared" si="4"/>
        <v>296.65023732000003</v>
      </c>
      <c r="F32">
        <f t="shared" si="5"/>
        <v>1.1651683278210001</v>
      </c>
      <c r="G32" s="1">
        <f t="shared" si="6"/>
        <v>6.0041793139999997E-5</v>
      </c>
      <c r="I32">
        <f t="shared" si="7"/>
        <v>0.27931360644715425</v>
      </c>
      <c r="J32">
        <f t="shared" si="8"/>
        <v>1.9094486239200001</v>
      </c>
      <c r="K32">
        <f t="shared" si="9"/>
        <v>1.810399524228</v>
      </c>
      <c r="L32">
        <f t="shared" si="10"/>
        <v>7319.15625</v>
      </c>
      <c r="M32">
        <f t="shared" si="11"/>
        <v>0.62455999783128002</v>
      </c>
      <c r="N32">
        <f t="shared" si="11"/>
        <v>-0.72044460044256009</v>
      </c>
      <c r="O32">
        <f t="shared" si="12"/>
        <v>-4.9685461880472216E-2</v>
      </c>
    </row>
    <row r="33" spans="1:15" x14ac:dyDescent="0.3">
      <c r="C33">
        <f t="shared" si="2"/>
        <v>6.3500000000000001E-2</v>
      </c>
      <c r="D33">
        <f t="shared" si="3"/>
        <v>99186.524644460005</v>
      </c>
      <c r="E33">
        <f t="shared" si="4"/>
        <v>296.65023732000003</v>
      </c>
      <c r="F33">
        <f t="shared" si="5"/>
        <v>1.1651683278210001</v>
      </c>
      <c r="G33" s="1">
        <f t="shared" si="6"/>
        <v>6.0041793139999997E-5</v>
      </c>
      <c r="I33">
        <f t="shared" si="7"/>
        <v>0.31562131597966891</v>
      </c>
      <c r="J33">
        <f t="shared" si="8"/>
        <v>4.9419433356800004</v>
      </c>
      <c r="K33">
        <f t="shared" si="9"/>
        <v>2.9125242577440003</v>
      </c>
      <c r="L33">
        <f t="shared" si="10"/>
        <v>11774.87012</v>
      </c>
      <c r="M33">
        <f t="shared" si="11"/>
        <v>0.66008450139365993</v>
      </c>
      <c r="N33">
        <f t="shared" si="11"/>
        <v>-0.71450215217303992</v>
      </c>
      <c r="O33">
        <f t="shared" si="12"/>
        <v>-4.8953911071366381E-2</v>
      </c>
    </row>
    <row r="34" spans="1:15" x14ac:dyDescent="0.3">
      <c r="C34">
        <f t="shared" si="2"/>
        <v>6.3500000000000001E-2</v>
      </c>
      <c r="D34">
        <f t="shared" si="3"/>
        <v>99186.524644460005</v>
      </c>
      <c r="E34">
        <f t="shared" si="4"/>
        <v>296.65023732000003</v>
      </c>
      <c r="F34">
        <f t="shared" si="5"/>
        <v>1.1651683278210001</v>
      </c>
      <c r="G34" s="1">
        <f t="shared" si="6"/>
        <v>6.0041793139999997E-5</v>
      </c>
      <c r="I34">
        <f t="shared" si="7"/>
        <v>0.34998064779660504</v>
      </c>
      <c r="J34">
        <f t="shared" si="8"/>
        <v>4.1062432655999999</v>
      </c>
      <c r="K34">
        <f t="shared" si="9"/>
        <v>2.654867891676</v>
      </c>
      <c r="L34">
        <f t="shared" si="10"/>
        <v>10733.20703</v>
      </c>
      <c r="M34">
        <f t="shared" si="11"/>
        <v>0.74004187419624001</v>
      </c>
      <c r="N34">
        <f t="shared" si="11"/>
        <v>-0.70217905258536006</v>
      </c>
      <c r="O34">
        <f t="shared" si="12"/>
        <v>-4.8585328106690785E-2</v>
      </c>
    </row>
    <row r="35" spans="1:15" x14ac:dyDescent="0.3">
      <c r="C35">
        <f t="shared" si="2"/>
        <v>6.3500000000000001E-2</v>
      </c>
      <c r="D35">
        <f t="shared" si="3"/>
        <v>99186.524644460005</v>
      </c>
      <c r="E35">
        <f t="shared" si="4"/>
        <v>296.65023732000003</v>
      </c>
      <c r="F35">
        <f t="shared" si="5"/>
        <v>1.1651683278210001</v>
      </c>
      <c r="G35" s="1">
        <f t="shared" si="6"/>
        <v>6.0041793139999997E-5</v>
      </c>
      <c r="I35">
        <f t="shared" si="7"/>
        <v>0.38415514575509629</v>
      </c>
      <c r="J35">
        <f t="shared" si="8"/>
        <v>8.8171569832000003</v>
      </c>
      <c r="K35">
        <f t="shared" si="9"/>
        <v>3.8903171896320003</v>
      </c>
      <c r="L35">
        <f t="shared" si="10"/>
        <v>15727.93066</v>
      </c>
      <c r="M35">
        <f t="shared" si="11"/>
        <v>0.80618664759948</v>
      </c>
      <c r="N35">
        <f t="shared" si="11"/>
        <v>-0.67960716515328001</v>
      </c>
      <c r="O35">
        <f t="shared" si="12"/>
        <v>-4.7456776726592244E-2</v>
      </c>
    </row>
    <row r="41" spans="1:15" x14ac:dyDescent="0.3">
      <c r="A41" t="s">
        <v>68</v>
      </c>
    </row>
  </sheetData>
  <mergeCells count="1">
    <mergeCell ref="A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9CFD-C2AD-D349-8BB0-705312183456}">
  <dimension ref="A1:AF62"/>
  <sheetViews>
    <sheetView topLeftCell="J16" zoomScale="70" zoomScaleNormal="70" workbookViewId="0">
      <selection activeCell="R51" sqref="R51"/>
    </sheetView>
  </sheetViews>
  <sheetFormatPr defaultColWidth="11.19921875" defaultRowHeight="15.6" x14ac:dyDescent="0.3"/>
  <cols>
    <col min="2" max="2" width="10.69921875" bestFit="1" customWidth="1"/>
    <col min="3" max="3" width="11.796875" bestFit="1" customWidth="1"/>
    <col min="4" max="4" width="11.19921875" bestFit="1" customWidth="1"/>
    <col min="5" max="5" width="10" bestFit="1" customWidth="1"/>
    <col min="6" max="6" width="10.19921875" bestFit="1" customWidth="1"/>
    <col min="8" max="8" width="12.296875" bestFit="1" customWidth="1"/>
    <col min="9" max="9" width="14" bestFit="1" customWidth="1"/>
    <col min="10" max="10" width="11.19921875" bestFit="1" customWidth="1"/>
    <col min="11" max="11" width="11.69921875" bestFit="1" customWidth="1"/>
    <col min="12" max="12" width="15.796875" bestFit="1" customWidth="1"/>
    <col min="13" max="13" width="11.19921875" bestFit="1" customWidth="1"/>
    <col min="14" max="14" width="12.296875" bestFit="1" customWidth="1"/>
    <col min="15" max="15" width="13" bestFit="1" customWidth="1"/>
    <col min="16" max="16" width="13.3984375" customWidth="1"/>
    <col min="19" max="19" width="14" bestFit="1" customWidth="1"/>
  </cols>
  <sheetData>
    <row r="1" spans="1:32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32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32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-4.0709042000000002</v>
      </c>
      <c r="J4">
        <v>1.209878E-2</v>
      </c>
      <c r="K4">
        <v>39.258720400000001</v>
      </c>
      <c r="L4">
        <v>48376.863299999997</v>
      </c>
      <c r="M4">
        <v>-3.0636E-2</v>
      </c>
      <c r="N4">
        <v>-3.29635E-2</v>
      </c>
      <c r="O4">
        <v>-6.5379099999999996E-2</v>
      </c>
    </row>
    <row r="5" spans="1:32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-1.9768829000000001</v>
      </c>
      <c r="J5">
        <v>1.2431569999999999E-2</v>
      </c>
      <c r="K5">
        <v>39.794979099999999</v>
      </c>
      <c r="L5">
        <v>49037.671900000001</v>
      </c>
      <c r="M5">
        <v>-1.6904599999999999E-2</v>
      </c>
      <c r="N5">
        <v>-1.81371E-2</v>
      </c>
      <c r="O5">
        <v>-2.7161899999999999E-2</v>
      </c>
    </row>
    <row r="6" spans="1:32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-3.4004100000000002E-2</v>
      </c>
      <c r="J6">
        <v>1.249455E-2</v>
      </c>
      <c r="K6">
        <v>39.895656600000002</v>
      </c>
      <c r="L6">
        <v>49161.730499999998</v>
      </c>
      <c r="M6">
        <v>-8.1294000000000002E-3</v>
      </c>
      <c r="N6">
        <v>-1.9358000000000001E-3</v>
      </c>
      <c r="O6">
        <v>1.546289E-2</v>
      </c>
      <c r="S6" t="s">
        <v>35</v>
      </c>
      <c r="T6">
        <v>1.8</v>
      </c>
      <c r="U6">
        <v>1.85</v>
      </c>
      <c r="V6">
        <v>1.9</v>
      </c>
      <c r="W6">
        <v>1.95</v>
      </c>
      <c r="X6">
        <v>2</v>
      </c>
      <c r="Y6">
        <v>2.0499999999999998</v>
      </c>
      <c r="Z6">
        <v>2.1</v>
      </c>
      <c r="AA6">
        <v>2.15</v>
      </c>
      <c r="AB6">
        <v>2.2000000000000002</v>
      </c>
      <c r="AC6">
        <v>2.25</v>
      </c>
      <c r="AD6">
        <v>2.2999999999999998</v>
      </c>
      <c r="AE6">
        <v>2.35</v>
      </c>
      <c r="AF6">
        <v>2.4</v>
      </c>
    </row>
    <row r="7" spans="1:32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2.0190073900000001</v>
      </c>
      <c r="J7">
        <v>1.228565E-2</v>
      </c>
      <c r="K7">
        <v>39.56073</v>
      </c>
      <c r="L7">
        <v>48749.015599999999</v>
      </c>
      <c r="M7">
        <v>4.2352300000000004E-3</v>
      </c>
      <c r="N7">
        <v>1.8655459999999999E-2</v>
      </c>
      <c r="O7">
        <v>6.5535029999999994E-2</v>
      </c>
      <c r="S7">
        <v>-4.0709042000000002</v>
      </c>
      <c r="T7">
        <f>$T$6*N4-O4</f>
        <v>6.044799999999996E-3</v>
      </c>
      <c r="U7">
        <f>$U$6*N4-O4</f>
        <v>4.3966249999999943E-3</v>
      </c>
      <c r="V7">
        <f>$V$6*N4-O4</f>
        <v>2.7484499999999995E-3</v>
      </c>
      <c r="W7">
        <f>$W$6*N4-O4</f>
        <v>1.1002749999999978E-3</v>
      </c>
      <c r="X7">
        <f>$X$6*N4-O4</f>
        <v>-5.4790000000000394E-4</v>
      </c>
      <c r="Y7">
        <f>$Y$6*N4-O4</f>
        <v>-2.1960749999999918E-3</v>
      </c>
      <c r="Z7">
        <f>$Z$6*N4-O4</f>
        <v>-3.8442500000000074E-3</v>
      </c>
      <c r="AA7">
        <f>$AA$6*N4-O4</f>
        <v>-5.4924249999999952E-3</v>
      </c>
      <c r="AB7">
        <f>$AB$6*N4-O4</f>
        <v>-7.1406000000000108E-3</v>
      </c>
      <c r="AC7">
        <f>$AC$6*N4-O4</f>
        <v>-8.7887749999999987E-3</v>
      </c>
      <c r="AD7">
        <f>$AD$6*N4-O4</f>
        <v>-1.043695E-2</v>
      </c>
      <c r="AE7">
        <f>$AE$6*N4-O4</f>
        <v>-1.2085125000000002E-2</v>
      </c>
      <c r="AF7">
        <f>$AF$6*N4-O4</f>
        <v>-1.3733300000000004E-2</v>
      </c>
    </row>
    <row r="8" spans="1:32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4.0295488800000001</v>
      </c>
      <c r="J8">
        <v>1.224983E-2</v>
      </c>
      <c r="K8">
        <v>39.503017399999997</v>
      </c>
      <c r="L8">
        <v>48677.898399999998</v>
      </c>
      <c r="M8">
        <v>1.7225710000000002E-2</v>
      </c>
      <c r="N8">
        <v>3.6033540000000003E-2</v>
      </c>
      <c r="O8">
        <v>0.11771015</v>
      </c>
      <c r="S8">
        <v>-1.9768829000000001</v>
      </c>
      <c r="T8">
        <f t="shared" ref="T8:T20" si="0">$T$6*N5-O5</f>
        <v>-5.484880000000001E-3</v>
      </c>
      <c r="U8">
        <f t="shared" ref="U8:U20" si="1">$U$6*N5-O5</f>
        <v>-6.3917349999999991E-3</v>
      </c>
      <c r="V8">
        <f t="shared" ref="V8:V20" si="2">$V$6*N5-O5</f>
        <v>-7.2985899999999972E-3</v>
      </c>
      <c r="W8">
        <f t="shared" ref="W8:W20" si="3">$W$6*N5-O5</f>
        <v>-8.2054450000000022E-3</v>
      </c>
      <c r="X8">
        <f t="shared" ref="X8:X20" si="4">$X$6*N5-O5</f>
        <v>-9.1123000000000003E-3</v>
      </c>
      <c r="Y8">
        <f t="shared" ref="Y8:Y20" si="5">$Y$6*N5-O5</f>
        <v>-1.0019154999999998E-2</v>
      </c>
      <c r="Z8">
        <f t="shared" ref="Z8:Z20" si="6">$Z$6*N5-O5</f>
        <v>-1.0926010000000003E-2</v>
      </c>
      <c r="AA8">
        <f t="shared" ref="AA8:AA20" si="7">$AA$6*N5-O5</f>
        <v>-1.1832865000000001E-2</v>
      </c>
      <c r="AB8">
        <f t="shared" ref="AB8:AB20" si="8">$AB$6*N5-O5</f>
        <v>-1.2739720000000006E-2</v>
      </c>
      <c r="AC8">
        <f t="shared" ref="AC8:AC20" si="9">$AC$6*N5-O5</f>
        <v>-1.3646574999999998E-2</v>
      </c>
      <c r="AD8">
        <f t="shared" ref="AD8:AD20" si="10">$AD$6*N5-O5</f>
        <v>-1.4553429999999996E-2</v>
      </c>
      <c r="AE8">
        <f t="shared" ref="AE8:AE20" si="11">$AE$6*N5-O5</f>
        <v>-1.5460285000000001E-2</v>
      </c>
      <c r="AF8">
        <f t="shared" ref="AF8:AF20" si="12">$AF$6*N5-O5</f>
        <v>-1.6367139999999999E-2</v>
      </c>
    </row>
    <row r="9" spans="1:32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5.92998504</v>
      </c>
      <c r="J9">
        <v>1.222348E-2</v>
      </c>
      <c r="K9">
        <v>39.460514099999997</v>
      </c>
      <c r="L9">
        <v>48625.523399999998</v>
      </c>
      <c r="M9">
        <v>2.820081E-2</v>
      </c>
      <c r="N9">
        <v>5.6516589999999998E-2</v>
      </c>
      <c r="O9">
        <v>0.16916495000000001</v>
      </c>
      <c r="S9">
        <v>-3.4004100000000002E-2</v>
      </c>
      <c r="T9">
        <f t="shared" si="0"/>
        <v>-1.8947329999999998E-2</v>
      </c>
      <c r="U9">
        <f t="shared" si="1"/>
        <v>-1.9044120000000001E-2</v>
      </c>
      <c r="V9">
        <f t="shared" si="2"/>
        <v>-1.9140910000000001E-2</v>
      </c>
      <c r="W9">
        <f t="shared" si="3"/>
        <v>-1.92377E-2</v>
      </c>
      <c r="X9">
        <f t="shared" si="4"/>
        <v>-1.9334489999999999E-2</v>
      </c>
      <c r="Y9">
        <f t="shared" si="5"/>
        <v>-1.9431279999999999E-2</v>
      </c>
      <c r="Z9">
        <f t="shared" si="6"/>
        <v>-1.9528070000000002E-2</v>
      </c>
      <c r="AA9">
        <f t="shared" si="7"/>
        <v>-1.9624860000000001E-2</v>
      </c>
      <c r="AB9">
        <f t="shared" si="8"/>
        <v>-1.972165E-2</v>
      </c>
      <c r="AC9">
        <f t="shared" si="9"/>
        <v>-1.981844E-2</v>
      </c>
      <c r="AD9">
        <f t="shared" si="10"/>
        <v>-1.9915229999999999E-2</v>
      </c>
      <c r="AE9">
        <f t="shared" si="11"/>
        <v>-2.0012019999999998E-2</v>
      </c>
      <c r="AF9">
        <f t="shared" si="12"/>
        <v>-2.0108810000000001E-2</v>
      </c>
    </row>
    <row r="10" spans="1:32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8.0007105500000009</v>
      </c>
      <c r="J10">
        <v>1.217905E-2</v>
      </c>
      <c r="K10">
        <v>39.388740499999997</v>
      </c>
      <c r="L10">
        <v>48537.078099999999</v>
      </c>
      <c r="M10">
        <v>3.544361E-2</v>
      </c>
      <c r="N10">
        <v>7.2175489999999995E-2</v>
      </c>
      <c r="O10">
        <v>0.20532172000000001</v>
      </c>
      <c r="S10">
        <v>2.0190073900000001</v>
      </c>
      <c r="T10">
        <f t="shared" si="0"/>
        <v>-3.1955201999999995E-2</v>
      </c>
      <c r="U10">
        <f t="shared" si="1"/>
        <v>-3.1022428999999997E-2</v>
      </c>
      <c r="V10">
        <f t="shared" si="2"/>
        <v>-3.0089655999999999E-2</v>
      </c>
      <c r="W10">
        <f t="shared" si="3"/>
        <v>-2.9156882999999995E-2</v>
      </c>
      <c r="X10">
        <f t="shared" si="4"/>
        <v>-2.8224109999999997E-2</v>
      </c>
      <c r="Y10">
        <f t="shared" si="5"/>
        <v>-2.7291336999999999E-2</v>
      </c>
      <c r="Z10">
        <f t="shared" si="6"/>
        <v>-2.6358563999999994E-2</v>
      </c>
      <c r="AA10">
        <f t="shared" si="7"/>
        <v>-2.5425790999999996E-2</v>
      </c>
      <c r="AB10">
        <f t="shared" si="8"/>
        <v>-2.4493017999999991E-2</v>
      </c>
      <c r="AC10">
        <f t="shared" si="9"/>
        <v>-2.3560244999999994E-2</v>
      </c>
      <c r="AD10">
        <f t="shared" si="10"/>
        <v>-2.2627472000000003E-2</v>
      </c>
      <c r="AE10">
        <f t="shared" si="11"/>
        <v>-2.1694698999999998E-2</v>
      </c>
      <c r="AF10">
        <f t="shared" si="12"/>
        <v>-2.0761926E-2</v>
      </c>
    </row>
    <row r="11" spans="1:32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10.0275877</v>
      </c>
      <c r="J11">
        <v>1.240082E-2</v>
      </c>
      <c r="K11">
        <v>39.745727500000001</v>
      </c>
      <c r="L11">
        <v>48976.980499999998</v>
      </c>
      <c r="M11">
        <v>5.3091439999999997E-2</v>
      </c>
      <c r="N11">
        <v>8.6792400000000006E-2</v>
      </c>
      <c r="O11">
        <v>0.23826204000000001</v>
      </c>
      <c r="S11">
        <v>4.0295488800000001</v>
      </c>
      <c r="T11">
        <f t="shared" si="0"/>
        <v>-5.2849777999999986E-2</v>
      </c>
      <c r="U11">
        <f t="shared" si="1"/>
        <v>-5.1048100999999985E-2</v>
      </c>
      <c r="V11">
        <f t="shared" si="2"/>
        <v>-4.9246423999999997E-2</v>
      </c>
      <c r="W11">
        <f t="shared" si="3"/>
        <v>-4.7444746999999995E-2</v>
      </c>
      <c r="X11">
        <f t="shared" si="4"/>
        <v>-4.5643069999999994E-2</v>
      </c>
      <c r="Y11">
        <f t="shared" si="5"/>
        <v>-4.3841393000000006E-2</v>
      </c>
      <c r="Z11">
        <f t="shared" si="6"/>
        <v>-4.2039715999999991E-2</v>
      </c>
      <c r="AA11">
        <f t="shared" si="7"/>
        <v>-4.0238039000000003E-2</v>
      </c>
      <c r="AB11">
        <f t="shared" si="8"/>
        <v>-3.8436361999999988E-2</v>
      </c>
      <c r="AC11">
        <f t="shared" si="9"/>
        <v>-3.6634684999999986E-2</v>
      </c>
      <c r="AD11">
        <f t="shared" si="10"/>
        <v>-3.4833007999999999E-2</v>
      </c>
      <c r="AE11">
        <f t="shared" si="11"/>
        <v>-3.3031330999999983E-2</v>
      </c>
      <c r="AF11">
        <f t="shared" si="12"/>
        <v>-3.1229653999999996E-2</v>
      </c>
    </row>
    <row r="12" spans="1:32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11.9743014</v>
      </c>
      <c r="J12">
        <v>1.255127E-2</v>
      </c>
      <c r="K12">
        <v>39.986114499999999</v>
      </c>
      <c r="L12">
        <v>49273.199200000003</v>
      </c>
      <c r="M12">
        <v>6.5585660000000004E-2</v>
      </c>
      <c r="N12">
        <v>9.9151600000000006E-2</v>
      </c>
      <c r="O12">
        <v>0.26051393</v>
      </c>
      <c r="S12">
        <v>5.92998504</v>
      </c>
      <c r="T12">
        <f t="shared" si="0"/>
        <v>-6.7435088000000004E-2</v>
      </c>
      <c r="U12">
        <f t="shared" si="1"/>
        <v>-6.4609258500000002E-2</v>
      </c>
      <c r="V12">
        <f t="shared" si="2"/>
        <v>-6.1783429000000015E-2</v>
      </c>
      <c r="W12">
        <f t="shared" si="3"/>
        <v>-5.8957599500000013E-2</v>
      </c>
      <c r="X12">
        <f t="shared" si="4"/>
        <v>-5.6131770000000011E-2</v>
      </c>
      <c r="Y12">
        <f t="shared" si="5"/>
        <v>-5.3305940500000024E-2</v>
      </c>
      <c r="Z12">
        <f t="shared" si="6"/>
        <v>-5.0480111000000008E-2</v>
      </c>
      <c r="AA12">
        <f t="shared" si="7"/>
        <v>-4.765428150000002E-2</v>
      </c>
      <c r="AB12">
        <f t="shared" si="8"/>
        <v>-4.4828452000000005E-2</v>
      </c>
      <c r="AC12">
        <f t="shared" si="9"/>
        <v>-4.2002622500000003E-2</v>
      </c>
      <c r="AD12">
        <f t="shared" si="10"/>
        <v>-3.9176793000000015E-2</v>
      </c>
      <c r="AE12">
        <f t="shared" si="11"/>
        <v>-3.63509635E-2</v>
      </c>
      <c r="AF12">
        <f t="shared" si="12"/>
        <v>-3.3525134000000012E-2</v>
      </c>
    </row>
    <row r="13" spans="1:32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14.0581964</v>
      </c>
      <c r="J13">
        <v>1.270113E-2</v>
      </c>
      <c r="K13">
        <v>40.224105799999997</v>
      </c>
      <c r="L13">
        <v>49566.464800000002</v>
      </c>
      <c r="M13">
        <v>8.2295699999999999E-2</v>
      </c>
      <c r="N13">
        <v>0.10492519</v>
      </c>
      <c r="O13">
        <v>0.27462942000000001</v>
      </c>
      <c r="S13">
        <v>8.0007105500000009</v>
      </c>
      <c r="T13">
        <f t="shared" si="0"/>
        <v>-7.5405838000000031E-2</v>
      </c>
      <c r="U13">
        <f t="shared" si="1"/>
        <v>-7.1797063500000008E-2</v>
      </c>
      <c r="V13">
        <f t="shared" si="2"/>
        <v>-6.8188289000000041E-2</v>
      </c>
      <c r="W13">
        <f t="shared" si="3"/>
        <v>-6.4579514500000018E-2</v>
      </c>
      <c r="X13">
        <f t="shared" si="4"/>
        <v>-6.0970740000000023E-2</v>
      </c>
      <c r="Y13">
        <f t="shared" si="5"/>
        <v>-5.7361965500000028E-2</v>
      </c>
      <c r="Z13">
        <f t="shared" si="6"/>
        <v>-5.3753191000000006E-2</v>
      </c>
      <c r="AA13">
        <f t="shared" si="7"/>
        <v>-5.0144416500000039E-2</v>
      </c>
      <c r="AB13">
        <f t="shared" si="8"/>
        <v>-4.6535642000000016E-2</v>
      </c>
      <c r="AC13">
        <f t="shared" si="9"/>
        <v>-4.2926867500000021E-2</v>
      </c>
      <c r="AD13">
        <f t="shared" si="10"/>
        <v>-3.9318093000000026E-2</v>
      </c>
      <c r="AE13">
        <f t="shared" si="11"/>
        <v>-3.5709318500000031E-2</v>
      </c>
      <c r="AF13">
        <f t="shared" si="12"/>
        <v>-3.2100544000000036E-2</v>
      </c>
    </row>
    <row r="14" spans="1:32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15.997199500000001</v>
      </c>
      <c r="J14">
        <v>1.241636E-2</v>
      </c>
      <c r="K14">
        <v>39.770629900000003</v>
      </c>
      <c r="L14">
        <v>49007.664100000002</v>
      </c>
      <c r="M14">
        <v>9.2128310000000005E-2</v>
      </c>
      <c r="N14">
        <v>0.10502383999999999</v>
      </c>
      <c r="O14">
        <v>0.27123181000000002</v>
      </c>
      <c r="S14">
        <v>10.0275877</v>
      </c>
      <c r="T14">
        <f t="shared" si="0"/>
        <v>-8.2035720000000006E-2</v>
      </c>
      <c r="U14">
        <f t="shared" si="1"/>
        <v>-7.769609999999999E-2</v>
      </c>
      <c r="V14">
        <f t="shared" si="2"/>
        <v>-7.3356480000000002E-2</v>
      </c>
      <c r="W14">
        <f t="shared" si="3"/>
        <v>-6.9016860000000013E-2</v>
      </c>
      <c r="X14">
        <f t="shared" si="4"/>
        <v>-6.4677239999999997E-2</v>
      </c>
      <c r="Y14">
        <f t="shared" si="5"/>
        <v>-6.0337620000000008E-2</v>
      </c>
      <c r="Z14">
        <f t="shared" si="6"/>
        <v>-5.5997999999999992E-2</v>
      </c>
      <c r="AA14">
        <f t="shared" si="7"/>
        <v>-5.1658380000000004E-2</v>
      </c>
      <c r="AB14">
        <f t="shared" si="8"/>
        <v>-4.7318759999999987E-2</v>
      </c>
      <c r="AC14">
        <f t="shared" si="9"/>
        <v>-4.2979139999999999E-2</v>
      </c>
      <c r="AD14">
        <f t="shared" si="10"/>
        <v>-3.8639520000000011E-2</v>
      </c>
      <c r="AE14">
        <f t="shared" si="11"/>
        <v>-3.4299899999999994E-2</v>
      </c>
      <c r="AF14">
        <f t="shared" si="12"/>
        <v>-2.9960280000000006E-2</v>
      </c>
    </row>
    <row r="15" spans="1:32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17.959525500000002</v>
      </c>
      <c r="J15">
        <v>1.225822E-2</v>
      </c>
      <c r="K15">
        <v>39.516548200000003</v>
      </c>
      <c r="L15">
        <v>48694.570299999999</v>
      </c>
      <c r="M15">
        <v>0.10426781</v>
      </c>
      <c r="N15">
        <v>0.11288829</v>
      </c>
      <c r="O15">
        <v>0.29176079999999999</v>
      </c>
      <c r="S15">
        <v>11.9743014</v>
      </c>
      <c r="T15">
        <f t="shared" si="0"/>
        <v>-8.2041049999999976E-2</v>
      </c>
      <c r="U15">
        <f t="shared" si="1"/>
        <v>-7.7083469999999987E-2</v>
      </c>
      <c r="V15">
        <f t="shared" si="2"/>
        <v>-7.2125889999999998E-2</v>
      </c>
      <c r="W15">
        <f t="shared" si="3"/>
        <v>-6.7168310000000009E-2</v>
      </c>
      <c r="X15">
        <f t="shared" si="4"/>
        <v>-6.2210729999999992E-2</v>
      </c>
      <c r="Y15">
        <f t="shared" si="5"/>
        <v>-5.7253150000000003E-2</v>
      </c>
      <c r="Z15">
        <f t="shared" si="6"/>
        <v>-5.2295569999999986E-2</v>
      </c>
      <c r="AA15">
        <f t="shared" si="7"/>
        <v>-4.7337989999999996E-2</v>
      </c>
      <c r="AB15">
        <f t="shared" si="8"/>
        <v>-4.2380409999999979E-2</v>
      </c>
      <c r="AC15">
        <f t="shared" si="9"/>
        <v>-3.742282999999999E-2</v>
      </c>
      <c r="AD15">
        <f t="shared" si="10"/>
        <v>-3.2465250000000001E-2</v>
      </c>
      <c r="AE15">
        <f t="shared" si="11"/>
        <v>-2.7507669999999984E-2</v>
      </c>
      <c r="AF15">
        <f t="shared" si="12"/>
        <v>-2.2550089999999995E-2</v>
      </c>
    </row>
    <row r="16" spans="1:32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20.004430599999999</v>
      </c>
      <c r="J16">
        <v>1.2709939999999999E-2</v>
      </c>
      <c r="K16">
        <v>40.238067600000001</v>
      </c>
      <c r="L16">
        <v>49583.667999999998</v>
      </c>
      <c r="M16">
        <v>0.11871772999999999</v>
      </c>
      <c r="N16">
        <v>0.12222697</v>
      </c>
      <c r="O16">
        <v>0.31344598000000001</v>
      </c>
      <c r="S16">
        <v>14.0581964</v>
      </c>
      <c r="T16">
        <f t="shared" si="0"/>
        <v>-8.5764077999999994E-2</v>
      </c>
      <c r="U16">
        <f t="shared" si="1"/>
        <v>-8.0517818500000005E-2</v>
      </c>
      <c r="V16">
        <f t="shared" si="2"/>
        <v>-7.5271559000000016E-2</v>
      </c>
      <c r="W16">
        <f t="shared" si="3"/>
        <v>-7.0025299500000027E-2</v>
      </c>
      <c r="X16">
        <f t="shared" si="4"/>
        <v>-6.477904000000001E-2</v>
      </c>
      <c r="Y16">
        <f t="shared" si="5"/>
        <v>-5.9532780500000021E-2</v>
      </c>
      <c r="Z16">
        <f t="shared" si="6"/>
        <v>-5.4286521000000004E-2</v>
      </c>
      <c r="AA16">
        <f t="shared" si="7"/>
        <v>-4.9040261500000015E-2</v>
      </c>
      <c r="AB16">
        <f t="shared" si="8"/>
        <v>-4.3794001999999999E-2</v>
      </c>
      <c r="AC16">
        <f t="shared" si="9"/>
        <v>-3.854774250000001E-2</v>
      </c>
      <c r="AD16">
        <f t="shared" si="10"/>
        <v>-3.3301483000000021E-2</v>
      </c>
      <c r="AE16">
        <f t="shared" si="11"/>
        <v>-2.8055223500000004E-2</v>
      </c>
      <c r="AF16">
        <f t="shared" si="12"/>
        <v>-2.2808964000000043E-2</v>
      </c>
    </row>
    <row r="17" spans="1:32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22.034937899999999</v>
      </c>
      <c r="J17">
        <v>1.2644529999999999E-2</v>
      </c>
      <c r="K17">
        <v>40.134395599999998</v>
      </c>
      <c r="L17">
        <v>49455.917999999998</v>
      </c>
      <c r="M17">
        <v>0.13625936999999999</v>
      </c>
      <c r="N17">
        <v>0.13120345999999999</v>
      </c>
      <c r="O17">
        <v>0.33564339999999998</v>
      </c>
      <c r="S17">
        <v>15.997199500000001</v>
      </c>
      <c r="T17">
        <f t="shared" si="0"/>
        <v>-8.2188898000000038E-2</v>
      </c>
      <c r="U17">
        <f t="shared" si="1"/>
        <v>-7.6937706000000022E-2</v>
      </c>
      <c r="V17">
        <f t="shared" si="2"/>
        <v>-7.1686514000000034E-2</v>
      </c>
      <c r="W17">
        <f t="shared" si="3"/>
        <v>-6.6435322000000047E-2</v>
      </c>
      <c r="X17">
        <f t="shared" si="4"/>
        <v>-6.1184130000000031E-2</v>
      </c>
      <c r="Y17">
        <f t="shared" si="5"/>
        <v>-5.5932938000000043E-2</v>
      </c>
      <c r="Z17">
        <f t="shared" si="6"/>
        <v>-5.0681746000000027E-2</v>
      </c>
      <c r="AA17">
        <f t="shared" si="7"/>
        <v>-4.543055400000004E-2</v>
      </c>
      <c r="AB17">
        <f t="shared" si="8"/>
        <v>-4.0179362000000024E-2</v>
      </c>
      <c r="AC17">
        <f t="shared" si="9"/>
        <v>-3.4928170000000036E-2</v>
      </c>
      <c r="AD17">
        <f t="shared" si="10"/>
        <v>-2.9676978000000048E-2</v>
      </c>
      <c r="AE17">
        <f t="shared" si="11"/>
        <v>-2.4425786000000033E-2</v>
      </c>
      <c r="AF17">
        <f t="shared" si="12"/>
        <v>-1.9174594000000045E-2</v>
      </c>
    </row>
    <row r="18" spans="1:32" x14ac:dyDescent="0.3">
      <c r="S18">
        <v>17.959525500000002</v>
      </c>
      <c r="T18">
        <f t="shared" si="0"/>
        <v>-8.8561877999999983E-2</v>
      </c>
      <c r="U18">
        <f t="shared" si="1"/>
        <v>-8.2917463499999983E-2</v>
      </c>
      <c r="V18">
        <f t="shared" si="2"/>
        <v>-7.7273048999999983E-2</v>
      </c>
      <c r="W18">
        <f t="shared" si="3"/>
        <v>-7.1628634499999982E-2</v>
      </c>
      <c r="X18">
        <f t="shared" si="4"/>
        <v>-6.5984219999999982E-2</v>
      </c>
      <c r="Y18">
        <f t="shared" si="5"/>
        <v>-6.033980550000001E-2</v>
      </c>
      <c r="Z18">
        <f t="shared" si="6"/>
        <v>-5.4695390999999982E-2</v>
      </c>
      <c r="AA18">
        <f t="shared" si="7"/>
        <v>-4.9050976499999982E-2</v>
      </c>
      <c r="AB18">
        <f t="shared" si="8"/>
        <v>-4.3406561999999954E-2</v>
      </c>
      <c r="AC18">
        <f t="shared" si="9"/>
        <v>-3.776214750000001E-2</v>
      </c>
      <c r="AD18">
        <f t="shared" si="10"/>
        <v>-3.2117732999999982E-2</v>
      </c>
      <c r="AE18">
        <f t="shared" si="11"/>
        <v>-2.6473318499999954E-2</v>
      </c>
      <c r="AF18">
        <f t="shared" si="12"/>
        <v>-2.0828903999999981E-2</v>
      </c>
    </row>
    <row r="19" spans="1:32" x14ac:dyDescent="0.3">
      <c r="S19">
        <v>20.004430599999999</v>
      </c>
      <c r="T19">
        <f t="shared" si="0"/>
        <v>-9.3437434000000014E-2</v>
      </c>
      <c r="U19">
        <f t="shared" si="1"/>
        <v>-8.7326085499999984E-2</v>
      </c>
      <c r="V19">
        <f t="shared" si="2"/>
        <v>-8.1214737000000009E-2</v>
      </c>
      <c r="W19">
        <f t="shared" si="3"/>
        <v>-7.5103388500000007E-2</v>
      </c>
      <c r="X19">
        <f t="shared" si="4"/>
        <v>-6.8992040000000004E-2</v>
      </c>
      <c r="Y19">
        <f t="shared" si="5"/>
        <v>-6.288069150000003E-2</v>
      </c>
      <c r="Z19">
        <f t="shared" si="6"/>
        <v>-5.6769342999999972E-2</v>
      </c>
      <c r="AA19">
        <f t="shared" si="7"/>
        <v>-5.0657994500000025E-2</v>
      </c>
      <c r="AB19">
        <f t="shared" si="8"/>
        <v>-4.4546645999999968E-2</v>
      </c>
      <c r="AC19">
        <f t="shared" si="9"/>
        <v>-3.8435297500000021E-2</v>
      </c>
      <c r="AD19">
        <f t="shared" si="10"/>
        <v>-3.2323949000000018E-2</v>
      </c>
      <c r="AE19">
        <f t="shared" si="11"/>
        <v>-2.6212600500000016E-2</v>
      </c>
      <c r="AF19">
        <f t="shared" si="12"/>
        <v>-2.0101252000000014E-2</v>
      </c>
    </row>
    <row r="20" spans="1:32" x14ac:dyDescent="0.3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S20">
        <v>22.034937899999999</v>
      </c>
      <c r="T20">
        <f t="shared" si="0"/>
        <v>-9.9477171999999975E-2</v>
      </c>
      <c r="U20">
        <f t="shared" si="1"/>
        <v>-9.2916998999999972E-2</v>
      </c>
      <c r="V20">
        <f t="shared" si="2"/>
        <v>-8.6356825999999998E-2</v>
      </c>
      <c r="W20">
        <f t="shared" si="3"/>
        <v>-7.9796652999999995E-2</v>
      </c>
      <c r="X20">
        <f t="shared" si="4"/>
        <v>-7.3236479999999993E-2</v>
      </c>
      <c r="Y20">
        <f t="shared" si="5"/>
        <v>-6.667630699999999E-2</v>
      </c>
      <c r="Z20">
        <f t="shared" si="6"/>
        <v>-6.0116133999999988E-2</v>
      </c>
      <c r="AA20">
        <f t="shared" si="7"/>
        <v>-5.3555960999999985E-2</v>
      </c>
      <c r="AB20">
        <f t="shared" si="8"/>
        <v>-4.6995787999999983E-2</v>
      </c>
      <c r="AC20">
        <f t="shared" si="9"/>
        <v>-4.043561499999998E-2</v>
      </c>
      <c r="AD20">
        <f t="shared" si="10"/>
        <v>-3.3875442000000033E-2</v>
      </c>
      <c r="AE20">
        <f t="shared" si="11"/>
        <v>-2.7315268999999975E-2</v>
      </c>
      <c r="AF20">
        <f t="shared" si="12"/>
        <v>-2.0755096000000028E-2</v>
      </c>
    </row>
    <row r="21" spans="1:32" x14ac:dyDescent="0.3">
      <c r="A21" s="10" t="str">
        <f>A1</f>
        <v>Data Point</v>
      </c>
      <c r="B21" s="10" t="str">
        <f t="shared" ref="B21:O21" si="13">B1</f>
        <v> Corr Factor</v>
      </c>
      <c r="C21" s="10" t="str">
        <f t="shared" si="13"/>
        <v> Length Scale</v>
      </c>
      <c r="D21" s="10" t="str">
        <f t="shared" si="13"/>
        <v> AmbPress</v>
      </c>
      <c r="E21" s="10" t="str">
        <f t="shared" si="13"/>
        <v> AmbTemp</v>
      </c>
      <c r="F21" s="10" t="str">
        <f t="shared" si="13"/>
        <v> Density</v>
      </c>
      <c r="G21" s="10" t="str">
        <f t="shared" si="13"/>
        <v> Viscosity</v>
      </c>
      <c r="H21" s="10" t="str">
        <f t="shared" si="13"/>
        <v> Motor Speed</v>
      </c>
      <c r="I21" s="10" t="str">
        <f t="shared" si="13"/>
        <v> Angle of Attack</v>
      </c>
      <c r="J21" s="10" t="str">
        <f t="shared" si="13"/>
        <v> Corrected q</v>
      </c>
      <c r="K21" s="10" t="str">
        <f t="shared" si="13"/>
        <v> Avg Velocity</v>
      </c>
      <c r="L21" s="10" t="str">
        <f t="shared" si="13"/>
        <v> Reynolds number</v>
      </c>
      <c r="M21" s="10" t="str">
        <f t="shared" si="13"/>
        <v> Axial Force</v>
      </c>
      <c r="N21" s="10" t="str">
        <f t="shared" si="13"/>
        <v>Normal Force</v>
      </c>
      <c r="O21" s="10" t="str">
        <f t="shared" si="13"/>
        <v> Pitching Mom</v>
      </c>
      <c r="P21" t="s">
        <v>87</v>
      </c>
    </row>
    <row r="22" spans="1:32" x14ac:dyDescent="0.3">
      <c r="A22" s="10" t="str">
        <f t="shared" ref="A22:O37" si="14">A2</f>
        <v>#</v>
      </c>
      <c r="B22" s="10" t="str">
        <f t="shared" si="14"/>
        <v> ND</v>
      </c>
      <c r="C22" s="10" t="str">
        <f t="shared" si="14"/>
        <v> [in]</v>
      </c>
      <c r="D22" s="10" t="str">
        <f t="shared" si="14"/>
        <v> [psia]</v>
      </c>
      <c r="E22" s="10" t="str">
        <f t="shared" si="14"/>
        <v> [R]</v>
      </c>
      <c r="F22" s="10" t="str">
        <f t="shared" si="14"/>
        <v> [slug/ft3]</v>
      </c>
      <c r="G22" s="10" t="str">
        <f t="shared" si="14"/>
        <v> [slug/ft s]</v>
      </c>
      <c r="H22" s="10" t="str">
        <f t="shared" si="14"/>
        <v> [RPM]</v>
      </c>
      <c r="I22" s="10" t="str">
        <f t="shared" si="14"/>
        <v> [deg]</v>
      </c>
      <c r="J22" s="10" t="str">
        <f t="shared" si="14"/>
        <v> [dpsi]</v>
      </c>
      <c r="K22" s="10" t="str">
        <f t="shared" si="14"/>
        <v> [ft/s]</v>
      </c>
      <c r="L22" s="10" t="str">
        <f t="shared" si="14"/>
        <v> ND</v>
      </c>
      <c r="M22" s="10" t="str">
        <f t="shared" si="14"/>
        <v> [Lbf]</v>
      </c>
      <c r="N22" s="10" t="str">
        <f t="shared" si="14"/>
        <v> [Lbf]</v>
      </c>
      <c r="O22" s="10" t="str">
        <f t="shared" si="14"/>
        <v> [in-Lbf]</v>
      </c>
      <c r="P22">
        <v>2.6</v>
      </c>
      <c r="Q22">
        <v>2.65</v>
      </c>
      <c r="R22">
        <v>2.7</v>
      </c>
      <c r="S22">
        <v>2.75</v>
      </c>
      <c r="T22">
        <v>2.8</v>
      </c>
      <c r="U22">
        <v>2.85</v>
      </c>
      <c r="V22">
        <v>2.9</v>
      </c>
      <c r="W22">
        <v>2.95</v>
      </c>
      <c r="X22">
        <v>3</v>
      </c>
    </row>
    <row r="23" spans="1:3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32" x14ac:dyDescent="0.3">
      <c r="A24" s="10">
        <f t="shared" si="14"/>
        <v>1</v>
      </c>
      <c r="B24" s="10">
        <f t="shared" si="14"/>
        <v>0.95</v>
      </c>
      <c r="C24" s="10">
        <f t="shared" si="14"/>
        <v>2.5</v>
      </c>
      <c r="D24" s="10">
        <f t="shared" si="14"/>
        <v>14.385783500000001</v>
      </c>
      <c r="E24" s="10">
        <f t="shared" si="14"/>
        <v>533.97</v>
      </c>
      <c r="F24" s="10">
        <f t="shared" si="14"/>
        <v>2.2607999999999999E-3</v>
      </c>
      <c r="G24" s="10">
        <f t="shared" si="14"/>
        <v>3.8200000000000001E-7</v>
      </c>
      <c r="H24" s="10">
        <f t="shared" si="14"/>
        <v>0</v>
      </c>
      <c r="I24" s="10">
        <f t="shared" si="14"/>
        <v>-4.0709042000000002</v>
      </c>
      <c r="J24" s="10">
        <f t="shared" si="14"/>
        <v>1.209878E-2</v>
      </c>
      <c r="K24" s="10">
        <f t="shared" si="14"/>
        <v>39.258720400000001</v>
      </c>
      <c r="L24" s="10">
        <f t="shared" si="14"/>
        <v>48376.863299999997</v>
      </c>
      <c r="M24" s="10">
        <f>M4-'0 ft'!M4</f>
        <v>-1.5443984000000001E-2</v>
      </c>
      <c r="N24" s="10">
        <f>N4-'0 ft'!N4</f>
        <v>0.13829839299999999</v>
      </c>
      <c r="O24" s="10">
        <f>O4-'0 ft'!O4</f>
        <v>0.40469650800000001</v>
      </c>
      <c r="P24">
        <f>2.6*N4 - O4</f>
        <v>-2.0326000000000011E-2</v>
      </c>
      <c r="Q24">
        <f>2.65*N4 - O4</f>
        <v>-2.1974174999999999E-2</v>
      </c>
      <c r="R24">
        <f>2.7*N4 - O4</f>
        <v>-2.3622350000000014E-2</v>
      </c>
      <c r="S24">
        <f>2.75*N4 - O4</f>
        <v>-2.5270525000000002E-2</v>
      </c>
      <c r="T24">
        <f>2.8*N4 - O4</f>
        <v>-2.6918700000000004E-2</v>
      </c>
      <c r="U24">
        <f>2.85*N4 - O4</f>
        <v>-2.8566875000000005E-2</v>
      </c>
      <c r="V24">
        <f>2.9*N4 - O4</f>
        <v>-3.0215050000000007E-2</v>
      </c>
      <c r="W24">
        <f>2.95*N4 - O4</f>
        <v>-3.1863225000000009E-2</v>
      </c>
      <c r="X24">
        <f>3*N4 - O4</f>
        <v>-3.3511399999999997E-2</v>
      </c>
    </row>
    <row r="25" spans="1:32" x14ac:dyDescent="0.3">
      <c r="A25" s="10">
        <f t="shared" si="14"/>
        <v>2</v>
      </c>
      <c r="B25" s="10">
        <f t="shared" si="14"/>
        <v>0.95</v>
      </c>
      <c r="C25" s="10">
        <f t="shared" si="14"/>
        <v>2.5</v>
      </c>
      <c r="D25" s="10">
        <f t="shared" si="14"/>
        <v>14.385783500000001</v>
      </c>
      <c r="E25" s="10">
        <f t="shared" si="14"/>
        <v>533.97</v>
      </c>
      <c r="F25" s="10">
        <f t="shared" si="14"/>
        <v>2.2607999999999999E-3</v>
      </c>
      <c r="G25" s="10">
        <f t="shared" si="14"/>
        <v>3.8200000000000001E-7</v>
      </c>
      <c r="H25" s="10">
        <f t="shared" si="14"/>
        <v>0</v>
      </c>
      <c r="I25" s="10">
        <f t="shared" si="14"/>
        <v>-1.9768829000000001</v>
      </c>
      <c r="J25" s="10">
        <f t="shared" si="14"/>
        <v>1.2431569999999999E-2</v>
      </c>
      <c r="K25" s="10">
        <f t="shared" si="14"/>
        <v>39.794979099999999</v>
      </c>
      <c r="L25" s="10">
        <f t="shared" si="14"/>
        <v>49037.671900000001</v>
      </c>
      <c r="M25" s="10">
        <f>M5-'0 ft'!M5</f>
        <v>-2.2070509999999998E-2</v>
      </c>
      <c r="N25" s="10">
        <f>N5-'0 ft'!N5</f>
        <v>0.15252231500000002</v>
      </c>
      <c r="O25" s="10">
        <f>O5-'0 ft'!O5</f>
        <v>0.44069835999999996</v>
      </c>
      <c r="P25">
        <f t="shared" ref="P25:P37" si="15">2.6*N5 - O5</f>
        <v>-1.9994560000000005E-2</v>
      </c>
      <c r="Q25">
        <f t="shared" ref="Q25:Q37" si="16">2.65*N5 - O5</f>
        <v>-2.0901414999999996E-2</v>
      </c>
      <c r="R25">
        <f t="shared" ref="R25:R37" si="17">2.7*N5 - O5</f>
        <v>-2.1808270000000001E-2</v>
      </c>
      <c r="S25">
        <f t="shared" ref="S25:S37" si="18">2.75*N5 - O5</f>
        <v>-2.2715124999999999E-2</v>
      </c>
      <c r="T25">
        <f t="shared" ref="T25:T37" si="19">2.8*N5 - O5</f>
        <v>-2.3621979999999997E-2</v>
      </c>
      <c r="U25">
        <f t="shared" ref="U25:U37" si="20">2.85*N5 - O5</f>
        <v>-2.4528835000000002E-2</v>
      </c>
      <c r="V25">
        <f t="shared" ref="V25:V37" si="21">2.9*N5 - O5</f>
        <v>-2.543569E-2</v>
      </c>
      <c r="W25">
        <f t="shared" ref="W25:W37" si="22">2.95*N5 - O5</f>
        <v>-2.6342545000000005E-2</v>
      </c>
      <c r="X25">
        <f t="shared" ref="X25:X37" si="23">3*N5 - O5</f>
        <v>-2.7249399999999997E-2</v>
      </c>
    </row>
    <row r="26" spans="1:32" x14ac:dyDescent="0.3">
      <c r="A26" s="10">
        <f t="shared" si="14"/>
        <v>3</v>
      </c>
      <c r="B26" s="10">
        <f t="shared" si="14"/>
        <v>0.95</v>
      </c>
      <c r="C26" s="10">
        <f t="shared" si="14"/>
        <v>2.5</v>
      </c>
      <c r="D26" s="10">
        <f t="shared" si="14"/>
        <v>14.385783500000001</v>
      </c>
      <c r="E26" s="10">
        <f t="shared" si="14"/>
        <v>533.97</v>
      </c>
      <c r="F26" s="10">
        <f t="shared" si="14"/>
        <v>2.2607999999999999E-3</v>
      </c>
      <c r="G26" s="10">
        <f t="shared" si="14"/>
        <v>3.8200000000000001E-7</v>
      </c>
      <c r="H26" s="10">
        <f t="shared" si="14"/>
        <v>0</v>
      </c>
      <c r="I26" s="10">
        <f t="shared" si="14"/>
        <v>-3.4004100000000002E-2</v>
      </c>
      <c r="J26" s="10">
        <f t="shared" si="14"/>
        <v>1.249455E-2</v>
      </c>
      <c r="K26" s="10">
        <f t="shared" si="14"/>
        <v>39.895656600000002</v>
      </c>
      <c r="L26" s="10">
        <f t="shared" si="14"/>
        <v>49161.730499999998</v>
      </c>
      <c r="M26" s="10">
        <f>M6-'0 ft'!M6</f>
        <v>-2.1885330000000001E-2</v>
      </c>
      <c r="N26" s="10">
        <f>N6-'0 ft'!N6</f>
        <v>0.16776374600000002</v>
      </c>
      <c r="O26" s="10">
        <f>O6-'0 ft'!O6</f>
        <v>0.48053222200000001</v>
      </c>
      <c r="P26">
        <f t="shared" si="15"/>
        <v>-2.0495970000000002E-2</v>
      </c>
      <c r="Q26">
        <f t="shared" si="16"/>
        <v>-2.0592760000000002E-2</v>
      </c>
      <c r="R26">
        <f t="shared" si="17"/>
        <v>-2.0689550000000001E-2</v>
      </c>
      <c r="S26">
        <f t="shared" si="18"/>
        <v>-2.078634E-2</v>
      </c>
      <c r="T26">
        <f t="shared" si="19"/>
        <v>-2.088313E-2</v>
      </c>
      <c r="U26">
        <f t="shared" si="20"/>
        <v>-2.0979919999999999E-2</v>
      </c>
      <c r="V26">
        <f t="shared" si="21"/>
        <v>-2.1076709999999999E-2</v>
      </c>
      <c r="W26">
        <f t="shared" si="22"/>
        <v>-2.1173500000000001E-2</v>
      </c>
      <c r="X26">
        <f t="shared" si="23"/>
        <v>-2.1270290000000001E-2</v>
      </c>
    </row>
    <row r="27" spans="1:32" x14ac:dyDescent="0.3">
      <c r="A27" s="10">
        <f t="shared" si="14"/>
        <v>4</v>
      </c>
      <c r="B27" s="10">
        <f t="shared" si="14"/>
        <v>0.95</v>
      </c>
      <c r="C27" s="10">
        <f t="shared" si="14"/>
        <v>2.5</v>
      </c>
      <c r="D27" s="10">
        <f t="shared" si="14"/>
        <v>14.385783500000001</v>
      </c>
      <c r="E27" s="10">
        <f t="shared" si="14"/>
        <v>533.97</v>
      </c>
      <c r="F27" s="10">
        <f t="shared" si="14"/>
        <v>2.2607999999999999E-3</v>
      </c>
      <c r="G27" s="10">
        <f t="shared" si="14"/>
        <v>3.8200000000000001E-7</v>
      </c>
      <c r="H27" s="10">
        <f t="shared" si="14"/>
        <v>0</v>
      </c>
      <c r="I27" s="10">
        <f t="shared" si="14"/>
        <v>2.0190073900000001</v>
      </c>
      <c r="J27" s="10">
        <f t="shared" si="14"/>
        <v>1.228565E-2</v>
      </c>
      <c r="K27" s="10">
        <f t="shared" si="14"/>
        <v>39.56073</v>
      </c>
      <c r="L27" s="10">
        <f t="shared" si="14"/>
        <v>48749.015599999999</v>
      </c>
      <c r="M27" s="10">
        <f>M7-'0 ft'!M7</f>
        <v>-2.7607410999999998E-2</v>
      </c>
      <c r="N27" s="10">
        <f>N7-'0 ft'!N7</f>
        <v>0.188933774</v>
      </c>
      <c r="O27" s="10">
        <f>O7-'0 ft'!O7</f>
        <v>0.52846435799999991</v>
      </c>
      <c r="P27">
        <f t="shared" si="15"/>
        <v>-1.7030833999999995E-2</v>
      </c>
      <c r="Q27">
        <f t="shared" si="16"/>
        <v>-1.6098060999999997E-2</v>
      </c>
      <c r="R27">
        <f t="shared" si="17"/>
        <v>-1.5165287999999992E-2</v>
      </c>
      <c r="S27">
        <f t="shared" si="18"/>
        <v>-1.4232515000000001E-2</v>
      </c>
      <c r="T27">
        <f t="shared" si="19"/>
        <v>-1.3299742000000003E-2</v>
      </c>
      <c r="U27">
        <f t="shared" si="20"/>
        <v>-1.2366968999999998E-2</v>
      </c>
      <c r="V27">
        <f t="shared" si="21"/>
        <v>-1.1434196000000001E-2</v>
      </c>
      <c r="W27">
        <f t="shared" si="22"/>
        <v>-1.0501422999999996E-2</v>
      </c>
      <c r="X27">
        <f t="shared" si="23"/>
        <v>-9.568649999999998E-3</v>
      </c>
    </row>
    <row r="28" spans="1:32" x14ac:dyDescent="0.3">
      <c r="A28" s="10">
        <f t="shared" si="14"/>
        <v>5</v>
      </c>
      <c r="B28" s="10">
        <f t="shared" si="14"/>
        <v>0.95</v>
      </c>
      <c r="C28" s="10">
        <f t="shared" si="14"/>
        <v>2.5</v>
      </c>
      <c r="D28" s="10">
        <f t="shared" si="14"/>
        <v>14.385783500000001</v>
      </c>
      <c r="E28" s="10">
        <f t="shared" si="14"/>
        <v>533.97</v>
      </c>
      <c r="F28" s="10">
        <f t="shared" si="14"/>
        <v>2.2607999999999999E-3</v>
      </c>
      <c r="G28" s="10">
        <f t="shared" si="14"/>
        <v>3.8200000000000001E-7</v>
      </c>
      <c r="H28" s="10">
        <f t="shared" si="14"/>
        <v>0</v>
      </c>
      <c r="I28" s="10">
        <f t="shared" si="14"/>
        <v>4.0295488800000001</v>
      </c>
      <c r="J28" s="10">
        <f t="shared" si="14"/>
        <v>1.224983E-2</v>
      </c>
      <c r="K28" s="10">
        <f t="shared" si="14"/>
        <v>39.503017399999997</v>
      </c>
      <c r="L28" s="10">
        <f t="shared" si="14"/>
        <v>48677.898399999998</v>
      </c>
      <c r="M28" s="10">
        <f>M8-'0 ft'!M8</f>
        <v>-2.5305475999999997E-2</v>
      </c>
      <c r="N28" s="10">
        <f>N8-'0 ft'!N8</f>
        <v>0.20797679599999999</v>
      </c>
      <c r="O28" s="10">
        <f>O8-'0 ft'!O8</f>
        <v>0.57905161299999997</v>
      </c>
      <c r="P28">
        <f t="shared" si="15"/>
        <v>-2.4022945999999989E-2</v>
      </c>
      <c r="Q28">
        <f t="shared" si="16"/>
        <v>-2.2221269000000002E-2</v>
      </c>
      <c r="R28">
        <f t="shared" si="17"/>
        <v>-2.0419591999999986E-2</v>
      </c>
      <c r="S28">
        <f t="shared" si="18"/>
        <v>-1.8617914999999999E-2</v>
      </c>
      <c r="T28">
        <f t="shared" si="19"/>
        <v>-1.6816237999999997E-2</v>
      </c>
      <c r="U28">
        <f t="shared" si="20"/>
        <v>-1.5014560999999982E-2</v>
      </c>
      <c r="V28">
        <f t="shared" si="21"/>
        <v>-1.3212883999999994E-2</v>
      </c>
      <c r="W28">
        <f t="shared" si="22"/>
        <v>-1.1411206999999979E-2</v>
      </c>
      <c r="X28">
        <f t="shared" si="23"/>
        <v>-9.6095299999999911E-3</v>
      </c>
    </row>
    <row r="29" spans="1:32" x14ac:dyDescent="0.3">
      <c r="A29" s="10">
        <f t="shared" si="14"/>
        <v>6</v>
      </c>
      <c r="B29" s="10">
        <f t="shared" si="14"/>
        <v>0.95</v>
      </c>
      <c r="C29" s="10">
        <f t="shared" si="14"/>
        <v>2.5</v>
      </c>
      <c r="D29" s="10">
        <f t="shared" si="14"/>
        <v>14.385783500000001</v>
      </c>
      <c r="E29" s="10">
        <f t="shared" si="14"/>
        <v>533.97</v>
      </c>
      <c r="F29" s="10">
        <f t="shared" si="14"/>
        <v>2.2607999999999999E-3</v>
      </c>
      <c r="G29" s="10">
        <f t="shared" si="14"/>
        <v>3.8200000000000001E-7</v>
      </c>
      <c r="H29" s="10">
        <f t="shared" si="14"/>
        <v>0</v>
      </c>
      <c r="I29" s="10">
        <f t="shared" si="14"/>
        <v>5.92998504</v>
      </c>
      <c r="J29" s="10">
        <f t="shared" si="14"/>
        <v>1.222348E-2</v>
      </c>
      <c r="K29" s="10">
        <f t="shared" si="14"/>
        <v>39.460514099999997</v>
      </c>
      <c r="L29" s="10">
        <f t="shared" si="14"/>
        <v>48625.523399999998</v>
      </c>
      <c r="M29" s="10">
        <f>M9-'0 ft'!M9</f>
        <v>-3.2828091000000004E-2</v>
      </c>
      <c r="N29" s="10">
        <f>N9-'0 ft'!N9</f>
        <v>0.22682548599999999</v>
      </c>
      <c r="O29" s="10">
        <f>O9-'0 ft'!O9</f>
        <v>0.62713855100000004</v>
      </c>
      <c r="P29">
        <f t="shared" si="15"/>
        <v>-2.2221816000000005E-2</v>
      </c>
      <c r="Q29">
        <f t="shared" si="16"/>
        <v>-1.9395986500000018E-2</v>
      </c>
      <c r="R29">
        <f t="shared" si="17"/>
        <v>-1.6570157000000002E-2</v>
      </c>
      <c r="S29">
        <f t="shared" si="18"/>
        <v>-1.3744327500000014E-2</v>
      </c>
      <c r="T29">
        <f t="shared" si="19"/>
        <v>-1.0918498000000026E-2</v>
      </c>
      <c r="U29">
        <f t="shared" si="20"/>
        <v>-8.0926685000000109E-3</v>
      </c>
      <c r="V29">
        <f t="shared" si="21"/>
        <v>-5.2668390000000231E-3</v>
      </c>
      <c r="W29">
        <f t="shared" si="22"/>
        <v>-2.4410095000000076E-3</v>
      </c>
      <c r="X29">
        <f t="shared" si="23"/>
        <v>3.8481999999998018E-4</v>
      </c>
    </row>
    <row r="30" spans="1:32" x14ac:dyDescent="0.3">
      <c r="A30" s="10">
        <f t="shared" si="14"/>
        <v>7</v>
      </c>
      <c r="B30" s="10">
        <f t="shared" si="14"/>
        <v>0.95</v>
      </c>
      <c r="C30" s="10">
        <f t="shared" si="14"/>
        <v>2.5</v>
      </c>
      <c r="D30" s="10">
        <f t="shared" si="14"/>
        <v>14.385783500000001</v>
      </c>
      <c r="E30" s="10">
        <f t="shared" si="14"/>
        <v>533.97</v>
      </c>
      <c r="F30" s="10">
        <f t="shared" si="14"/>
        <v>2.2607999999999999E-3</v>
      </c>
      <c r="G30" s="10">
        <f t="shared" si="14"/>
        <v>3.8200000000000001E-7</v>
      </c>
      <c r="H30" s="10">
        <f t="shared" si="14"/>
        <v>0</v>
      </c>
      <c r="I30" s="10">
        <f t="shared" si="14"/>
        <v>8.0007105500000009</v>
      </c>
      <c r="J30" s="10">
        <f t="shared" si="14"/>
        <v>1.217905E-2</v>
      </c>
      <c r="K30" s="10">
        <f t="shared" si="14"/>
        <v>39.388740499999997</v>
      </c>
      <c r="L30" s="10">
        <f t="shared" si="14"/>
        <v>48537.078099999999</v>
      </c>
      <c r="M30" s="10">
        <f>M10-'0 ft'!M10</f>
        <v>-4.2200975000000002E-2</v>
      </c>
      <c r="N30" s="10">
        <f>N10-'0 ft'!N10</f>
        <v>0.24039066100000001</v>
      </c>
      <c r="O30" s="10">
        <f>O10-'0 ft'!O10</f>
        <v>0.65984020099999996</v>
      </c>
      <c r="P30">
        <f t="shared" si="15"/>
        <v>-1.7665446000000029E-2</v>
      </c>
      <c r="Q30">
        <f t="shared" si="16"/>
        <v>-1.4056671500000034E-2</v>
      </c>
      <c r="R30">
        <f t="shared" si="17"/>
        <v>-1.0447897000000012E-2</v>
      </c>
      <c r="S30">
        <f t="shared" si="18"/>
        <v>-6.8391225000000166E-3</v>
      </c>
      <c r="T30">
        <f t="shared" si="19"/>
        <v>-3.2303480000000495E-3</v>
      </c>
      <c r="U30">
        <f t="shared" si="20"/>
        <v>3.7842649999997313E-4</v>
      </c>
      <c r="V30">
        <f t="shared" si="21"/>
        <v>3.987200999999968E-3</v>
      </c>
      <c r="W30">
        <f t="shared" si="22"/>
        <v>7.5959754999999907E-3</v>
      </c>
      <c r="X30">
        <f t="shared" si="23"/>
        <v>1.1204749999999958E-2</v>
      </c>
    </row>
    <row r="31" spans="1:32" x14ac:dyDescent="0.3">
      <c r="A31" s="10">
        <f t="shared" si="14"/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10.0275877</v>
      </c>
      <c r="J31" s="10">
        <f t="shared" si="14"/>
        <v>1.240082E-2</v>
      </c>
      <c r="K31" s="10">
        <f t="shared" si="14"/>
        <v>39.745727500000001</v>
      </c>
      <c r="L31" s="10">
        <f t="shared" si="14"/>
        <v>48976.980499999998</v>
      </c>
      <c r="M31" s="10">
        <f>M11-'0 ft'!M11</f>
        <v>-3.8578975000000008E-2</v>
      </c>
      <c r="N31" s="10">
        <f>N11-'0 ft'!N11</f>
        <v>0.25483655900000002</v>
      </c>
      <c r="O31" s="10">
        <f>O11-'0 ft'!O11</f>
        <v>0.68913223600000006</v>
      </c>
      <c r="P31">
        <f t="shared" si="15"/>
        <v>-1.2601799999999996E-2</v>
      </c>
      <c r="Q31">
        <f t="shared" si="16"/>
        <v>-8.2621800000000079E-3</v>
      </c>
      <c r="R31">
        <f t="shared" si="17"/>
        <v>-3.9225599999999639E-3</v>
      </c>
      <c r="S31">
        <f t="shared" si="18"/>
        <v>4.1705999999999688E-4</v>
      </c>
      <c r="T31">
        <f t="shared" si="19"/>
        <v>4.7566799999999854E-3</v>
      </c>
      <c r="U31">
        <f t="shared" si="20"/>
        <v>9.0963000000000294E-3</v>
      </c>
      <c r="V31">
        <f t="shared" si="21"/>
        <v>1.343591999999999E-2</v>
      </c>
      <c r="W31">
        <f t="shared" si="22"/>
        <v>1.7775540000000034E-2</v>
      </c>
      <c r="X31">
        <f t="shared" si="23"/>
        <v>2.2115160000000023E-2</v>
      </c>
    </row>
    <row r="32" spans="1:32" x14ac:dyDescent="0.3">
      <c r="A32" s="10">
        <f t="shared" si="14"/>
        <v>9</v>
      </c>
      <c r="B32" s="10">
        <f t="shared" si="14"/>
        <v>0.95</v>
      </c>
      <c r="C32" s="10">
        <f t="shared" si="14"/>
        <v>2.5</v>
      </c>
      <c r="D32" s="10">
        <f t="shared" si="14"/>
        <v>14.385783500000001</v>
      </c>
      <c r="E32" s="10">
        <f t="shared" si="14"/>
        <v>533.97</v>
      </c>
      <c r="F32" s="10">
        <f t="shared" si="14"/>
        <v>2.2607999999999999E-3</v>
      </c>
      <c r="G32" s="10">
        <f t="shared" si="14"/>
        <v>3.8200000000000001E-7</v>
      </c>
      <c r="H32" s="10">
        <f t="shared" si="14"/>
        <v>0</v>
      </c>
      <c r="I32" s="10">
        <f t="shared" si="14"/>
        <v>11.9743014</v>
      </c>
      <c r="J32" s="10">
        <f t="shared" si="14"/>
        <v>1.255127E-2</v>
      </c>
      <c r="K32" s="10">
        <f t="shared" si="14"/>
        <v>39.986114499999999</v>
      </c>
      <c r="L32" s="10">
        <f t="shared" si="14"/>
        <v>49273.199200000003</v>
      </c>
      <c r="M32" s="10">
        <f>M12-'0 ft'!M12</f>
        <v>-4.1085072E-2</v>
      </c>
      <c r="N32" s="10">
        <f>N12-'0 ft'!N12</f>
        <v>0.26494875299999998</v>
      </c>
      <c r="O32" s="10">
        <f>O12-'0 ft'!O12</f>
        <v>0.70988458399999999</v>
      </c>
      <c r="P32">
        <f t="shared" si="15"/>
        <v>-2.7197699999999547E-3</v>
      </c>
      <c r="Q32">
        <f t="shared" si="16"/>
        <v>2.2378100000000067E-3</v>
      </c>
      <c r="R32">
        <f t="shared" si="17"/>
        <v>7.1953900000000237E-3</v>
      </c>
      <c r="S32">
        <f t="shared" si="18"/>
        <v>1.2152970000000041E-2</v>
      </c>
      <c r="T32">
        <f t="shared" si="19"/>
        <v>1.7110550000000002E-2</v>
      </c>
      <c r="U32">
        <f t="shared" si="20"/>
        <v>2.2068130000000019E-2</v>
      </c>
      <c r="V32">
        <f t="shared" si="21"/>
        <v>2.7025709999999981E-2</v>
      </c>
      <c r="W32">
        <f t="shared" si="22"/>
        <v>3.1983290000000053E-2</v>
      </c>
      <c r="X32">
        <f t="shared" si="23"/>
        <v>3.6940870000000015E-2</v>
      </c>
    </row>
    <row r="33" spans="1:24" x14ac:dyDescent="0.3">
      <c r="A33" s="10">
        <f t="shared" si="14"/>
        <v>10</v>
      </c>
      <c r="B33" s="10">
        <f t="shared" si="14"/>
        <v>0.95</v>
      </c>
      <c r="C33" s="10">
        <f t="shared" si="14"/>
        <v>2.5</v>
      </c>
      <c r="D33" s="10">
        <f t="shared" si="14"/>
        <v>14.385783500000001</v>
      </c>
      <c r="E33" s="10">
        <f t="shared" si="14"/>
        <v>533.97</v>
      </c>
      <c r="F33" s="10">
        <f t="shared" si="14"/>
        <v>2.2607999999999999E-3</v>
      </c>
      <c r="G33" s="10">
        <f t="shared" si="14"/>
        <v>3.8200000000000001E-7</v>
      </c>
      <c r="H33" s="10">
        <f t="shared" si="14"/>
        <v>0</v>
      </c>
      <c r="I33" s="10">
        <f t="shared" si="14"/>
        <v>14.0581964</v>
      </c>
      <c r="J33" s="10">
        <f t="shared" si="14"/>
        <v>1.270113E-2</v>
      </c>
      <c r="K33" s="10">
        <f t="shared" si="14"/>
        <v>40.224105799999997</v>
      </c>
      <c r="L33" s="10">
        <f t="shared" si="14"/>
        <v>49566.464800000002</v>
      </c>
      <c r="M33" s="10">
        <f>M13-'0 ft'!M13</f>
        <v>-3.9397684000000002E-2</v>
      </c>
      <c r="N33" s="10">
        <f>N13-'0 ft'!N13</f>
        <v>0.26780215900000004</v>
      </c>
      <c r="O33" s="10">
        <f>O13-'0 ft'!O13</f>
        <v>0.71655895999999997</v>
      </c>
      <c r="P33">
        <f t="shared" si="15"/>
        <v>-1.8239259999999757E-3</v>
      </c>
      <c r="Q33">
        <f t="shared" si="16"/>
        <v>3.4223334999999855E-3</v>
      </c>
      <c r="R33">
        <f t="shared" si="17"/>
        <v>8.6685930000000022E-3</v>
      </c>
      <c r="S33">
        <f t="shared" si="18"/>
        <v>1.3914852500000019E-2</v>
      </c>
      <c r="T33">
        <f t="shared" si="19"/>
        <v>1.916111199999998E-2</v>
      </c>
      <c r="U33">
        <f t="shared" si="20"/>
        <v>2.4407371499999997E-2</v>
      </c>
      <c r="V33">
        <f t="shared" si="21"/>
        <v>2.9653630999999958E-2</v>
      </c>
      <c r="W33">
        <f t="shared" si="22"/>
        <v>3.489989050000003E-2</v>
      </c>
      <c r="X33">
        <f t="shared" si="23"/>
        <v>4.0146149999999992E-2</v>
      </c>
    </row>
    <row r="34" spans="1:24" x14ac:dyDescent="0.3">
      <c r="A34" s="10">
        <f t="shared" si="14"/>
        <v>11</v>
      </c>
      <c r="B34" s="10">
        <f t="shared" si="14"/>
        <v>0.95</v>
      </c>
      <c r="C34" s="10">
        <f t="shared" si="14"/>
        <v>2.5</v>
      </c>
      <c r="D34" s="10">
        <f t="shared" si="14"/>
        <v>14.385783500000001</v>
      </c>
      <c r="E34" s="10">
        <f t="shared" si="14"/>
        <v>533.97</v>
      </c>
      <c r="F34" s="10">
        <f t="shared" si="14"/>
        <v>2.2607999999999999E-3</v>
      </c>
      <c r="G34" s="10">
        <f t="shared" si="14"/>
        <v>3.8200000000000001E-7</v>
      </c>
      <c r="H34" s="10">
        <f t="shared" si="14"/>
        <v>0</v>
      </c>
      <c r="I34" s="10">
        <f t="shared" si="14"/>
        <v>15.997199500000001</v>
      </c>
      <c r="J34" s="10">
        <f t="shared" si="14"/>
        <v>1.241636E-2</v>
      </c>
      <c r="K34" s="10">
        <f t="shared" si="14"/>
        <v>39.770629900000003</v>
      </c>
      <c r="L34" s="10">
        <f t="shared" si="14"/>
        <v>49007.664100000002</v>
      </c>
      <c r="M34" s="10">
        <f>M14-'0 ft'!M14</f>
        <v>-4.8278414000000006E-2</v>
      </c>
      <c r="N34" s="10">
        <f>N14-'0 ft'!N14</f>
        <v>0.26698628800000002</v>
      </c>
      <c r="O34" s="10">
        <f>O14-'0 ft'!O14</f>
        <v>0.71098518600000005</v>
      </c>
      <c r="P34">
        <f t="shared" si="15"/>
        <v>1.8301739999999622E-3</v>
      </c>
      <c r="Q34">
        <f t="shared" si="16"/>
        <v>7.0813659999999778E-3</v>
      </c>
      <c r="R34">
        <f t="shared" si="17"/>
        <v>1.2332557999999993E-2</v>
      </c>
      <c r="S34">
        <f t="shared" si="18"/>
        <v>1.7583749999999954E-2</v>
      </c>
      <c r="T34">
        <f t="shared" si="19"/>
        <v>2.2834941999999969E-2</v>
      </c>
      <c r="U34">
        <f t="shared" si="20"/>
        <v>2.8086133999999985E-2</v>
      </c>
      <c r="V34">
        <f t="shared" si="21"/>
        <v>3.3337325999999945E-2</v>
      </c>
      <c r="W34">
        <f t="shared" si="22"/>
        <v>3.8588517999999961E-2</v>
      </c>
      <c r="X34">
        <f t="shared" si="23"/>
        <v>4.3839709999999976E-2</v>
      </c>
    </row>
    <row r="35" spans="1:24" x14ac:dyDescent="0.3">
      <c r="A35" s="10">
        <f t="shared" si="14"/>
        <v>12</v>
      </c>
      <c r="B35" s="10">
        <f t="shared" si="14"/>
        <v>0.95</v>
      </c>
      <c r="C35" s="10">
        <f t="shared" si="14"/>
        <v>2.5</v>
      </c>
      <c r="D35" s="10">
        <f t="shared" si="14"/>
        <v>14.385783500000001</v>
      </c>
      <c r="E35" s="10">
        <f t="shared" si="14"/>
        <v>533.97</v>
      </c>
      <c r="F35" s="10">
        <f t="shared" si="14"/>
        <v>2.2607999999999999E-3</v>
      </c>
      <c r="G35" s="10">
        <f t="shared" si="14"/>
        <v>3.8200000000000001E-7</v>
      </c>
      <c r="H35" s="10">
        <f t="shared" si="14"/>
        <v>0</v>
      </c>
      <c r="I35" s="10">
        <f t="shared" si="14"/>
        <v>17.959525500000002</v>
      </c>
      <c r="J35" s="10">
        <f t="shared" si="14"/>
        <v>1.225822E-2</v>
      </c>
      <c r="K35" s="10">
        <f t="shared" si="14"/>
        <v>39.516548200000003</v>
      </c>
      <c r="L35" s="10">
        <f t="shared" si="14"/>
        <v>48694.570299999999</v>
      </c>
      <c r="M35" s="10">
        <f>M15-'0 ft'!M15</f>
        <v>-4.4125142999999992E-2</v>
      </c>
      <c r="N35" s="10">
        <f>N15-'0 ft'!N15</f>
        <v>0.27351482199999999</v>
      </c>
      <c r="O35" s="10">
        <f>O15-'0 ft'!O15</f>
        <v>0.72503940600000005</v>
      </c>
      <c r="P35">
        <f t="shared" si="15"/>
        <v>1.748754000000019E-3</v>
      </c>
      <c r="Q35">
        <f t="shared" si="16"/>
        <v>7.3931684999999914E-3</v>
      </c>
      <c r="R35">
        <f t="shared" si="17"/>
        <v>1.3037583000000019E-2</v>
      </c>
      <c r="S35">
        <f t="shared" si="18"/>
        <v>1.8681997500000047E-2</v>
      </c>
      <c r="T35">
        <f t="shared" si="19"/>
        <v>2.4326412000000019E-2</v>
      </c>
      <c r="U35">
        <f t="shared" si="20"/>
        <v>2.9970826500000047E-2</v>
      </c>
      <c r="V35">
        <f t="shared" si="21"/>
        <v>3.561524100000002E-2</v>
      </c>
      <c r="W35">
        <f t="shared" si="22"/>
        <v>4.1259655500000048E-2</v>
      </c>
      <c r="X35">
        <f t="shared" si="23"/>
        <v>4.690407000000002E-2</v>
      </c>
    </row>
    <row r="36" spans="1:24" x14ac:dyDescent="0.3">
      <c r="A36" s="10">
        <f t="shared" si="14"/>
        <v>13</v>
      </c>
      <c r="B36" s="10">
        <f t="shared" si="14"/>
        <v>0.95</v>
      </c>
      <c r="C36" s="10">
        <f t="shared" si="14"/>
        <v>2.5</v>
      </c>
      <c r="D36" s="10">
        <f t="shared" si="14"/>
        <v>14.385783500000001</v>
      </c>
      <c r="E36" s="10">
        <f t="shared" si="14"/>
        <v>533.97</v>
      </c>
      <c r="F36" s="10">
        <f t="shared" si="14"/>
        <v>2.2607999999999999E-3</v>
      </c>
      <c r="G36" s="10">
        <f t="shared" si="14"/>
        <v>3.8200000000000001E-7</v>
      </c>
      <c r="H36" s="10">
        <f t="shared" si="14"/>
        <v>0</v>
      </c>
      <c r="I36" s="10">
        <f t="shared" si="14"/>
        <v>20.004430599999999</v>
      </c>
      <c r="J36" s="10">
        <f t="shared" si="14"/>
        <v>1.2709939999999999E-2</v>
      </c>
      <c r="K36" s="10">
        <f t="shared" si="14"/>
        <v>40.238067600000001</v>
      </c>
      <c r="L36" s="10">
        <f t="shared" si="14"/>
        <v>49583.667999999998</v>
      </c>
      <c r="M36" s="10">
        <f>M16-'0 ft'!M16</f>
        <v>-4.7650362000000002E-2</v>
      </c>
      <c r="N36" s="10">
        <f>N16-'0 ft'!N16</f>
        <v>0.280083158</v>
      </c>
      <c r="O36" s="10">
        <f>O16-'0 ft'!O16</f>
        <v>0.74346235199999999</v>
      </c>
      <c r="P36">
        <f t="shared" si="15"/>
        <v>4.3441419999999953E-3</v>
      </c>
      <c r="Q36">
        <f t="shared" si="16"/>
        <v>1.0455490499999998E-2</v>
      </c>
      <c r="R36">
        <f t="shared" si="17"/>
        <v>1.6566839E-2</v>
      </c>
      <c r="S36">
        <f t="shared" si="18"/>
        <v>2.2678187500000002E-2</v>
      </c>
      <c r="T36">
        <f t="shared" si="19"/>
        <v>2.8789536000000004E-2</v>
      </c>
      <c r="U36">
        <f t="shared" si="20"/>
        <v>3.4900884500000007E-2</v>
      </c>
      <c r="V36">
        <f t="shared" si="21"/>
        <v>4.1012233000000009E-2</v>
      </c>
      <c r="W36">
        <f t="shared" si="22"/>
        <v>4.7123581500000011E-2</v>
      </c>
      <c r="X36">
        <f t="shared" si="23"/>
        <v>5.3234930000000014E-2</v>
      </c>
    </row>
    <row r="37" spans="1:24" x14ac:dyDescent="0.3">
      <c r="A37" s="10">
        <f t="shared" si="14"/>
        <v>14</v>
      </c>
      <c r="B37" s="10">
        <f t="shared" si="14"/>
        <v>0.95</v>
      </c>
      <c r="C37" s="10">
        <f t="shared" si="14"/>
        <v>2.5</v>
      </c>
      <c r="D37" s="10">
        <f t="shared" si="14"/>
        <v>14.385783500000001</v>
      </c>
      <c r="E37" s="10">
        <f t="shared" si="14"/>
        <v>533.97</v>
      </c>
      <c r="F37" s="10">
        <f t="shared" si="14"/>
        <v>2.2607999999999999E-3</v>
      </c>
      <c r="G37" s="10">
        <f t="shared" si="14"/>
        <v>3.8200000000000001E-7</v>
      </c>
      <c r="H37" s="10">
        <f t="shared" si="14"/>
        <v>0</v>
      </c>
      <c r="I37" s="10">
        <f t="shared" si="14"/>
        <v>22.034937899999999</v>
      </c>
      <c r="J37" s="10">
        <f t="shared" si="14"/>
        <v>1.2644529999999999E-2</v>
      </c>
      <c r="K37" s="10">
        <f t="shared" si="14"/>
        <v>40.134395599999998</v>
      </c>
      <c r="L37" s="10">
        <f t="shared" si="14"/>
        <v>49455.917999999998</v>
      </c>
      <c r="M37" s="10">
        <f>M17-'0 ft'!M17</f>
        <v>-4.4978664000000002E-2</v>
      </c>
      <c r="N37" s="10">
        <f>N17-'0 ft'!N17</f>
        <v>0.283985284</v>
      </c>
      <c r="O37" s="10">
        <f>O17-'0 ft'!O17</f>
        <v>0.75567125099999999</v>
      </c>
      <c r="P37">
        <f t="shared" si="15"/>
        <v>5.485596000000037E-3</v>
      </c>
      <c r="Q37">
        <f t="shared" si="16"/>
        <v>1.2045768999999984E-2</v>
      </c>
      <c r="R37">
        <f t="shared" si="17"/>
        <v>1.8605942000000042E-2</v>
      </c>
      <c r="S37">
        <f t="shared" si="18"/>
        <v>2.5166114999999989E-2</v>
      </c>
      <c r="T37">
        <f t="shared" si="19"/>
        <v>3.1726287999999991E-2</v>
      </c>
      <c r="U37">
        <f t="shared" si="20"/>
        <v>3.8286460999999994E-2</v>
      </c>
      <c r="V37">
        <f t="shared" si="21"/>
        <v>4.4846633999999996E-2</v>
      </c>
      <c r="W37">
        <f t="shared" si="22"/>
        <v>5.1406806999999999E-2</v>
      </c>
      <c r="X37">
        <f t="shared" si="23"/>
        <v>5.7966980000000001E-2</v>
      </c>
    </row>
    <row r="46" spans="1:24" x14ac:dyDescent="0.3">
      <c r="A46" s="29" t="s">
        <v>55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24" x14ac:dyDescent="0.3">
      <c r="A47" s="3"/>
      <c r="B47" s="3"/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35</v>
      </c>
      <c r="J47" t="s">
        <v>36</v>
      </c>
      <c r="K47" t="s">
        <v>37</v>
      </c>
      <c r="L47" t="s">
        <v>38</v>
      </c>
      <c r="M47" t="s">
        <v>39</v>
      </c>
      <c r="N47" t="s">
        <v>13</v>
      </c>
      <c r="O47" t="s">
        <v>40</v>
      </c>
    </row>
    <row r="48" spans="1:24" x14ac:dyDescent="0.3">
      <c r="A48" s="3"/>
      <c r="B48" s="3"/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47</v>
      </c>
      <c r="I48" t="s">
        <v>63</v>
      </c>
      <c r="J48" t="s">
        <v>57</v>
      </c>
      <c r="K48" t="s">
        <v>61</v>
      </c>
      <c r="L48" t="s">
        <v>41</v>
      </c>
      <c r="M48" t="s">
        <v>62</v>
      </c>
      <c r="N48" t="s">
        <v>62</v>
      </c>
      <c r="O48" t="s">
        <v>52</v>
      </c>
    </row>
    <row r="49" spans="3:15" x14ac:dyDescent="0.3">
      <c r="C49">
        <f t="shared" ref="C49:C62" si="24">C4*0.0254</f>
        <v>6.3500000000000001E-2</v>
      </c>
      <c r="D49">
        <f t="shared" ref="D49:D62" si="25">D4*6894.76</f>
        <v>99186.524644460005</v>
      </c>
      <c r="E49">
        <f t="shared" ref="E49:E62" si="26">E4*0.555556</f>
        <v>296.65023732000003</v>
      </c>
      <c r="F49">
        <f t="shared" ref="F49:F62" si="27">F4*515.379</f>
        <v>1.1651688432</v>
      </c>
      <c r="G49" s="1">
        <f t="shared" ref="G49:G62" si="28">G4*157.087</f>
        <v>6.0007233999999997E-5</v>
      </c>
      <c r="I49">
        <f t="shared" ref="I49:I62" si="29">I4/180*PI()</f>
        <v>-7.1050681823265752E-2</v>
      </c>
      <c r="J49">
        <f t="shared" ref="J49:J62" si="30">J4*6894.76</f>
        <v>83.418184392800001</v>
      </c>
      <c r="K49">
        <f t="shared" ref="K49:K62" si="31">K4*0.3048</f>
        <v>11.96605797792</v>
      </c>
      <c r="L49">
        <f t="shared" ref="L49:L62" si="32">L4</f>
        <v>48376.863299999997</v>
      </c>
      <c r="M49">
        <f t="shared" ref="M49:N62" si="33">M4*4.44822</f>
        <v>-0.13627566792000001</v>
      </c>
      <c r="N49">
        <f t="shared" si="33"/>
        <v>-0.14662889997</v>
      </c>
      <c r="O49">
        <f t="shared" ref="O49:O62" si="34">O4*0.1129848333</f>
        <v>-7.3868467148040301E-3</v>
      </c>
    </row>
    <row r="50" spans="3:15" x14ac:dyDescent="0.3">
      <c r="C50">
        <f t="shared" si="24"/>
        <v>6.3500000000000001E-2</v>
      </c>
      <c r="D50">
        <f t="shared" si="25"/>
        <v>99186.524644460005</v>
      </c>
      <c r="E50">
        <f t="shared" si="26"/>
        <v>296.65023732000003</v>
      </c>
      <c r="F50">
        <f t="shared" si="27"/>
        <v>1.1651688432</v>
      </c>
      <c r="G50" s="1">
        <f t="shared" si="28"/>
        <v>6.0007233999999997E-5</v>
      </c>
      <c r="I50">
        <f t="shared" si="29"/>
        <v>-3.4503115531373814E-2</v>
      </c>
      <c r="J50">
        <f t="shared" si="30"/>
        <v>85.712691573200004</v>
      </c>
      <c r="K50">
        <f t="shared" si="31"/>
        <v>12.129509629680001</v>
      </c>
      <c r="L50">
        <f t="shared" si="32"/>
        <v>49037.671900000001</v>
      </c>
      <c r="M50">
        <f t="shared" si="33"/>
        <v>-7.5195379812000002E-2</v>
      </c>
      <c r="N50">
        <f t="shared" si="33"/>
        <v>-8.0677810961999996E-2</v>
      </c>
      <c r="O50">
        <f t="shared" si="34"/>
        <v>-3.06888274361127E-3</v>
      </c>
    </row>
    <row r="51" spans="3:15" x14ac:dyDescent="0.3">
      <c r="C51">
        <f t="shared" si="24"/>
        <v>6.3500000000000001E-2</v>
      </c>
      <c r="D51">
        <f t="shared" si="25"/>
        <v>99186.524644460005</v>
      </c>
      <c r="E51">
        <f t="shared" si="26"/>
        <v>296.65023732000003</v>
      </c>
      <c r="F51">
        <f t="shared" si="27"/>
        <v>1.1651688432</v>
      </c>
      <c r="G51" s="1">
        <f t="shared" si="28"/>
        <v>6.0007233999999997E-5</v>
      </c>
      <c r="I51">
        <f t="shared" si="29"/>
        <v>-5.9348350417740383E-4</v>
      </c>
      <c r="J51">
        <f t="shared" si="30"/>
        <v>86.146923557999997</v>
      </c>
      <c r="K51">
        <f t="shared" si="31"/>
        <v>12.160196131680001</v>
      </c>
      <c r="L51">
        <f t="shared" si="32"/>
        <v>49161.730499999998</v>
      </c>
      <c r="M51">
        <f t="shared" si="33"/>
        <v>-3.6161359668E-2</v>
      </c>
      <c r="N51">
        <f t="shared" si="33"/>
        <v>-8.610864276E-3</v>
      </c>
      <c r="O51">
        <f t="shared" si="34"/>
        <v>1.7470720489862371E-3</v>
      </c>
    </row>
    <row r="52" spans="3:15" x14ac:dyDescent="0.3">
      <c r="C52">
        <f t="shared" si="24"/>
        <v>6.3500000000000001E-2</v>
      </c>
      <c r="D52">
        <f t="shared" si="25"/>
        <v>99186.524644460005</v>
      </c>
      <c r="E52">
        <f t="shared" si="26"/>
        <v>296.65023732000003</v>
      </c>
      <c r="F52">
        <f t="shared" si="27"/>
        <v>1.1651688432</v>
      </c>
      <c r="G52" s="1">
        <f t="shared" si="28"/>
        <v>6.0007233999999997E-5</v>
      </c>
      <c r="I52">
        <f t="shared" si="29"/>
        <v>3.5238326577597234E-2</v>
      </c>
      <c r="J52">
        <f t="shared" si="30"/>
        <v>84.706608194000012</v>
      </c>
      <c r="K52">
        <f t="shared" si="31"/>
        <v>12.058110504</v>
      </c>
      <c r="L52">
        <f t="shared" si="32"/>
        <v>48749.015599999999</v>
      </c>
      <c r="M52">
        <f t="shared" si="33"/>
        <v>1.8839234790600002E-2</v>
      </c>
      <c r="N52">
        <f t="shared" si="33"/>
        <v>8.298359028119999E-2</v>
      </c>
      <c r="O52">
        <f t="shared" si="34"/>
        <v>7.4044644398604982E-3</v>
      </c>
    </row>
    <row r="53" spans="3:15" x14ac:dyDescent="0.3">
      <c r="C53">
        <f t="shared" si="24"/>
        <v>6.3500000000000001E-2</v>
      </c>
      <c r="D53">
        <f t="shared" si="25"/>
        <v>99186.524644460005</v>
      </c>
      <c r="E53">
        <f t="shared" si="26"/>
        <v>296.65023732000003</v>
      </c>
      <c r="F53">
        <f t="shared" si="27"/>
        <v>1.1651688432</v>
      </c>
      <c r="G53" s="1">
        <f t="shared" si="28"/>
        <v>6.0007233999999997E-5</v>
      </c>
      <c r="I53">
        <f t="shared" si="29"/>
        <v>7.0328895326049884E-2</v>
      </c>
      <c r="J53">
        <f t="shared" si="30"/>
        <v>84.459637890799996</v>
      </c>
      <c r="K53">
        <f t="shared" si="31"/>
        <v>12.040519703519999</v>
      </c>
      <c r="L53">
        <f t="shared" si="32"/>
        <v>48677.898399999998</v>
      </c>
      <c r="M53">
        <f t="shared" si="33"/>
        <v>7.662374773620001E-2</v>
      </c>
      <c r="N53">
        <f t="shared" si="33"/>
        <v>0.16028511329880002</v>
      </c>
      <c r="O53">
        <f t="shared" si="34"/>
        <v>1.3299461675467996E-2</v>
      </c>
    </row>
    <row r="54" spans="3:15" x14ac:dyDescent="0.3">
      <c r="C54">
        <f t="shared" si="24"/>
        <v>6.3500000000000001E-2</v>
      </c>
      <c r="D54">
        <f t="shared" si="25"/>
        <v>99186.524644460005</v>
      </c>
      <c r="E54">
        <f t="shared" si="26"/>
        <v>296.65023732000003</v>
      </c>
      <c r="F54">
        <f t="shared" si="27"/>
        <v>1.1651688432</v>
      </c>
      <c r="G54" s="1">
        <f t="shared" si="28"/>
        <v>6.0007233999999997E-5</v>
      </c>
      <c r="I54">
        <f t="shared" si="29"/>
        <v>0.10349776354200764</v>
      </c>
      <c r="J54">
        <f t="shared" si="30"/>
        <v>84.277960964800002</v>
      </c>
      <c r="K54">
        <f t="shared" si="31"/>
        <v>12.027564697679999</v>
      </c>
      <c r="L54">
        <f t="shared" si="32"/>
        <v>48625.523399999998</v>
      </c>
      <c r="M54">
        <f t="shared" si="33"/>
        <v>0.12544340705820001</v>
      </c>
      <c r="N54">
        <f t="shared" si="33"/>
        <v>0.25139822596979999</v>
      </c>
      <c r="O54">
        <f t="shared" si="34"/>
        <v>1.9113073675952837E-2</v>
      </c>
    </row>
    <row r="55" spans="3:15" x14ac:dyDescent="0.3">
      <c r="C55">
        <f t="shared" si="24"/>
        <v>6.3500000000000001E-2</v>
      </c>
      <c r="D55">
        <f t="shared" si="25"/>
        <v>99186.524644460005</v>
      </c>
      <c r="E55">
        <f t="shared" si="26"/>
        <v>296.65023732000003</v>
      </c>
      <c r="F55">
        <f t="shared" si="27"/>
        <v>1.1651688432</v>
      </c>
      <c r="G55" s="1">
        <f t="shared" si="28"/>
        <v>6.0007233999999997E-5</v>
      </c>
      <c r="I55">
        <f t="shared" si="29"/>
        <v>0.13963874159654643</v>
      </c>
      <c r="J55">
        <f t="shared" si="30"/>
        <v>83.971626778000001</v>
      </c>
      <c r="K55">
        <f t="shared" si="31"/>
        <v>12.005688104399999</v>
      </c>
      <c r="L55">
        <f t="shared" si="32"/>
        <v>48537.078099999999</v>
      </c>
      <c r="M55">
        <f t="shared" si="33"/>
        <v>0.1576609748742</v>
      </c>
      <c r="N55">
        <f t="shared" si="33"/>
        <v>0.32105245812779998</v>
      </c>
      <c r="O55">
        <f t="shared" si="34"/>
        <v>2.3198240307069278E-2</v>
      </c>
    </row>
    <row r="56" spans="3:15" x14ac:dyDescent="0.3">
      <c r="C56">
        <f t="shared" si="24"/>
        <v>6.3500000000000001E-2</v>
      </c>
      <c r="D56">
        <f t="shared" si="25"/>
        <v>99186.524644460005</v>
      </c>
      <c r="E56">
        <f t="shared" si="26"/>
        <v>296.65023732000003</v>
      </c>
      <c r="F56">
        <f t="shared" si="27"/>
        <v>1.1651688432</v>
      </c>
      <c r="G56" s="1">
        <f t="shared" si="28"/>
        <v>6.0007233999999997E-5</v>
      </c>
      <c r="I56">
        <f t="shared" si="29"/>
        <v>0.17501442139748538</v>
      </c>
      <c r="J56">
        <f t="shared" si="30"/>
        <v>85.500677703199997</v>
      </c>
      <c r="K56">
        <f t="shared" si="31"/>
        <v>12.114497742000001</v>
      </c>
      <c r="L56">
        <f t="shared" si="32"/>
        <v>48976.980499999998</v>
      </c>
      <c r="M56">
        <f t="shared" si="33"/>
        <v>0.23616240523679999</v>
      </c>
      <c r="N56">
        <f t="shared" si="33"/>
        <v>0.38607168952800003</v>
      </c>
      <c r="O56">
        <f t="shared" si="34"/>
        <v>2.6919996871117933E-2</v>
      </c>
    </row>
    <row r="57" spans="3:15" x14ac:dyDescent="0.3">
      <c r="C57">
        <f t="shared" si="24"/>
        <v>6.3500000000000001E-2</v>
      </c>
      <c r="D57">
        <f t="shared" si="25"/>
        <v>99186.524644460005</v>
      </c>
      <c r="E57">
        <f t="shared" si="26"/>
        <v>296.65023732000003</v>
      </c>
      <c r="F57">
        <f t="shared" si="27"/>
        <v>1.1651688432</v>
      </c>
      <c r="G57" s="1">
        <f t="shared" si="28"/>
        <v>6.0007233999999997E-5</v>
      </c>
      <c r="I57">
        <f t="shared" si="29"/>
        <v>0.20899098505616653</v>
      </c>
      <c r="J57">
        <f t="shared" si="30"/>
        <v>86.537994345200005</v>
      </c>
      <c r="K57">
        <f t="shared" si="31"/>
        <v>12.1877676996</v>
      </c>
      <c r="L57">
        <f t="shared" si="32"/>
        <v>49273.199200000003</v>
      </c>
      <c r="M57">
        <f t="shared" si="33"/>
        <v>0.29173944452520001</v>
      </c>
      <c r="N57">
        <f t="shared" si="33"/>
        <v>0.44104813015200006</v>
      </c>
      <c r="O57">
        <f t="shared" si="34"/>
        <v>2.943412295337787E-2</v>
      </c>
    </row>
    <row r="58" spans="3:15" x14ac:dyDescent="0.3">
      <c r="C58">
        <f t="shared" si="24"/>
        <v>6.3500000000000001E-2</v>
      </c>
      <c r="D58">
        <f t="shared" si="25"/>
        <v>99186.524644460005</v>
      </c>
      <c r="E58">
        <f t="shared" si="26"/>
        <v>296.65023732000003</v>
      </c>
      <c r="F58">
        <f t="shared" si="27"/>
        <v>1.1651688432</v>
      </c>
      <c r="G58" s="1">
        <f t="shared" si="28"/>
        <v>6.0007233999999997E-5</v>
      </c>
      <c r="I58">
        <f t="shared" si="29"/>
        <v>0.24536181407201374</v>
      </c>
      <c r="J58">
        <f t="shared" si="30"/>
        <v>87.571243078799995</v>
      </c>
      <c r="K58">
        <f t="shared" si="31"/>
        <v>12.260307447839999</v>
      </c>
      <c r="L58">
        <f t="shared" si="32"/>
        <v>49566.464800000002</v>
      </c>
      <c r="M58">
        <f t="shared" si="33"/>
        <v>0.36606937865400002</v>
      </c>
      <c r="N58">
        <f t="shared" si="33"/>
        <v>0.46673032866180003</v>
      </c>
      <c r="O58">
        <f t="shared" si="34"/>
        <v>3.102895923797569E-2</v>
      </c>
    </row>
    <row r="59" spans="3:15" x14ac:dyDescent="0.3">
      <c r="C59">
        <f t="shared" si="24"/>
        <v>6.3500000000000001E-2</v>
      </c>
      <c r="D59">
        <f t="shared" si="25"/>
        <v>99186.524644460005</v>
      </c>
      <c r="E59">
        <f t="shared" si="26"/>
        <v>296.65023732000003</v>
      </c>
      <c r="F59">
        <f t="shared" si="27"/>
        <v>1.1651688432</v>
      </c>
      <c r="G59" s="1">
        <f t="shared" si="28"/>
        <v>6.0007233999999997E-5</v>
      </c>
      <c r="I59">
        <f t="shared" si="29"/>
        <v>0.27920380237339065</v>
      </c>
      <c r="J59">
        <f t="shared" si="30"/>
        <v>85.607822273599993</v>
      </c>
      <c r="K59">
        <f t="shared" si="31"/>
        <v>12.122087993520001</v>
      </c>
      <c r="L59">
        <f t="shared" si="32"/>
        <v>49007.664100000002</v>
      </c>
      <c r="M59">
        <f t="shared" si="33"/>
        <v>0.40980699110820001</v>
      </c>
      <c r="N59">
        <f t="shared" si="33"/>
        <v>0.46716914556479999</v>
      </c>
      <c r="O59">
        <f t="shared" si="34"/>
        <v>3.0645080838507276E-2</v>
      </c>
    </row>
    <row r="60" spans="3:15" x14ac:dyDescent="0.3">
      <c r="C60">
        <f t="shared" si="24"/>
        <v>6.3500000000000001E-2</v>
      </c>
      <c r="D60">
        <f t="shared" si="25"/>
        <v>99186.524644460005</v>
      </c>
      <c r="E60">
        <f t="shared" si="26"/>
        <v>296.65023732000003</v>
      </c>
      <c r="F60">
        <f t="shared" si="27"/>
        <v>1.1651688432</v>
      </c>
      <c r="G60" s="1">
        <f t="shared" si="28"/>
        <v>6.0007233999999997E-5</v>
      </c>
      <c r="I60">
        <f t="shared" si="29"/>
        <v>0.31345285207088092</v>
      </c>
      <c r="J60">
        <f t="shared" si="30"/>
        <v>84.517484927200002</v>
      </c>
      <c r="K60">
        <f t="shared" si="31"/>
        <v>12.044643891360002</v>
      </c>
      <c r="L60">
        <f t="shared" si="32"/>
        <v>48694.570299999999</v>
      </c>
      <c r="M60">
        <f t="shared" si="33"/>
        <v>0.4638061577982</v>
      </c>
      <c r="N60">
        <f t="shared" si="33"/>
        <v>0.50215194934380003</v>
      </c>
      <c r="O60">
        <f t="shared" si="34"/>
        <v>3.2964545351474639E-2</v>
      </c>
    </row>
    <row r="61" spans="3:15" x14ac:dyDescent="0.3">
      <c r="C61">
        <f t="shared" si="24"/>
        <v>6.3500000000000001E-2</v>
      </c>
      <c r="D61">
        <f t="shared" si="25"/>
        <v>99186.524644460005</v>
      </c>
      <c r="E61">
        <f t="shared" si="26"/>
        <v>296.65023732000003</v>
      </c>
      <c r="F61">
        <f t="shared" si="27"/>
        <v>1.1651688432</v>
      </c>
      <c r="G61" s="1">
        <f t="shared" si="28"/>
        <v>6.0007233999999997E-5</v>
      </c>
      <c r="I61">
        <f t="shared" si="29"/>
        <v>0.34914317895670477</v>
      </c>
      <c r="J61">
        <f t="shared" si="30"/>
        <v>87.631985914400005</v>
      </c>
      <c r="K61">
        <f t="shared" si="31"/>
        <v>12.264563004480001</v>
      </c>
      <c r="L61">
        <f t="shared" si="32"/>
        <v>49583.667999999998</v>
      </c>
      <c r="M61">
        <f t="shared" si="33"/>
        <v>0.52808258094060001</v>
      </c>
      <c r="N61">
        <f t="shared" si="33"/>
        <v>0.54369245249340004</v>
      </c>
      <c r="O61">
        <f t="shared" si="34"/>
        <v>3.5414641798855138E-2</v>
      </c>
    </row>
    <row r="62" spans="3:15" x14ac:dyDescent="0.3">
      <c r="C62">
        <f t="shared" si="24"/>
        <v>6.3500000000000001E-2</v>
      </c>
      <c r="D62">
        <f t="shared" si="25"/>
        <v>99186.524644460005</v>
      </c>
      <c r="E62">
        <f t="shared" si="26"/>
        <v>296.65023732000003</v>
      </c>
      <c r="F62">
        <f t="shared" si="27"/>
        <v>1.1651688432</v>
      </c>
      <c r="G62" s="1">
        <f t="shared" si="28"/>
        <v>6.0007233999999997E-5</v>
      </c>
      <c r="I62">
        <f t="shared" si="29"/>
        <v>0.384582216827485</v>
      </c>
      <c r="J62">
        <f t="shared" si="30"/>
        <v>87.180999662800005</v>
      </c>
      <c r="K62">
        <f t="shared" si="31"/>
        <v>12.23296377888</v>
      </c>
      <c r="L62">
        <f t="shared" si="32"/>
        <v>49455.917999999998</v>
      </c>
      <c r="M62">
        <f t="shared" si="33"/>
        <v>0.60611165482139995</v>
      </c>
      <c r="N62">
        <f t="shared" si="33"/>
        <v>0.58362185484119999</v>
      </c>
      <c r="O62">
        <f t="shared" si="34"/>
        <v>3.7922613597245219E-2</v>
      </c>
    </row>
  </sheetData>
  <mergeCells count="2">
    <mergeCell ref="A46:O46"/>
    <mergeCell ref="A20:O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146-1D19-EA45-93B1-07300A05A5AC}">
  <dimension ref="A1:X56"/>
  <sheetViews>
    <sheetView tabSelected="1" topLeftCell="M1" workbookViewId="0">
      <selection activeCell="W24" sqref="W24"/>
    </sheetView>
  </sheetViews>
  <sheetFormatPr defaultColWidth="11.19921875" defaultRowHeight="15.6" x14ac:dyDescent="0.3"/>
  <cols>
    <col min="3" max="3" width="11.796875" bestFit="1" customWidth="1"/>
    <col min="8" max="8" width="12.296875" bestFit="1" customWidth="1"/>
    <col min="9" max="9" width="14" bestFit="1" customWidth="1"/>
    <col min="10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</cols>
  <sheetData>
    <row r="1" spans="1:24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24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  <c r="P2" t="s">
        <v>88</v>
      </c>
    </row>
    <row r="3" spans="1:24" x14ac:dyDescent="0.3">
      <c r="Q3">
        <v>2.25</v>
      </c>
      <c r="R3">
        <v>2.2999999999999998</v>
      </c>
      <c r="S3">
        <v>2.35</v>
      </c>
      <c r="T3">
        <v>2.4</v>
      </c>
      <c r="U3">
        <v>2.4500000000000002</v>
      </c>
      <c r="V3">
        <v>2.5</v>
      </c>
      <c r="W3">
        <v>2.5499999999999998</v>
      </c>
      <c r="X3">
        <v>2.6</v>
      </c>
    </row>
    <row r="4" spans="1:24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-3.9458688</v>
      </c>
      <c r="J4">
        <v>7.8531359999999995E-2</v>
      </c>
      <c r="K4">
        <v>100.020004</v>
      </c>
      <c r="L4">
        <v>123250.42200000001</v>
      </c>
      <c r="M4">
        <v>-2.4905999999999999E-3</v>
      </c>
      <c r="N4">
        <v>-0.24914040000000001</v>
      </c>
      <c r="O4">
        <v>-0.56586550000000002</v>
      </c>
      <c r="Q4">
        <f>2.25*N4-O4</f>
        <v>5.2995999999999599E-3</v>
      </c>
      <c r="R4">
        <f>2.3*N4-O4</f>
        <v>-7.1574199999999699E-3</v>
      </c>
      <c r="S4">
        <f>2.35*N4-O4</f>
        <v>-1.9614440000000011E-2</v>
      </c>
      <c r="T4">
        <f>2.4*N4-O4</f>
        <v>-3.2071459999999941E-2</v>
      </c>
      <c r="U4">
        <f>2.45*N4-O4</f>
        <v>-4.4528480000000092E-2</v>
      </c>
      <c r="V4">
        <f>2.5*N4-O4</f>
        <v>-5.6985500000000022E-2</v>
      </c>
      <c r="W4">
        <f>2.55*N4-O4</f>
        <v>-6.9442519999999952E-2</v>
      </c>
      <c r="X4">
        <f>2.6*N4-O4</f>
        <v>-8.1899539999999993E-2</v>
      </c>
    </row>
    <row r="5" spans="1:24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-2.0466473000000001</v>
      </c>
      <c r="J5">
        <v>7.8932520000000006E-2</v>
      </c>
      <c r="K5">
        <v>100.275139</v>
      </c>
      <c r="L5">
        <v>123564.81299999999</v>
      </c>
      <c r="M5">
        <v>2.1041839999999999E-2</v>
      </c>
      <c r="N5">
        <v>-0.1413827</v>
      </c>
      <c r="O5">
        <v>-0.3051548</v>
      </c>
      <c r="Q5">
        <f t="shared" ref="Q5:Q17" si="0">2.25*N5-O5</f>
        <v>-1.2956275000000017E-2</v>
      </c>
      <c r="R5">
        <f t="shared" ref="R5:R17" si="1">2.3*N5-O5</f>
        <v>-2.0025409999999966E-2</v>
      </c>
      <c r="S5">
        <f t="shared" ref="S5:S17" si="2">2.35*N5-O5</f>
        <v>-2.7094545000000025E-2</v>
      </c>
      <c r="T5">
        <f t="shared" ref="T5:T17" si="3">2.4*N5-O5</f>
        <v>-3.4163679999999974E-2</v>
      </c>
      <c r="U5">
        <f t="shared" ref="U5:U17" si="4">2.45*N5-O5</f>
        <v>-4.1232815000000034E-2</v>
      </c>
      <c r="V5">
        <f t="shared" ref="V5:V17" si="5">2.5*N5-O5</f>
        <v>-4.8301949999999982E-2</v>
      </c>
      <c r="W5">
        <f t="shared" ref="W5:W17" si="6">2.55*N5-O5</f>
        <v>-5.5371084999999987E-2</v>
      </c>
      <c r="X5">
        <f t="shared" ref="X5:X17" si="7">2.6*N5-O5</f>
        <v>-6.2440219999999991E-2</v>
      </c>
    </row>
    <row r="6" spans="1:24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-3.3471899999999999E-2</v>
      </c>
      <c r="J6">
        <v>7.8225030000000001E-2</v>
      </c>
      <c r="K6">
        <v>99.824737600000006</v>
      </c>
      <c r="L6">
        <v>123009.80499999999</v>
      </c>
      <c r="M6">
        <v>4.4930610000000003E-2</v>
      </c>
      <c r="N6">
        <v>-2.28644E-2</v>
      </c>
      <c r="O6">
        <v>-1.38903E-2</v>
      </c>
      <c r="Q6">
        <f t="shared" si="0"/>
        <v>-3.75546E-2</v>
      </c>
      <c r="R6">
        <f t="shared" si="1"/>
        <v>-3.8697819999999994E-2</v>
      </c>
      <c r="S6">
        <f t="shared" si="2"/>
        <v>-3.9841040000000001E-2</v>
      </c>
      <c r="T6">
        <f t="shared" si="3"/>
        <v>-4.0984259999999995E-2</v>
      </c>
      <c r="U6">
        <f t="shared" si="4"/>
        <v>-4.2127480000000002E-2</v>
      </c>
      <c r="V6">
        <f t="shared" si="5"/>
        <v>-4.3270700000000002E-2</v>
      </c>
      <c r="W6">
        <f t="shared" si="6"/>
        <v>-4.4413919999999996E-2</v>
      </c>
      <c r="X6">
        <f t="shared" si="7"/>
        <v>-4.5557140000000003E-2</v>
      </c>
    </row>
    <row r="7" spans="1:24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1.9196833099999999</v>
      </c>
      <c r="J7">
        <v>7.8754640000000001E-2</v>
      </c>
      <c r="K7">
        <v>100.162087</v>
      </c>
      <c r="L7">
        <v>123425.508</v>
      </c>
      <c r="M7">
        <v>5.4165240000000003E-2</v>
      </c>
      <c r="N7">
        <v>7.6814289999999993E-2</v>
      </c>
      <c r="O7">
        <v>0.23211644000000001</v>
      </c>
      <c r="Q7">
        <f t="shared" si="0"/>
        <v>-5.9284287500000032E-2</v>
      </c>
      <c r="R7">
        <f t="shared" si="1"/>
        <v>-5.5443573000000024E-2</v>
      </c>
      <c r="S7">
        <f t="shared" si="2"/>
        <v>-5.1602858500000015E-2</v>
      </c>
      <c r="T7">
        <f t="shared" si="3"/>
        <v>-4.7762144000000034E-2</v>
      </c>
      <c r="U7">
        <f t="shared" si="4"/>
        <v>-4.3921429499999998E-2</v>
      </c>
      <c r="V7">
        <f t="shared" si="5"/>
        <v>-4.0080715000000017E-2</v>
      </c>
      <c r="W7">
        <f t="shared" si="6"/>
        <v>-3.6240000500000036E-2</v>
      </c>
      <c r="X7">
        <f t="shared" si="7"/>
        <v>-3.2399286000000027E-2</v>
      </c>
    </row>
    <row r="8" spans="1:24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4.0854886199999996</v>
      </c>
      <c r="J8">
        <v>7.8460299999999997E-2</v>
      </c>
      <c r="K8">
        <v>99.974739099999994</v>
      </c>
      <c r="L8">
        <v>123194.641</v>
      </c>
      <c r="M8">
        <v>6.7484680000000005E-2</v>
      </c>
      <c r="N8">
        <v>0.20667722999999999</v>
      </c>
      <c r="O8">
        <v>0.55116306000000004</v>
      </c>
      <c r="Q8">
        <f t="shared" si="0"/>
        <v>-8.6139292500000075E-2</v>
      </c>
      <c r="R8">
        <f t="shared" si="1"/>
        <v>-7.580543100000009E-2</v>
      </c>
      <c r="S8">
        <f t="shared" si="2"/>
        <v>-6.5471569500000049E-2</v>
      </c>
      <c r="T8">
        <f t="shared" si="3"/>
        <v>-5.5137708000000063E-2</v>
      </c>
      <c r="U8">
        <f t="shared" si="4"/>
        <v>-4.4803846500000022E-2</v>
      </c>
      <c r="V8">
        <f t="shared" si="5"/>
        <v>-3.4469985000000092E-2</v>
      </c>
      <c r="W8">
        <f t="shared" si="6"/>
        <v>-2.4136123500000051E-2</v>
      </c>
      <c r="X8">
        <f t="shared" si="7"/>
        <v>-1.380226200000001E-2</v>
      </c>
    </row>
    <row r="9" spans="1:24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5.94443739</v>
      </c>
      <c r="J9">
        <v>7.3777709999999996E-2</v>
      </c>
      <c r="K9">
        <v>96.945556600000003</v>
      </c>
      <c r="L9">
        <v>119461.914</v>
      </c>
      <c r="M9">
        <v>7.5329259999999995E-2</v>
      </c>
      <c r="N9">
        <v>0.32942652</v>
      </c>
      <c r="O9">
        <v>0.83031124000000001</v>
      </c>
      <c r="Q9">
        <f t="shared" si="0"/>
        <v>-8.9101569999999963E-2</v>
      </c>
      <c r="R9">
        <f t="shared" si="1"/>
        <v>-7.2630244000000066E-2</v>
      </c>
      <c r="S9">
        <f t="shared" si="2"/>
        <v>-5.6158917999999947E-2</v>
      </c>
      <c r="T9">
        <f t="shared" si="3"/>
        <v>-3.9687592000000049E-2</v>
      </c>
      <c r="U9">
        <f t="shared" si="4"/>
        <v>-2.321626599999993E-2</v>
      </c>
      <c r="V9">
        <f t="shared" si="5"/>
        <v>-6.7449400000000326E-3</v>
      </c>
      <c r="W9">
        <f t="shared" si="6"/>
        <v>9.7263859999999758E-3</v>
      </c>
      <c r="X9">
        <f t="shared" si="7"/>
        <v>2.6197711999999984E-2</v>
      </c>
    </row>
    <row r="10" spans="1:24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7.9381382900000004</v>
      </c>
      <c r="J10">
        <v>7.7833059999999996E-2</v>
      </c>
      <c r="K10">
        <v>99.574317899999997</v>
      </c>
      <c r="L10">
        <v>122701.219</v>
      </c>
      <c r="M10">
        <v>8.4109210000000004E-2</v>
      </c>
      <c r="N10">
        <v>0.45742254999999998</v>
      </c>
      <c r="O10">
        <v>1.11317887</v>
      </c>
      <c r="Q10">
        <f t="shared" si="0"/>
        <v>-8.3978132499999969E-2</v>
      </c>
      <c r="R10">
        <f t="shared" si="1"/>
        <v>-6.1107005000000214E-2</v>
      </c>
      <c r="S10">
        <f t="shared" si="2"/>
        <v>-3.8235877500000015E-2</v>
      </c>
      <c r="T10">
        <f t="shared" si="3"/>
        <v>-1.5364750000000038E-2</v>
      </c>
      <c r="U10">
        <f t="shared" si="4"/>
        <v>7.5063774999999389E-3</v>
      </c>
      <c r="V10">
        <f t="shared" si="5"/>
        <v>3.0377504999999916E-2</v>
      </c>
      <c r="W10">
        <f t="shared" si="6"/>
        <v>5.3248632499999893E-2</v>
      </c>
      <c r="X10">
        <f t="shared" si="7"/>
        <v>7.611975999999987E-2</v>
      </c>
    </row>
    <row r="11" spans="1:24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10.0329374</v>
      </c>
      <c r="J11">
        <v>8.0087720000000001E-2</v>
      </c>
      <c r="K11">
        <v>101.00625599999999</v>
      </c>
      <c r="L11">
        <v>124465.742</v>
      </c>
      <c r="M11">
        <v>0.11009099999999999</v>
      </c>
      <c r="N11">
        <v>0.55717273</v>
      </c>
      <c r="O11">
        <v>1.3204076499999999</v>
      </c>
      <c r="Q11">
        <f t="shared" si="0"/>
        <v>-6.6769007500000033E-2</v>
      </c>
      <c r="R11">
        <f t="shared" si="1"/>
        <v>-3.8910371000000055E-2</v>
      </c>
      <c r="S11">
        <f t="shared" si="2"/>
        <v>-1.1051734499999855E-2</v>
      </c>
      <c r="T11">
        <f t="shared" si="3"/>
        <v>1.6806902000000123E-2</v>
      </c>
      <c r="U11">
        <f t="shared" si="4"/>
        <v>4.4665538500000102E-2</v>
      </c>
      <c r="V11">
        <f t="shared" si="5"/>
        <v>7.252417500000008E-2</v>
      </c>
      <c r="W11">
        <f t="shared" si="6"/>
        <v>0.10038281150000006</v>
      </c>
      <c r="X11">
        <f t="shared" si="7"/>
        <v>0.12824144800000004</v>
      </c>
    </row>
    <row r="12" spans="1:24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11.979269</v>
      </c>
      <c r="J12">
        <v>7.8307550000000004E-2</v>
      </c>
      <c r="K12">
        <v>99.877372699999995</v>
      </c>
      <c r="L12">
        <v>123074.664</v>
      </c>
      <c r="M12">
        <v>0.11985206</v>
      </c>
      <c r="N12">
        <v>0.58317962000000001</v>
      </c>
      <c r="O12">
        <v>1.35978076</v>
      </c>
      <c r="Q12">
        <f t="shared" si="0"/>
        <v>-4.7626614999999983E-2</v>
      </c>
      <c r="R12">
        <f t="shared" si="1"/>
        <v>-1.8467634000000066E-2</v>
      </c>
      <c r="S12">
        <f t="shared" si="2"/>
        <v>1.0691347000000073E-2</v>
      </c>
      <c r="T12">
        <f t="shared" si="3"/>
        <v>3.985032799999999E-2</v>
      </c>
      <c r="U12">
        <f t="shared" si="4"/>
        <v>6.900930900000013E-2</v>
      </c>
      <c r="V12">
        <f t="shared" si="5"/>
        <v>9.8168290000000047E-2</v>
      </c>
      <c r="W12">
        <f t="shared" si="6"/>
        <v>0.12732727099999996</v>
      </c>
      <c r="X12">
        <f t="shared" si="7"/>
        <v>0.1564862520000001</v>
      </c>
    </row>
    <row r="13" spans="1:24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13.9203873</v>
      </c>
      <c r="J13">
        <v>7.9298359999999998E-2</v>
      </c>
      <c r="K13">
        <v>100.507256</v>
      </c>
      <c r="L13">
        <v>123850.844</v>
      </c>
      <c r="M13">
        <v>0.13756456</v>
      </c>
      <c r="N13">
        <v>0.61492157000000003</v>
      </c>
      <c r="O13">
        <v>1.4109760899999999</v>
      </c>
      <c r="Q13">
        <f t="shared" si="0"/>
        <v>-2.7402557499999869E-2</v>
      </c>
      <c r="R13">
        <f t="shared" si="1"/>
        <v>3.343521000000127E-3</v>
      </c>
      <c r="S13">
        <f t="shared" si="2"/>
        <v>3.4089599500000123E-2</v>
      </c>
      <c r="T13">
        <f t="shared" si="3"/>
        <v>6.4835678000000119E-2</v>
      </c>
      <c r="U13">
        <f t="shared" si="4"/>
        <v>9.5581756500000337E-2</v>
      </c>
      <c r="V13">
        <f t="shared" si="5"/>
        <v>0.12632783500000011</v>
      </c>
      <c r="W13">
        <f t="shared" si="6"/>
        <v>0.15707391350000011</v>
      </c>
      <c r="X13">
        <f t="shared" si="7"/>
        <v>0.18781999200000032</v>
      </c>
    </row>
    <row r="14" spans="1:24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15.9829109</v>
      </c>
      <c r="J14">
        <v>8.2301849999999996E-2</v>
      </c>
      <c r="K14">
        <v>102.39296</v>
      </c>
      <c r="L14">
        <v>126174.516</v>
      </c>
      <c r="M14">
        <v>0.16050244999999999</v>
      </c>
      <c r="N14">
        <v>0.63637958999999999</v>
      </c>
      <c r="O14">
        <v>1.4513096700000001</v>
      </c>
      <c r="Q14">
        <f t="shared" si="0"/>
        <v>-1.9455592500000174E-2</v>
      </c>
      <c r="R14">
        <f t="shared" si="1"/>
        <v>1.2363386999999726E-2</v>
      </c>
      <c r="S14">
        <f t="shared" si="2"/>
        <v>4.4182366499999848E-2</v>
      </c>
      <c r="T14">
        <f t="shared" si="3"/>
        <v>7.6001345999999748E-2</v>
      </c>
      <c r="U14">
        <f t="shared" si="4"/>
        <v>0.10782032550000009</v>
      </c>
      <c r="V14">
        <f t="shared" si="5"/>
        <v>0.13963930499999977</v>
      </c>
      <c r="W14">
        <f t="shared" si="6"/>
        <v>0.17145828449999967</v>
      </c>
      <c r="X14">
        <f t="shared" si="7"/>
        <v>0.20327726400000001</v>
      </c>
    </row>
    <row r="15" spans="1:24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17.913944000000001</v>
      </c>
      <c r="J15">
        <v>7.9200019999999996E-2</v>
      </c>
      <c r="K15">
        <v>100.44491600000001</v>
      </c>
      <c r="L15">
        <v>123774.023</v>
      </c>
      <c r="M15">
        <v>0.16868663</v>
      </c>
      <c r="N15">
        <v>0.64418209999999998</v>
      </c>
      <c r="O15">
        <v>1.4751724900000001</v>
      </c>
      <c r="Q15">
        <f t="shared" si="0"/>
        <v>-2.5762765000000076E-2</v>
      </c>
      <c r="R15">
        <f t="shared" si="1"/>
        <v>6.4463399999998838E-3</v>
      </c>
      <c r="S15">
        <f t="shared" si="2"/>
        <v>3.8655444999999844E-2</v>
      </c>
      <c r="T15">
        <f t="shared" si="3"/>
        <v>7.0864549999999804E-2</v>
      </c>
      <c r="U15">
        <f t="shared" si="4"/>
        <v>0.10307365499999999</v>
      </c>
      <c r="V15">
        <f t="shared" si="5"/>
        <v>0.13528275999999995</v>
      </c>
      <c r="W15">
        <f t="shared" si="6"/>
        <v>0.16749186499999968</v>
      </c>
      <c r="X15">
        <f t="shared" si="7"/>
        <v>0.19970096999999987</v>
      </c>
    </row>
    <row r="16" spans="1:24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20.051144799999999</v>
      </c>
      <c r="J16">
        <v>7.8955940000000002E-2</v>
      </c>
      <c r="K16">
        <v>100.29001599999999</v>
      </c>
      <c r="L16">
        <v>123583.148</v>
      </c>
      <c r="M16">
        <v>0.18256552000000001</v>
      </c>
      <c r="N16">
        <v>0.66169688000000004</v>
      </c>
      <c r="O16">
        <v>1.52006793</v>
      </c>
      <c r="Q16">
        <f t="shared" si="0"/>
        <v>-3.124994999999986E-2</v>
      </c>
      <c r="R16">
        <f t="shared" si="1"/>
        <v>1.8348939999999203E-3</v>
      </c>
      <c r="S16">
        <f t="shared" si="2"/>
        <v>3.4919738000000144E-2</v>
      </c>
      <c r="T16">
        <f t="shared" si="3"/>
        <v>6.8004582000000147E-2</v>
      </c>
      <c r="U16">
        <f t="shared" si="4"/>
        <v>0.10108942600000037</v>
      </c>
      <c r="V16">
        <f t="shared" si="5"/>
        <v>0.13417427000000015</v>
      </c>
      <c r="W16">
        <f t="shared" si="6"/>
        <v>0.16725911399999993</v>
      </c>
      <c r="X16">
        <f t="shared" si="7"/>
        <v>0.20034395800000016</v>
      </c>
    </row>
    <row r="17" spans="1:24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22.044026899999999</v>
      </c>
      <c r="J17">
        <v>7.7786690000000006E-2</v>
      </c>
      <c r="K17">
        <v>99.544654899999998</v>
      </c>
      <c r="L17">
        <v>122664.67200000001</v>
      </c>
      <c r="M17">
        <v>0.19908087999999999</v>
      </c>
      <c r="N17">
        <v>0.70987296</v>
      </c>
      <c r="O17">
        <v>1.6252724599999999</v>
      </c>
      <c r="Q17">
        <f t="shared" si="0"/>
        <v>-2.8058299999999869E-2</v>
      </c>
      <c r="R17">
        <f t="shared" si="1"/>
        <v>7.4353480000000083E-3</v>
      </c>
      <c r="S17">
        <f t="shared" si="2"/>
        <v>4.2928996000000108E-2</v>
      </c>
      <c r="T17">
        <f t="shared" si="3"/>
        <v>7.8422643999999986E-2</v>
      </c>
      <c r="U17">
        <f t="shared" si="4"/>
        <v>0.11391629200000031</v>
      </c>
      <c r="V17">
        <f t="shared" si="5"/>
        <v>0.14940994000000019</v>
      </c>
      <c r="W17">
        <f t="shared" si="6"/>
        <v>0.18490358799999984</v>
      </c>
      <c r="X17">
        <f t="shared" si="7"/>
        <v>0.22039723600000016</v>
      </c>
    </row>
    <row r="20" spans="1:24" x14ac:dyDescent="0.3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24" x14ac:dyDescent="0.3">
      <c r="A21" s="10" t="str">
        <f>A1</f>
        <v>Data Point</v>
      </c>
      <c r="B21" s="10" t="str">
        <f t="shared" ref="B21:L21" si="8">B1</f>
        <v> Corr Factor</v>
      </c>
      <c r="C21" s="10" t="str">
        <f t="shared" si="8"/>
        <v> Length Scale</v>
      </c>
      <c r="D21" s="10" t="str">
        <f t="shared" si="8"/>
        <v> AmbPress</v>
      </c>
      <c r="E21" s="10" t="str">
        <f t="shared" si="8"/>
        <v> AmbTemp</v>
      </c>
      <c r="F21" s="10" t="str">
        <f t="shared" si="8"/>
        <v> Density</v>
      </c>
      <c r="G21" s="10" t="str">
        <f t="shared" si="8"/>
        <v> Viscosity</v>
      </c>
      <c r="H21" s="10" t="str">
        <f t="shared" si="8"/>
        <v> Motor Speed</v>
      </c>
      <c r="I21" s="10" t="str">
        <f t="shared" si="8"/>
        <v> Angle of Attack</v>
      </c>
      <c r="J21" s="10" t="str">
        <f t="shared" si="8"/>
        <v> Corrected q</v>
      </c>
      <c r="K21" s="10" t="str">
        <f t="shared" si="8"/>
        <v> Avg Velocity</v>
      </c>
      <c r="L21" s="10" t="str">
        <f t="shared" si="8"/>
        <v> Reynolds number</v>
      </c>
      <c r="M21" s="10" t="str">
        <f t="shared" ref="M21:O21" si="9">M1</f>
        <v> Axial Force</v>
      </c>
      <c r="N21" s="10" t="str">
        <f t="shared" si="9"/>
        <v>Normal Force</v>
      </c>
      <c r="O21" s="10" t="str">
        <f t="shared" si="9"/>
        <v> Pitching Mom</v>
      </c>
    </row>
    <row r="22" spans="1:24" x14ac:dyDescent="0.3">
      <c r="A22" s="10" t="str">
        <f t="shared" ref="A22:L22" si="10">A2</f>
        <v>#</v>
      </c>
      <c r="B22" s="10" t="str">
        <f t="shared" si="10"/>
        <v> ND</v>
      </c>
      <c r="C22" s="10" t="str">
        <f t="shared" si="10"/>
        <v> [in]</v>
      </c>
      <c r="D22" s="10" t="str">
        <f t="shared" si="10"/>
        <v> [psia]</v>
      </c>
      <c r="E22" s="10" t="str">
        <f t="shared" si="10"/>
        <v> [R]</v>
      </c>
      <c r="F22" s="10" t="str">
        <f t="shared" si="10"/>
        <v> [slug/ft3]</v>
      </c>
      <c r="G22" s="10" t="str">
        <f t="shared" si="10"/>
        <v> [slug/ft s]</v>
      </c>
      <c r="H22" s="10" t="str">
        <f t="shared" si="10"/>
        <v> [RPM]</v>
      </c>
      <c r="I22" s="10" t="str">
        <f t="shared" si="10"/>
        <v> [deg]</v>
      </c>
      <c r="J22" s="10" t="str">
        <f t="shared" si="10"/>
        <v> [dpsi]</v>
      </c>
      <c r="K22" s="10" t="str">
        <f t="shared" si="10"/>
        <v> [ft/s]</v>
      </c>
      <c r="L22" s="10" t="str">
        <f t="shared" si="10"/>
        <v> ND</v>
      </c>
      <c r="M22" s="10" t="str">
        <f t="shared" ref="M22:O22" si="11">M2</f>
        <v> [Lbf]</v>
      </c>
      <c r="N22" s="10" t="str">
        <f t="shared" si="11"/>
        <v> [Lbf]</v>
      </c>
      <c r="O22" s="10" t="str">
        <f t="shared" si="11"/>
        <v> [in-Lbf]</v>
      </c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24" x14ac:dyDescent="0.3">
      <c r="A24" s="10">
        <f t="shared" ref="A24:L24" si="12">A4</f>
        <v>1</v>
      </c>
      <c r="B24" s="10">
        <f t="shared" si="12"/>
        <v>0.95</v>
      </c>
      <c r="C24" s="10">
        <f t="shared" si="12"/>
        <v>2.5</v>
      </c>
      <c r="D24" s="10">
        <f t="shared" si="12"/>
        <v>14.385783500000001</v>
      </c>
      <c r="E24" s="10">
        <f t="shared" si="12"/>
        <v>533.97</v>
      </c>
      <c r="F24" s="10">
        <f t="shared" si="12"/>
        <v>2.2607999999999999E-3</v>
      </c>
      <c r="G24" s="10">
        <f t="shared" si="12"/>
        <v>3.8200000000000001E-7</v>
      </c>
      <c r="H24" s="10">
        <f t="shared" si="12"/>
        <v>0</v>
      </c>
      <c r="I24" s="10">
        <f t="shared" si="12"/>
        <v>-3.9458688</v>
      </c>
      <c r="J24" s="10">
        <f t="shared" si="12"/>
        <v>7.8531359999999995E-2</v>
      </c>
      <c r="K24" s="10">
        <f t="shared" si="12"/>
        <v>100.020004</v>
      </c>
      <c r="L24" s="10">
        <f t="shared" si="12"/>
        <v>123250.42200000001</v>
      </c>
      <c r="M24" s="10">
        <f>M4-'0 ft'!M4</f>
        <v>1.2701416E-2</v>
      </c>
      <c r="N24" s="10">
        <f>N4-'0 ft'!N4</f>
        <v>-7.7878507000000013E-2</v>
      </c>
      <c r="O24" s="10">
        <f>O4-'0 ft'!O4</f>
        <v>-9.5789892000000043E-2</v>
      </c>
    </row>
    <row r="25" spans="1:24" x14ac:dyDescent="0.3">
      <c r="A25" s="10">
        <f t="shared" ref="A25:L25" si="13">A5</f>
        <v>2</v>
      </c>
      <c r="B25" s="10">
        <f t="shared" si="13"/>
        <v>0.95</v>
      </c>
      <c r="C25" s="10">
        <f t="shared" si="13"/>
        <v>2.5</v>
      </c>
      <c r="D25" s="10">
        <f t="shared" si="13"/>
        <v>14.385783500000001</v>
      </c>
      <c r="E25" s="10">
        <f t="shared" si="13"/>
        <v>533.97</v>
      </c>
      <c r="F25" s="10">
        <f t="shared" si="13"/>
        <v>2.2607999999999999E-3</v>
      </c>
      <c r="G25" s="10">
        <f t="shared" si="13"/>
        <v>3.8200000000000001E-7</v>
      </c>
      <c r="H25" s="10">
        <f t="shared" si="13"/>
        <v>0</v>
      </c>
      <c r="I25" s="10">
        <f t="shared" si="13"/>
        <v>-2.0466473000000001</v>
      </c>
      <c r="J25" s="10">
        <f t="shared" si="13"/>
        <v>7.8932520000000006E-2</v>
      </c>
      <c r="K25" s="10">
        <f t="shared" si="13"/>
        <v>100.275139</v>
      </c>
      <c r="L25" s="10">
        <f t="shared" si="13"/>
        <v>123564.81299999999</v>
      </c>
      <c r="M25" s="10">
        <f>M5-'0 ft'!M5</f>
        <v>1.587593E-2</v>
      </c>
      <c r="N25" s="10">
        <f>N5-'0 ft'!N5</f>
        <v>2.9276715000000009E-2</v>
      </c>
      <c r="O25" s="10">
        <f>O5-'0 ft'!O5</f>
        <v>0.16270545999999997</v>
      </c>
    </row>
    <row r="26" spans="1:24" x14ac:dyDescent="0.3">
      <c r="A26" s="10">
        <f t="shared" ref="A26:L26" si="14">A6</f>
        <v>3</v>
      </c>
      <c r="B26" s="10">
        <f t="shared" si="14"/>
        <v>0.95</v>
      </c>
      <c r="C26" s="10">
        <f t="shared" si="14"/>
        <v>2.5</v>
      </c>
      <c r="D26" s="10">
        <f t="shared" si="14"/>
        <v>14.385783500000001</v>
      </c>
      <c r="E26" s="10">
        <f t="shared" si="14"/>
        <v>533.97</v>
      </c>
      <c r="F26" s="10">
        <f t="shared" si="14"/>
        <v>2.2607999999999999E-3</v>
      </c>
      <c r="G26" s="10">
        <f t="shared" si="14"/>
        <v>3.8200000000000001E-7</v>
      </c>
      <c r="H26" s="10">
        <f t="shared" si="14"/>
        <v>0</v>
      </c>
      <c r="I26" s="10">
        <f t="shared" si="14"/>
        <v>-3.3471899999999999E-2</v>
      </c>
      <c r="J26" s="10">
        <f t="shared" si="14"/>
        <v>7.8225030000000001E-2</v>
      </c>
      <c r="K26" s="10">
        <f t="shared" si="14"/>
        <v>99.824737600000006</v>
      </c>
      <c r="L26" s="10">
        <f t="shared" si="14"/>
        <v>123009.80499999999</v>
      </c>
      <c r="M26" s="10">
        <f>M6-'0 ft'!M6</f>
        <v>3.1174680000000003E-2</v>
      </c>
      <c r="N26" s="10">
        <f>N6-'0 ft'!N6</f>
        <v>0.146835146</v>
      </c>
      <c r="O26" s="10">
        <f>O6-'0 ft'!O6</f>
        <v>0.45117903199999998</v>
      </c>
    </row>
    <row r="27" spans="1:24" x14ac:dyDescent="0.3">
      <c r="A27" s="10">
        <f t="shared" ref="A27:L27" si="15">A7</f>
        <v>4</v>
      </c>
      <c r="B27" s="10">
        <f t="shared" si="15"/>
        <v>0.95</v>
      </c>
      <c r="C27" s="10">
        <f t="shared" si="15"/>
        <v>2.5</v>
      </c>
      <c r="D27" s="10">
        <f t="shared" si="15"/>
        <v>14.385783500000001</v>
      </c>
      <c r="E27" s="10">
        <f t="shared" si="15"/>
        <v>533.97</v>
      </c>
      <c r="F27" s="10">
        <f t="shared" si="15"/>
        <v>2.2607999999999999E-3</v>
      </c>
      <c r="G27" s="10">
        <f t="shared" si="15"/>
        <v>3.8200000000000001E-7</v>
      </c>
      <c r="H27" s="10">
        <f t="shared" si="15"/>
        <v>0</v>
      </c>
      <c r="I27" s="10">
        <f t="shared" si="15"/>
        <v>1.9196833099999999</v>
      </c>
      <c r="J27" s="10">
        <f t="shared" si="15"/>
        <v>7.8754640000000001E-2</v>
      </c>
      <c r="K27" s="10">
        <f t="shared" si="15"/>
        <v>100.162087</v>
      </c>
      <c r="L27" s="10">
        <f t="shared" si="15"/>
        <v>123425.508</v>
      </c>
      <c r="M27" s="10">
        <f>M7-'0 ft'!M7</f>
        <v>2.2322599000000005E-2</v>
      </c>
      <c r="N27" s="10">
        <f>N7-'0 ft'!N7</f>
        <v>0.24709260399999999</v>
      </c>
      <c r="O27" s="10">
        <f>O7-'0 ft'!O7</f>
        <v>0.69504576799999995</v>
      </c>
    </row>
    <row r="28" spans="1:24" x14ac:dyDescent="0.3">
      <c r="A28" s="10">
        <f t="shared" ref="A28:L28" si="16">A8</f>
        <v>5</v>
      </c>
      <c r="B28" s="10">
        <f t="shared" si="16"/>
        <v>0.95</v>
      </c>
      <c r="C28" s="10">
        <f t="shared" si="16"/>
        <v>2.5</v>
      </c>
      <c r="D28" s="10">
        <f t="shared" si="16"/>
        <v>14.385783500000001</v>
      </c>
      <c r="E28" s="10">
        <f t="shared" si="16"/>
        <v>533.97</v>
      </c>
      <c r="F28" s="10">
        <f t="shared" si="16"/>
        <v>2.2607999999999999E-3</v>
      </c>
      <c r="G28" s="10">
        <f t="shared" si="16"/>
        <v>3.8200000000000001E-7</v>
      </c>
      <c r="H28" s="10">
        <f t="shared" si="16"/>
        <v>0</v>
      </c>
      <c r="I28" s="10">
        <f t="shared" si="16"/>
        <v>4.0854886199999996</v>
      </c>
      <c r="J28" s="10">
        <f t="shared" si="16"/>
        <v>7.8460299999999997E-2</v>
      </c>
      <c r="K28" s="10">
        <f t="shared" si="16"/>
        <v>99.974739099999994</v>
      </c>
      <c r="L28" s="10">
        <f t="shared" si="16"/>
        <v>123194.641</v>
      </c>
      <c r="M28" s="10">
        <f>M8-'0 ft'!M8</f>
        <v>2.4953494000000007E-2</v>
      </c>
      <c r="N28" s="10">
        <f>N8-'0 ft'!N8</f>
        <v>0.37862048599999998</v>
      </c>
      <c r="O28" s="10">
        <f>O8-'0 ft'!O8</f>
        <v>1.012504523</v>
      </c>
    </row>
    <row r="29" spans="1:24" x14ac:dyDescent="0.3">
      <c r="A29" s="10">
        <f t="shared" ref="A29:L29" si="17">A9</f>
        <v>6</v>
      </c>
      <c r="B29" s="10">
        <f t="shared" si="17"/>
        <v>0.95</v>
      </c>
      <c r="C29" s="10">
        <f t="shared" si="17"/>
        <v>2.5</v>
      </c>
      <c r="D29" s="10">
        <f t="shared" si="17"/>
        <v>14.385783500000001</v>
      </c>
      <c r="E29" s="10">
        <f t="shared" si="17"/>
        <v>533.97</v>
      </c>
      <c r="F29" s="10">
        <f t="shared" si="17"/>
        <v>2.2607999999999999E-3</v>
      </c>
      <c r="G29" s="10">
        <f t="shared" si="17"/>
        <v>3.8200000000000001E-7</v>
      </c>
      <c r="H29" s="10">
        <f t="shared" si="17"/>
        <v>0</v>
      </c>
      <c r="I29" s="10">
        <f t="shared" si="17"/>
        <v>5.94443739</v>
      </c>
      <c r="J29" s="10">
        <f t="shared" si="17"/>
        <v>7.3777709999999996E-2</v>
      </c>
      <c r="K29" s="10">
        <f t="shared" si="17"/>
        <v>96.945556600000003</v>
      </c>
      <c r="L29" s="10">
        <f t="shared" si="17"/>
        <v>119461.914</v>
      </c>
      <c r="M29" s="10">
        <f>M9-'0 ft'!M9</f>
        <v>1.4300358999999992E-2</v>
      </c>
      <c r="N29" s="10">
        <f>N9-'0 ft'!N9</f>
        <v>0.49973541599999999</v>
      </c>
      <c r="O29" s="10">
        <f>O9-'0 ft'!O9</f>
        <v>1.2882848410000001</v>
      </c>
    </row>
    <row r="30" spans="1:24" x14ac:dyDescent="0.3">
      <c r="A30" s="10">
        <f t="shared" ref="A30:L30" si="18">A10</f>
        <v>7</v>
      </c>
      <c r="B30" s="10">
        <f t="shared" si="18"/>
        <v>0.95</v>
      </c>
      <c r="C30" s="10">
        <f t="shared" si="18"/>
        <v>2.5</v>
      </c>
      <c r="D30" s="10">
        <f t="shared" si="18"/>
        <v>14.385783500000001</v>
      </c>
      <c r="E30" s="10">
        <f t="shared" si="18"/>
        <v>533.97</v>
      </c>
      <c r="F30" s="10">
        <f t="shared" si="18"/>
        <v>2.2607999999999999E-3</v>
      </c>
      <c r="G30" s="10">
        <f t="shared" si="18"/>
        <v>3.8200000000000001E-7</v>
      </c>
      <c r="H30" s="10">
        <f t="shared" si="18"/>
        <v>0</v>
      </c>
      <c r="I30" s="10">
        <f t="shared" si="18"/>
        <v>7.9381382900000004</v>
      </c>
      <c r="J30" s="10">
        <f t="shared" si="18"/>
        <v>7.7833059999999996E-2</v>
      </c>
      <c r="K30" s="10">
        <f t="shared" si="18"/>
        <v>99.574317899999997</v>
      </c>
      <c r="L30" s="10">
        <f t="shared" si="18"/>
        <v>122701.219</v>
      </c>
      <c r="M30" s="10">
        <f>M10-'0 ft'!M10</f>
        <v>6.4646250000000016E-3</v>
      </c>
      <c r="N30" s="10">
        <f>N10-'0 ft'!N10</f>
        <v>0.62563772099999992</v>
      </c>
      <c r="O30" s="10">
        <f>O10-'0 ft'!O10</f>
        <v>1.5676973510000001</v>
      </c>
    </row>
    <row r="31" spans="1:24" x14ac:dyDescent="0.3">
      <c r="A31" s="10">
        <f t="shared" ref="A31:L31" si="19">A11</f>
        <v>8</v>
      </c>
      <c r="B31" s="10">
        <f t="shared" si="19"/>
        <v>0.95</v>
      </c>
      <c r="C31" s="10">
        <f t="shared" si="19"/>
        <v>2.5</v>
      </c>
      <c r="D31" s="10">
        <f t="shared" si="19"/>
        <v>14.385783500000001</v>
      </c>
      <c r="E31" s="10">
        <f t="shared" si="19"/>
        <v>533.97</v>
      </c>
      <c r="F31" s="10">
        <f t="shared" si="19"/>
        <v>2.2607999999999999E-3</v>
      </c>
      <c r="G31" s="10">
        <f t="shared" si="19"/>
        <v>3.8200000000000001E-7</v>
      </c>
      <c r="H31" s="10">
        <f t="shared" si="19"/>
        <v>0</v>
      </c>
      <c r="I31" s="10">
        <f t="shared" si="19"/>
        <v>10.0329374</v>
      </c>
      <c r="J31" s="10">
        <f t="shared" si="19"/>
        <v>8.0087720000000001E-2</v>
      </c>
      <c r="K31" s="10">
        <f t="shared" si="19"/>
        <v>101.00625599999999</v>
      </c>
      <c r="L31" s="10">
        <f t="shared" si="19"/>
        <v>124465.742</v>
      </c>
      <c r="M31" s="10">
        <f>M11-'0 ft'!M11</f>
        <v>1.8420584999999989E-2</v>
      </c>
      <c r="N31" s="10">
        <f>N11-'0 ft'!N11</f>
        <v>0.72521688900000003</v>
      </c>
      <c r="O31" s="10">
        <f>O11-'0 ft'!O11</f>
        <v>1.7712778459999998</v>
      </c>
    </row>
    <row r="32" spans="1:24" x14ac:dyDescent="0.3">
      <c r="A32" s="10">
        <f t="shared" ref="A32:L32" si="20">A12</f>
        <v>9</v>
      </c>
      <c r="B32" s="10">
        <f t="shared" si="20"/>
        <v>0.95</v>
      </c>
      <c r="C32" s="10">
        <f t="shared" si="20"/>
        <v>2.5</v>
      </c>
      <c r="D32" s="10">
        <f t="shared" si="20"/>
        <v>14.385783500000001</v>
      </c>
      <c r="E32" s="10">
        <f t="shared" si="20"/>
        <v>533.97</v>
      </c>
      <c r="F32" s="10">
        <f t="shared" si="20"/>
        <v>2.2607999999999999E-3</v>
      </c>
      <c r="G32" s="10">
        <f t="shared" si="20"/>
        <v>3.8200000000000001E-7</v>
      </c>
      <c r="H32" s="10">
        <f t="shared" si="20"/>
        <v>0</v>
      </c>
      <c r="I32" s="10">
        <f t="shared" si="20"/>
        <v>11.979269</v>
      </c>
      <c r="J32" s="10">
        <f t="shared" si="20"/>
        <v>7.8307550000000004E-2</v>
      </c>
      <c r="K32" s="10">
        <f t="shared" si="20"/>
        <v>99.877372699999995</v>
      </c>
      <c r="L32" s="10">
        <f t="shared" si="20"/>
        <v>123074.664</v>
      </c>
      <c r="M32" s="10">
        <f>M12-'0 ft'!M12</f>
        <v>1.3181327999999992E-2</v>
      </c>
      <c r="N32" s="10">
        <f>N12-'0 ft'!N12</f>
        <v>0.74897677299999998</v>
      </c>
      <c r="O32" s="10">
        <f>O12-'0 ft'!O12</f>
        <v>1.809151414</v>
      </c>
    </row>
    <row r="33" spans="1:15" x14ac:dyDescent="0.3">
      <c r="A33" s="10">
        <f t="shared" ref="A33:L33" si="21">A13</f>
        <v>10</v>
      </c>
      <c r="B33" s="10">
        <f t="shared" si="21"/>
        <v>0.95</v>
      </c>
      <c r="C33" s="10">
        <f t="shared" si="21"/>
        <v>2.5</v>
      </c>
      <c r="D33" s="10">
        <f t="shared" si="21"/>
        <v>14.385783500000001</v>
      </c>
      <c r="E33" s="10">
        <f t="shared" si="21"/>
        <v>533.97</v>
      </c>
      <c r="F33" s="10">
        <f t="shared" si="21"/>
        <v>2.2607999999999999E-3</v>
      </c>
      <c r="G33" s="10">
        <f t="shared" si="21"/>
        <v>3.8200000000000001E-7</v>
      </c>
      <c r="H33" s="10">
        <f t="shared" si="21"/>
        <v>0</v>
      </c>
      <c r="I33" s="10">
        <f t="shared" si="21"/>
        <v>13.9203873</v>
      </c>
      <c r="J33" s="10">
        <f t="shared" si="21"/>
        <v>7.9298359999999998E-2</v>
      </c>
      <c r="K33" s="10">
        <f t="shared" si="21"/>
        <v>100.507256</v>
      </c>
      <c r="L33" s="10">
        <f t="shared" si="21"/>
        <v>123850.844</v>
      </c>
      <c r="M33" s="10">
        <f>M13-'0 ft'!M13</f>
        <v>1.5871176000000001E-2</v>
      </c>
      <c r="N33" s="10">
        <f>N13-'0 ft'!N13</f>
        <v>0.77779853900000007</v>
      </c>
      <c r="O33" s="10">
        <f>O13-'0 ft'!O13</f>
        <v>1.85290563</v>
      </c>
    </row>
    <row r="34" spans="1:15" x14ac:dyDescent="0.3">
      <c r="A34" s="10">
        <f t="shared" ref="A34:L34" si="22">A14</f>
        <v>11</v>
      </c>
      <c r="B34" s="10">
        <f t="shared" si="22"/>
        <v>0.95</v>
      </c>
      <c r="C34" s="10">
        <f t="shared" si="22"/>
        <v>2.5</v>
      </c>
      <c r="D34" s="10">
        <f t="shared" si="22"/>
        <v>14.385783500000001</v>
      </c>
      <c r="E34" s="10">
        <f t="shared" si="22"/>
        <v>533.97</v>
      </c>
      <c r="F34" s="10">
        <f t="shared" si="22"/>
        <v>2.2607999999999999E-3</v>
      </c>
      <c r="G34" s="10">
        <f t="shared" si="22"/>
        <v>3.8200000000000001E-7</v>
      </c>
      <c r="H34" s="10">
        <f t="shared" si="22"/>
        <v>0</v>
      </c>
      <c r="I34" s="10">
        <f t="shared" si="22"/>
        <v>15.9829109</v>
      </c>
      <c r="J34" s="10">
        <f t="shared" si="22"/>
        <v>8.2301849999999996E-2</v>
      </c>
      <c r="K34" s="10">
        <f t="shared" si="22"/>
        <v>102.39296</v>
      </c>
      <c r="L34" s="10">
        <f t="shared" si="22"/>
        <v>126174.516</v>
      </c>
      <c r="M34" s="10">
        <f>M14-'0 ft'!M14</f>
        <v>2.009572599999998E-2</v>
      </c>
      <c r="N34" s="10">
        <f>N14-'0 ft'!N14</f>
        <v>0.79834203800000003</v>
      </c>
      <c r="O34" s="10">
        <f>O14-'0 ft'!O14</f>
        <v>1.8910630460000002</v>
      </c>
    </row>
    <row r="35" spans="1:15" x14ac:dyDescent="0.3">
      <c r="A35" s="10">
        <f>A15</f>
        <v>12</v>
      </c>
      <c r="B35" s="10">
        <f t="shared" ref="B35:L35" si="23">B15</f>
        <v>0.95</v>
      </c>
      <c r="C35" s="10">
        <f t="shared" si="23"/>
        <v>2.5</v>
      </c>
      <c r="D35" s="10">
        <f t="shared" si="23"/>
        <v>14.385783500000001</v>
      </c>
      <c r="E35" s="10">
        <f t="shared" si="23"/>
        <v>533.97</v>
      </c>
      <c r="F35" s="10">
        <f t="shared" si="23"/>
        <v>2.2607999999999999E-3</v>
      </c>
      <c r="G35" s="10">
        <f t="shared" si="23"/>
        <v>3.8200000000000001E-7</v>
      </c>
      <c r="H35" s="10">
        <f t="shared" si="23"/>
        <v>0</v>
      </c>
      <c r="I35" s="10">
        <f t="shared" si="23"/>
        <v>17.913944000000001</v>
      </c>
      <c r="J35" s="10">
        <f t="shared" si="23"/>
        <v>7.9200019999999996E-2</v>
      </c>
      <c r="K35" s="10">
        <f t="shared" si="23"/>
        <v>100.44491600000001</v>
      </c>
      <c r="L35" s="10">
        <f t="shared" si="23"/>
        <v>123774.023</v>
      </c>
      <c r="M35" s="10">
        <f>M15-'0 ft'!M15</f>
        <v>2.029367700000001E-2</v>
      </c>
      <c r="N35" s="10">
        <f>N15-'0 ft'!N15</f>
        <v>0.80480863199999997</v>
      </c>
      <c r="O35" s="10">
        <f>O15-'0 ft'!O15</f>
        <v>1.9084510960000001</v>
      </c>
    </row>
    <row r="36" spans="1:15" x14ac:dyDescent="0.3">
      <c r="A36" s="10">
        <f t="shared" ref="A36:L36" si="24">A16</f>
        <v>13</v>
      </c>
      <c r="B36" s="10">
        <f t="shared" si="24"/>
        <v>0.95</v>
      </c>
      <c r="C36" s="10">
        <f t="shared" si="24"/>
        <v>2.5</v>
      </c>
      <c r="D36" s="10">
        <f t="shared" si="24"/>
        <v>14.385783500000001</v>
      </c>
      <c r="E36" s="10">
        <f t="shared" si="24"/>
        <v>533.97</v>
      </c>
      <c r="F36" s="10">
        <f t="shared" si="24"/>
        <v>2.2607999999999999E-3</v>
      </c>
      <c r="G36" s="10">
        <f t="shared" si="24"/>
        <v>3.8200000000000001E-7</v>
      </c>
      <c r="H36" s="10">
        <f t="shared" si="24"/>
        <v>0</v>
      </c>
      <c r="I36" s="10">
        <f t="shared" si="24"/>
        <v>20.051144799999999</v>
      </c>
      <c r="J36" s="10">
        <f t="shared" si="24"/>
        <v>7.8955940000000002E-2</v>
      </c>
      <c r="K36" s="10">
        <f t="shared" si="24"/>
        <v>100.29001599999999</v>
      </c>
      <c r="L36" s="10">
        <f t="shared" si="24"/>
        <v>123583.148</v>
      </c>
      <c r="M36" s="10">
        <f>M16-'0 ft'!M16</f>
        <v>1.6197428000000014E-2</v>
      </c>
      <c r="N36" s="10">
        <f>N16-'0 ft'!N16</f>
        <v>0.81955306800000005</v>
      </c>
      <c r="O36" s="10">
        <f>O16-'0 ft'!O16</f>
        <v>1.950084302</v>
      </c>
    </row>
    <row r="37" spans="1:15" x14ac:dyDescent="0.3">
      <c r="A37" s="10">
        <f t="shared" ref="A37:L37" si="25">A17</f>
        <v>14</v>
      </c>
      <c r="B37" s="10">
        <f t="shared" si="25"/>
        <v>0.95</v>
      </c>
      <c r="C37" s="10">
        <f t="shared" si="25"/>
        <v>2.5</v>
      </c>
      <c r="D37" s="10">
        <f t="shared" si="25"/>
        <v>14.385783500000001</v>
      </c>
      <c r="E37" s="10">
        <f t="shared" si="25"/>
        <v>533.97</v>
      </c>
      <c r="F37" s="10">
        <f t="shared" si="25"/>
        <v>2.2607999999999999E-3</v>
      </c>
      <c r="G37" s="10">
        <f t="shared" si="25"/>
        <v>3.8200000000000001E-7</v>
      </c>
      <c r="H37" s="10">
        <f t="shared" si="25"/>
        <v>0</v>
      </c>
      <c r="I37" s="10">
        <f t="shared" si="25"/>
        <v>22.044026899999999</v>
      </c>
      <c r="J37" s="10">
        <f t="shared" si="25"/>
        <v>7.7786690000000006E-2</v>
      </c>
      <c r="K37" s="10">
        <f t="shared" si="25"/>
        <v>99.544654899999998</v>
      </c>
      <c r="L37" s="10">
        <f t="shared" si="25"/>
        <v>122664.67200000001</v>
      </c>
      <c r="M37" s="10">
        <f>M17-'0 ft'!M17</f>
        <v>1.7842845999999996E-2</v>
      </c>
      <c r="N37" s="10">
        <f>N17-'0 ft'!N17</f>
        <v>0.86265478400000006</v>
      </c>
      <c r="O37" s="10">
        <f>O17-'0 ft'!O17</f>
        <v>2.0453003110000001</v>
      </c>
    </row>
    <row r="40" spans="1:15" x14ac:dyDescent="0.3">
      <c r="A40" s="29" t="s">
        <v>55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 x14ac:dyDescent="0.3">
      <c r="A41" s="3"/>
      <c r="B41" s="3"/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35</v>
      </c>
      <c r="J41" t="s">
        <v>36</v>
      </c>
      <c r="K41" t="s">
        <v>37</v>
      </c>
      <c r="L41" t="s">
        <v>38</v>
      </c>
      <c r="M41" t="s">
        <v>39</v>
      </c>
      <c r="N41" t="s">
        <v>13</v>
      </c>
      <c r="O41" t="s">
        <v>40</v>
      </c>
    </row>
    <row r="42" spans="1:15" x14ac:dyDescent="0.3">
      <c r="A42" s="3"/>
      <c r="B42" s="3"/>
      <c r="C42" t="s">
        <v>56</v>
      </c>
      <c r="D42" t="s">
        <v>57</v>
      </c>
      <c r="E42" t="s">
        <v>58</v>
      </c>
      <c r="F42" t="s">
        <v>59</v>
      </c>
      <c r="G42" t="s">
        <v>60</v>
      </c>
      <c r="H42" t="s">
        <v>47</v>
      </c>
      <c r="I42" t="s">
        <v>63</v>
      </c>
      <c r="J42" t="s">
        <v>57</v>
      </c>
      <c r="K42" t="s">
        <v>61</v>
      </c>
      <c r="L42" t="s">
        <v>41</v>
      </c>
      <c r="M42" t="s">
        <v>62</v>
      </c>
      <c r="N42" t="s">
        <v>62</v>
      </c>
      <c r="O42" t="s">
        <v>52</v>
      </c>
    </row>
    <row r="43" spans="1:15" x14ac:dyDescent="0.3">
      <c r="C43">
        <f t="shared" ref="C43:C56" si="26">C4*0.0254</f>
        <v>6.3500000000000001E-2</v>
      </c>
      <c r="D43">
        <f t="shared" ref="D43:D56" si="27">D4*6894.76</f>
        <v>99186.524644460005</v>
      </c>
      <c r="E43">
        <f t="shared" ref="E43:E56" si="28">E4*0.555556</f>
        <v>296.65023732000003</v>
      </c>
      <c r="F43">
        <f t="shared" ref="F43:F56" si="29">F4*515.379</f>
        <v>1.1651688432</v>
      </c>
      <c r="G43" s="1">
        <f t="shared" ref="G43:G56" si="30">G4*157.087</f>
        <v>6.0007233999999997E-5</v>
      </c>
      <c r="I43">
        <f t="shared" ref="I43:I56" si="31">I4/180*PI()</f>
        <v>-6.8868402411717627E-2</v>
      </c>
      <c r="J43">
        <f t="shared" ref="J43:J56" si="32">J4*6894.76</f>
        <v>541.45487967359998</v>
      </c>
      <c r="K43">
        <f t="shared" ref="K43:K56" si="33">K4*0.3048</f>
        <v>30.486097219200001</v>
      </c>
      <c r="L43">
        <f t="shared" ref="L43:L56" si="34">L4</f>
        <v>123250.42200000001</v>
      </c>
      <c r="M43">
        <f t="shared" ref="M43:N56" si="35">M4*4.44822</f>
        <v>-1.1078736731999999E-2</v>
      </c>
      <c r="N43">
        <f t="shared" si="35"/>
        <v>-1.1082313100880001</v>
      </c>
      <c r="O43">
        <f t="shared" ref="O43:O56" si="36">O4*0.1129848333</f>
        <v>-6.3934219187721159E-2</v>
      </c>
    </row>
    <row r="44" spans="1:15" x14ac:dyDescent="0.3">
      <c r="C44">
        <f t="shared" si="26"/>
        <v>6.3500000000000001E-2</v>
      </c>
      <c r="D44">
        <f t="shared" si="27"/>
        <v>99186.524644460005</v>
      </c>
      <c r="E44">
        <f t="shared" si="28"/>
        <v>296.65023732000003</v>
      </c>
      <c r="F44">
        <f t="shared" si="29"/>
        <v>1.1651688432</v>
      </c>
      <c r="G44" s="1">
        <f t="shared" si="30"/>
        <v>6.0007233999999997E-5</v>
      </c>
      <c r="I44">
        <f t="shared" si="31"/>
        <v>-3.5720734012052141E-2</v>
      </c>
      <c r="J44">
        <f t="shared" si="32"/>
        <v>544.22078159520004</v>
      </c>
      <c r="K44">
        <f t="shared" si="33"/>
        <v>30.563862367199999</v>
      </c>
      <c r="L44">
        <f t="shared" si="34"/>
        <v>123564.81299999999</v>
      </c>
      <c r="M44">
        <f t="shared" si="35"/>
        <v>9.3598733524799999E-2</v>
      </c>
      <c r="N44">
        <f t="shared" si="35"/>
        <v>-0.62890135379400003</v>
      </c>
      <c r="O44">
        <f t="shared" si="36"/>
        <v>-3.4477864208694843E-2</v>
      </c>
    </row>
    <row r="45" spans="1:15" x14ac:dyDescent="0.3">
      <c r="C45">
        <f t="shared" si="26"/>
        <v>6.3500000000000001E-2</v>
      </c>
      <c r="D45">
        <f t="shared" si="27"/>
        <v>99186.524644460005</v>
      </c>
      <c r="E45">
        <f t="shared" si="28"/>
        <v>296.65023732000003</v>
      </c>
      <c r="F45">
        <f t="shared" si="29"/>
        <v>1.1651688432</v>
      </c>
      <c r="G45" s="1">
        <f t="shared" si="30"/>
        <v>6.0007233999999997E-5</v>
      </c>
      <c r="I45">
        <f t="shared" si="31"/>
        <v>-5.8419486189828995E-4</v>
      </c>
      <c r="J45">
        <f t="shared" si="32"/>
        <v>539.34280784279997</v>
      </c>
      <c r="K45">
        <f t="shared" si="33"/>
        <v>30.426580020480003</v>
      </c>
      <c r="L45">
        <f t="shared" si="34"/>
        <v>123009.80499999999</v>
      </c>
      <c r="M45">
        <f t="shared" si="35"/>
        <v>0.19986123801420003</v>
      </c>
      <c r="N45">
        <f t="shared" si="35"/>
        <v>-0.101705881368</v>
      </c>
      <c r="O45">
        <f t="shared" si="36"/>
        <v>-1.56939322998699E-3</v>
      </c>
    </row>
    <row r="46" spans="1:15" x14ac:dyDescent="0.3">
      <c r="C46">
        <f t="shared" si="26"/>
        <v>6.3500000000000001E-2</v>
      </c>
      <c r="D46">
        <f t="shared" si="27"/>
        <v>99186.524644460005</v>
      </c>
      <c r="E46">
        <f t="shared" si="28"/>
        <v>296.65023732000003</v>
      </c>
      <c r="F46">
        <f t="shared" si="29"/>
        <v>1.1651688432</v>
      </c>
      <c r="G46" s="1">
        <f t="shared" si="30"/>
        <v>6.0007233999999997E-5</v>
      </c>
      <c r="I46">
        <f t="shared" si="31"/>
        <v>3.3504794355082988E-2</v>
      </c>
      <c r="J46">
        <f t="shared" si="32"/>
        <v>542.99434168640005</v>
      </c>
      <c r="K46">
        <f t="shared" si="33"/>
        <v>30.529404117600002</v>
      </c>
      <c r="L46">
        <f t="shared" si="34"/>
        <v>123425.508</v>
      </c>
      <c r="M46">
        <f t="shared" si="35"/>
        <v>0.24093890387280001</v>
      </c>
      <c r="N46">
        <f t="shared" si="35"/>
        <v>0.34168686106379997</v>
      </c>
      <c r="O46">
        <f t="shared" si="36"/>
        <v>2.6225637279589455E-2</v>
      </c>
    </row>
    <row r="47" spans="1:15" x14ac:dyDescent="0.3">
      <c r="C47">
        <f t="shared" si="26"/>
        <v>6.3500000000000001E-2</v>
      </c>
      <c r="D47">
        <f t="shared" si="27"/>
        <v>99186.524644460005</v>
      </c>
      <c r="E47">
        <f t="shared" si="28"/>
        <v>296.65023732000003</v>
      </c>
      <c r="F47">
        <f t="shared" si="29"/>
        <v>1.1651688432</v>
      </c>
      <c r="G47" s="1">
        <f t="shared" si="30"/>
        <v>6.0007233999999997E-5</v>
      </c>
      <c r="I47">
        <f t="shared" si="31"/>
        <v>7.1305227971759449E-2</v>
      </c>
      <c r="J47">
        <f t="shared" si="32"/>
        <v>540.96493802800001</v>
      </c>
      <c r="K47">
        <f t="shared" si="33"/>
        <v>30.472300477680001</v>
      </c>
      <c r="L47">
        <f t="shared" si="34"/>
        <v>123194.641</v>
      </c>
      <c r="M47">
        <f t="shared" si="35"/>
        <v>0.30018670326960001</v>
      </c>
      <c r="N47">
        <f t="shared" si="35"/>
        <v>0.91934578803059996</v>
      </c>
      <c r="O47">
        <f t="shared" si="36"/>
        <v>6.2273066455217907E-2</v>
      </c>
    </row>
    <row r="48" spans="1:15" x14ac:dyDescent="0.3">
      <c r="C48">
        <f t="shared" si="26"/>
        <v>6.3500000000000001E-2</v>
      </c>
      <c r="D48">
        <f t="shared" si="27"/>
        <v>99186.524644460005</v>
      </c>
      <c r="E48">
        <f t="shared" si="28"/>
        <v>296.65023732000003</v>
      </c>
      <c r="F48">
        <f t="shared" si="29"/>
        <v>1.1651688432</v>
      </c>
      <c r="G48" s="1">
        <f t="shared" si="30"/>
        <v>6.0007233999999997E-5</v>
      </c>
      <c r="I48">
        <f t="shared" si="31"/>
        <v>0.10375000463415825</v>
      </c>
      <c r="J48">
        <f t="shared" si="32"/>
        <v>508.67960379959999</v>
      </c>
      <c r="K48">
        <f t="shared" si="33"/>
        <v>29.549005651680002</v>
      </c>
      <c r="L48">
        <f t="shared" si="34"/>
        <v>119461.914</v>
      </c>
      <c r="M48">
        <f t="shared" si="35"/>
        <v>0.33508112091719999</v>
      </c>
      <c r="N48">
        <f t="shared" si="35"/>
        <v>1.4653616347944001</v>
      </c>
      <c r="O48">
        <f t="shared" si="36"/>
        <v>9.3812577038516295E-2</v>
      </c>
    </row>
    <row r="49" spans="3:15" x14ac:dyDescent="0.3">
      <c r="C49">
        <f t="shared" si="26"/>
        <v>6.3500000000000001E-2</v>
      </c>
      <c r="D49">
        <f t="shared" si="27"/>
        <v>99186.524644460005</v>
      </c>
      <c r="E49">
        <f t="shared" si="28"/>
        <v>296.65023732000003</v>
      </c>
      <c r="F49">
        <f t="shared" si="29"/>
        <v>1.1651688432</v>
      </c>
      <c r="G49" s="1">
        <f t="shared" si="30"/>
        <v>6.0007233999999997E-5</v>
      </c>
      <c r="I49">
        <f t="shared" si="31"/>
        <v>0.13854664963913246</v>
      </c>
      <c r="J49">
        <f t="shared" si="32"/>
        <v>536.64026876560001</v>
      </c>
      <c r="K49">
        <f t="shared" si="33"/>
        <v>30.350252095920002</v>
      </c>
      <c r="L49">
        <f t="shared" si="34"/>
        <v>122701.219</v>
      </c>
      <c r="M49">
        <f t="shared" si="35"/>
        <v>0.37413627010620004</v>
      </c>
      <c r="N49">
        <f t="shared" si="35"/>
        <v>2.0347161353610002</v>
      </c>
      <c r="O49">
        <f t="shared" si="36"/>
        <v>0.12577232906003238</v>
      </c>
    </row>
    <row r="50" spans="3:15" x14ac:dyDescent="0.3">
      <c r="C50">
        <f t="shared" si="26"/>
        <v>6.3500000000000001E-2</v>
      </c>
      <c r="D50">
        <f t="shared" si="27"/>
        <v>99186.524644460005</v>
      </c>
      <c r="E50">
        <f t="shared" si="28"/>
        <v>296.65023732000003</v>
      </c>
      <c r="F50">
        <f t="shared" si="29"/>
        <v>1.1651688432</v>
      </c>
      <c r="G50" s="1">
        <f t="shared" si="30"/>
        <v>6.0007233999999997E-5</v>
      </c>
      <c r="I50">
        <f t="shared" si="31"/>
        <v>0.17510779127647932</v>
      </c>
      <c r="J50">
        <f t="shared" si="32"/>
        <v>552.18560834720006</v>
      </c>
      <c r="K50">
        <f t="shared" si="33"/>
        <v>30.7867068288</v>
      </c>
      <c r="L50">
        <f t="shared" si="34"/>
        <v>124465.742</v>
      </c>
      <c r="M50">
        <f t="shared" si="35"/>
        <v>0.48970898801999996</v>
      </c>
      <c r="N50">
        <f t="shared" si="35"/>
        <v>2.4784268810406003</v>
      </c>
      <c r="O50">
        <f t="shared" si="36"/>
        <v>0.14918603822329474</v>
      </c>
    </row>
    <row r="51" spans="3:15" x14ac:dyDescent="0.3">
      <c r="C51">
        <f t="shared" si="26"/>
        <v>6.3500000000000001E-2</v>
      </c>
      <c r="D51">
        <f t="shared" si="27"/>
        <v>99186.524644460005</v>
      </c>
      <c r="E51">
        <f t="shared" si="28"/>
        <v>296.65023732000003</v>
      </c>
      <c r="F51">
        <f t="shared" si="29"/>
        <v>1.1651688432</v>
      </c>
      <c r="G51" s="1">
        <f t="shared" si="30"/>
        <v>6.0007233999999997E-5</v>
      </c>
      <c r="I51">
        <f t="shared" si="31"/>
        <v>0.20907768603208859</v>
      </c>
      <c r="J51">
        <f t="shared" si="32"/>
        <v>539.91176343800009</v>
      </c>
      <c r="K51">
        <f t="shared" si="33"/>
        <v>30.44262319896</v>
      </c>
      <c r="L51">
        <f t="shared" si="34"/>
        <v>123074.664</v>
      </c>
      <c r="M51">
        <f t="shared" si="35"/>
        <v>0.53312833033319995</v>
      </c>
      <c r="N51">
        <f t="shared" si="35"/>
        <v>2.5941112492764002</v>
      </c>
      <c r="O51">
        <f t="shared" si="36"/>
        <v>0.15363460249314731</v>
      </c>
    </row>
    <row r="52" spans="3:15" x14ac:dyDescent="0.3">
      <c r="C52">
        <f t="shared" si="26"/>
        <v>6.3500000000000001E-2</v>
      </c>
      <c r="D52">
        <f t="shared" si="27"/>
        <v>99186.524644460005</v>
      </c>
      <c r="E52">
        <f t="shared" si="28"/>
        <v>296.65023732000003</v>
      </c>
      <c r="F52">
        <f t="shared" si="29"/>
        <v>1.1651688432</v>
      </c>
      <c r="G52" s="1">
        <f t="shared" si="30"/>
        <v>6.0007233999999997E-5</v>
      </c>
      <c r="I52">
        <f t="shared" si="31"/>
        <v>0.24295659153780363</v>
      </c>
      <c r="J52">
        <f t="shared" si="32"/>
        <v>546.74316059360001</v>
      </c>
      <c r="K52">
        <f t="shared" si="33"/>
        <v>30.634611628800002</v>
      </c>
      <c r="L52">
        <f t="shared" si="34"/>
        <v>123850.844</v>
      </c>
      <c r="M52">
        <f t="shared" si="35"/>
        <v>0.61191742708320007</v>
      </c>
      <c r="N52">
        <f t="shared" si="35"/>
        <v>2.7353064261054003</v>
      </c>
      <c r="O52">
        <f t="shared" si="36"/>
        <v>0.1594188983189358</v>
      </c>
    </row>
    <row r="53" spans="3:15" x14ac:dyDescent="0.3">
      <c r="C53">
        <f t="shared" si="26"/>
        <v>6.3500000000000001E-2</v>
      </c>
      <c r="D53">
        <f t="shared" si="27"/>
        <v>99186.524644460005</v>
      </c>
      <c r="E53">
        <f t="shared" si="28"/>
        <v>296.65023732000003</v>
      </c>
      <c r="F53">
        <f t="shared" si="29"/>
        <v>1.1651688432</v>
      </c>
      <c r="G53" s="1">
        <f t="shared" si="30"/>
        <v>6.0007233999999997E-5</v>
      </c>
      <c r="I53">
        <f t="shared" si="31"/>
        <v>0.27895441925789016</v>
      </c>
      <c r="J53">
        <f t="shared" si="32"/>
        <v>567.45150330599995</v>
      </c>
      <c r="K53">
        <f t="shared" si="33"/>
        <v>31.209374208000003</v>
      </c>
      <c r="L53">
        <f t="shared" si="34"/>
        <v>126174.516</v>
      </c>
      <c r="M53">
        <f t="shared" si="35"/>
        <v>0.71395020813900001</v>
      </c>
      <c r="N53">
        <f t="shared" si="35"/>
        <v>2.8307564198297999</v>
      </c>
      <c r="O53">
        <f t="shared" si="36"/>
        <v>0.16397598113162803</v>
      </c>
    </row>
    <row r="54" spans="3:15" x14ac:dyDescent="0.3">
      <c r="C54">
        <f t="shared" si="26"/>
        <v>6.3500000000000001E-2</v>
      </c>
      <c r="D54">
        <f t="shared" si="27"/>
        <v>99186.524644460005</v>
      </c>
      <c r="E54">
        <f t="shared" si="28"/>
        <v>296.65023732000003</v>
      </c>
      <c r="F54">
        <f t="shared" si="29"/>
        <v>1.1651688432</v>
      </c>
      <c r="G54" s="1">
        <f t="shared" si="30"/>
        <v>6.0007233999999997E-5</v>
      </c>
      <c r="I54">
        <f t="shared" si="31"/>
        <v>0.31265730481788306</v>
      </c>
      <c r="J54">
        <f t="shared" si="32"/>
        <v>546.06512989520002</v>
      </c>
      <c r="K54">
        <f t="shared" si="33"/>
        <v>30.615610396800005</v>
      </c>
      <c r="L54">
        <f t="shared" si="34"/>
        <v>123774.023</v>
      </c>
      <c r="M54">
        <f t="shared" si="35"/>
        <v>0.75035524129859998</v>
      </c>
      <c r="N54">
        <f t="shared" si="35"/>
        <v>2.8654637008620001</v>
      </c>
      <c r="O54">
        <f t="shared" si="36"/>
        <v>0.16667211787139594</v>
      </c>
    </row>
    <row r="55" spans="3:15" x14ac:dyDescent="0.3">
      <c r="C55">
        <f t="shared" si="26"/>
        <v>6.3500000000000001E-2</v>
      </c>
      <c r="D55">
        <f t="shared" si="27"/>
        <v>99186.524644460005</v>
      </c>
      <c r="E55">
        <f t="shared" si="28"/>
        <v>296.65023732000003</v>
      </c>
      <c r="F55">
        <f t="shared" si="29"/>
        <v>1.1651688432</v>
      </c>
      <c r="G55" s="1">
        <f t="shared" si="30"/>
        <v>6.0007233999999997E-5</v>
      </c>
      <c r="I55">
        <f t="shared" si="31"/>
        <v>0.34995849555413988</v>
      </c>
      <c r="J55">
        <f t="shared" si="32"/>
        <v>544.38225687440001</v>
      </c>
      <c r="K55">
        <f t="shared" si="33"/>
        <v>30.568396876800001</v>
      </c>
      <c r="L55">
        <f t="shared" si="34"/>
        <v>123583.148</v>
      </c>
      <c r="M55">
        <f t="shared" si="35"/>
        <v>0.81209159737440006</v>
      </c>
      <c r="N55">
        <f t="shared" si="35"/>
        <v>2.9433732955536001</v>
      </c>
      <c r="O55">
        <f t="shared" si="36"/>
        <v>0.17174462167572607</v>
      </c>
    </row>
    <row r="56" spans="3:15" x14ac:dyDescent="0.3">
      <c r="C56">
        <f t="shared" si="26"/>
        <v>6.3500000000000001E-2</v>
      </c>
      <c r="D56">
        <f t="shared" si="27"/>
        <v>99186.524644460005</v>
      </c>
      <c r="E56">
        <f t="shared" si="28"/>
        <v>296.65023732000003</v>
      </c>
      <c r="F56">
        <f t="shared" si="29"/>
        <v>1.1651688432</v>
      </c>
      <c r="G56" s="1">
        <f t="shared" si="30"/>
        <v>6.0007233999999997E-5</v>
      </c>
      <c r="I56">
        <f t="shared" si="31"/>
        <v>0.38474084980319873</v>
      </c>
      <c r="J56">
        <f t="shared" si="32"/>
        <v>536.32055874440005</v>
      </c>
      <c r="K56">
        <f t="shared" si="33"/>
        <v>30.34121081352</v>
      </c>
      <c r="L56">
        <f t="shared" si="34"/>
        <v>122664.67200000001</v>
      </c>
      <c r="M56">
        <f t="shared" si="35"/>
        <v>0.88555555203359992</v>
      </c>
      <c r="N56">
        <f t="shared" si="35"/>
        <v>3.1576710981312002</v>
      </c>
      <c r="O56">
        <f t="shared" si="36"/>
        <v>0.18363113796018091</v>
      </c>
    </row>
  </sheetData>
  <mergeCells count="2">
    <mergeCell ref="A40:O40"/>
    <mergeCell ref="A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8DF-1029-7F4D-8118-F46BA73CA5E2}">
  <dimension ref="A1:I16"/>
  <sheetViews>
    <sheetView zoomScale="103" zoomScaleNormal="120" workbookViewId="0">
      <selection activeCell="N29" sqref="N29"/>
    </sheetView>
  </sheetViews>
  <sheetFormatPr defaultColWidth="11.19921875" defaultRowHeight="15.6" x14ac:dyDescent="0.3"/>
  <sheetData>
    <row r="1" spans="1:9" ht="16.2" thickBot="1" x14ac:dyDescent="0.35">
      <c r="B1" s="31" t="s">
        <v>66</v>
      </c>
      <c r="C1" s="32"/>
      <c r="D1" s="32"/>
      <c r="E1" s="32"/>
      <c r="F1" s="31" t="s">
        <v>72</v>
      </c>
      <c r="G1" s="32"/>
      <c r="H1" s="32"/>
      <c r="I1" s="33"/>
    </row>
    <row r="2" spans="1:9" ht="16.2" thickBot="1" x14ac:dyDescent="0.35">
      <c r="A2" s="22" t="s">
        <v>73</v>
      </c>
      <c r="B2" s="4" t="s">
        <v>53</v>
      </c>
      <c r="C2" s="14" t="s">
        <v>54</v>
      </c>
      <c r="D2" s="14" t="s">
        <v>71</v>
      </c>
      <c r="E2" s="15" t="s">
        <v>67</v>
      </c>
      <c r="F2" s="4" t="s">
        <v>53</v>
      </c>
      <c r="G2" s="14" t="s">
        <v>54</v>
      </c>
      <c r="H2" s="14" t="s">
        <v>71</v>
      </c>
      <c r="I2" s="15" t="s">
        <v>67</v>
      </c>
    </row>
    <row r="3" spans="1:9" x14ac:dyDescent="0.3">
      <c r="A3" s="26">
        <v>-4</v>
      </c>
      <c r="B3" s="23">
        <f>'40 ft '!N4*COS('40 ft '!I49)-'40 ft '!M4*SIN('40 ft '!I49)</f>
        <v>-3.5055209576670285E-2</v>
      </c>
      <c r="C3" s="24">
        <f>0.5*'40 ft '!F4*'40 ft '!K4^2</f>
        <v>1.7422257528642533</v>
      </c>
      <c r="D3" s="24">
        <f>2*0.034763889</f>
        <v>6.9527777999999998E-2</v>
      </c>
      <c r="E3" s="24">
        <f>B3/(C3*D3)</f>
        <v>-0.28939417723322036</v>
      </c>
      <c r="F3" s="23">
        <f>'100 ft'!N4*COS('100 ft'!I43) - '100 ft'!M4*SIN('100 ft'!I43)</f>
        <v>-0.24872120294048006</v>
      </c>
      <c r="G3" s="24">
        <f>0.5*'100 ft'!F4*'100 ft'!K4^2</f>
        <v>11.30852295666088</v>
      </c>
      <c r="H3" s="24">
        <f>2*0.034763889</f>
        <v>6.9527777999999998E-2</v>
      </c>
      <c r="I3" s="25">
        <f>F3/(G3*H3)</f>
        <v>-0.31633596832526323</v>
      </c>
    </row>
    <row r="4" spans="1:9" x14ac:dyDescent="0.3">
      <c r="A4" s="27">
        <v>-2</v>
      </c>
      <c r="B4" s="5">
        <f>'40 ft '!N5*COS('40 ft '!I50)-'40 ft '!M5*SIN('40 ft '!I50)</f>
        <v>-1.8709450928079421E-2</v>
      </c>
      <c r="C4">
        <f>0.5*'40 ft '!F5*'40 ft '!K5^2</f>
        <v>1.790147064718091</v>
      </c>
      <c r="D4">
        <f t="shared" ref="D4:D16" si="0">2*0.034763889</f>
        <v>6.9527777999999998E-2</v>
      </c>
      <c r="E4">
        <f t="shared" ref="E4:E16" si="1">B4/(C4*D4)</f>
        <v>-0.15031903578759775</v>
      </c>
      <c r="F4" s="5">
        <f>'100 ft'!N5*COS('100 ft'!I44) - '100 ft'!M5*SIN('100 ft'!I44)</f>
        <v>-0.14054103935255152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-0.17783863512242473</v>
      </c>
    </row>
    <row r="5" spans="1:9" x14ac:dyDescent="0.3">
      <c r="A5" s="27">
        <v>0</v>
      </c>
      <c r="B5" s="5">
        <f>'40 ft '!N6*COS('40 ft '!I51)-'40 ft '!M6*SIN('40 ft '!I51)</f>
        <v>-1.9406243235993218E-3</v>
      </c>
      <c r="C5">
        <f>0.5*'40 ft '!F6*'40 ft '!K6^2</f>
        <v>1.799216324932208</v>
      </c>
      <c r="D5">
        <f t="shared" si="0"/>
        <v>6.9527777999999998E-2</v>
      </c>
      <c r="E5">
        <f t="shared" si="1"/>
        <v>-1.5513140909231844E-2</v>
      </c>
      <c r="F5" s="5">
        <f>'100 ft'!N6*COS('100 ft'!I45) - '100 ft'!M6*SIN('100 ft'!I45)</f>
        <v>-2.2838147868366378E-2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-2.916043692196716E-2</v>
      </c>
    </row>
    <row r="6" spans="1:9" x14ac:dyDescent="0.3">
      <c r="A6" s="27">
        <v>2</v>
      </c>
      <c r="B6" s="5">
        <f>'40 ft '!N7*COS('40 ft '!I52)-'40 ft '!M7*SIN('40 ft '!I52)</f>
        <v>1.8494667053136831E-2</v>
      </c>
      <c r="C6">
        <f>0.5*'40 ft '!F7*'40 ft '!K7^2</f>
        <v>1.7691340552334298</v>
      </c>
      <c r="D6">
        <f t="shared" si="0"/>
        <v>6.9527777999999998E-2</v>
      </c>
      <c r="E6">
        <f t="shared" si="1"/>
        <v>0.15035830615954232</v>
      </c>
      <c r="F6" s="5">
        <f>'100 ft'!N7*COS('100 ft'!I46) - '100 ft'!M7*SIN('100 ft'!I46)</f>
        <v>7.4956723569598788E-2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9.5063404972440521E-2</v>
      </c>
    </row>
    <row r="7" spans="1:9" x14ac:dyDescent="0.3">
      <c r="A7" s="27">
        <v>4</v>
      </c>
      <c r="B7" s="5">
        <f>'40 ft '!N8*COS('40 ft '!I53)-'40 ft '!M8*SIN('40 ft '!I53)</f>
        <v>3.4733996294118268E-2</v>
      </c>
      <c r="C7">
        <f>0.5*'40 ft '!F8*'40 ft '!K8^2</f>
        <v>1.7639760689397956</v>
      </c>
      <c r="D7">
        <f t="shared" si="0"/>
        <v>6.9527777999999998E-2</v>
      </c>
      <c r="E7">
        <f t="shared" si="1"/>
        <v>0.28320682449154755</v>
      </c>
      <c r="F7" s="5">
        <f>'100 ft'!N8*COS('100 ft'!I47) - '100 ft'!M8*SIN('100 ft'!I47)</f>
        <v>0.2013441002549694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0.25631135736712718</v>
      </c>
    </row>
    <row r="8" spans="1:9" x14ac:dyDescent="0.3">
      <c r="A8" s="27">
        <v>6</v>
      </c>
      <c r="B8" s="5">
        <f>'40 ft '!N9*COS('40 ft '!I54)-'40 ft '!M9*SIN('40 ft '!I54)</f>
        <v>5.3300650497562552E-2</v>
      </c>
      <c r="C8">
        <f>0.5*'40 ft '!F9*'40 ft '!K9^2</f>
        <v>1.7601822084002319</v>
      </c>
      <c r="D8">
        <f t="shared" si="0"/>
        <v>6.9527777999999998E-2</v>
      </c>
      <c r="E8">
        <f t="shared" si="1"/>
        <v>0.43552845252789207</v>
      </c>
      <c r="F8" s="5">
        <f>'100 ft'!N9*COS('100 ft'!I48) - '100 ft'!M9*SIN('100 ft'!I48)</f>
        <v>0.31985372813375085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0.43301715388555428</v>
      </c>
    </row>
    <row r="9" spans="1:9" x14ac:dyDescent="0.3">
      <c r="A9" s="27">
        <v>8</v>
      </c>
      <c r="B9" s="5">
        <f>'40 ft '!N10*COS('40 ft '!I55)-'40 ft '!M10*SIN('40 ft '!I55)</f>
        <v>6.6539726129700688E-2</v>
      </c>
      <c r="C9">
        <f>0.5*'40 ft '!F10*'40 ft '!K10^2</f>
        <v>1.7537849414905349</v>
      </c>
      <c r="D9">
        <f t="shared" si="0"/>
        <v>6.9527777999999998E-2</v>
      </c>
      <c r="E9">
        <f t="shared" si="1"/>
        <v>0.54569041061671864</v>
      </c>
      <c r="F9" s="5">
        <f>'100 ft'!N10*COS('100 ft'!I49) - '100 ft'!M10*SIN('100 ft'!I49)</f>
        <v>0.44142361061068347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0.56646147576832984</v>
      </c>
    </row>
    <row r="10" spans="1:9" x14ac:dyDescent="0.3">
      <c r="A10" s="27">
        <v>10</v>
      </c>
      <c r="B10" s="5">
        <f>'40 ft '!N11*COS('40 ft '!I56)-'40 ft '!M11*SIN('40 ft '!I56)</f>
        <v>7.6222156022640458E-2</v>
      </c>
      <c r="C10">
        <f>0.5*'40 ft '!F11*'40 ft '!K11^2</f>
        <v>1.7857187147316111</v>
      </c>
      <c r="D10">
        <f t="shared" si="0"/>
        <v>6.9527777999999998E-2</v>
      </c>
      <c r="E10">
        <f t="shared" si="1"/>
        <v>0.61391723901995776</v>
      </c>
      <c r="F10" s="5">
        <f>'100 ft'!N11*COS('100 ft'!I50) - '100 ft'!M11*SIN('100 ft'!I50)</f>
        <v>0.52947288968252348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0.66032339157888842</v>
      </c>
    </row>
    <row r="11" spans="1:9" x14ac:dyDescent="0.3">
      <c r="A11" s="27">
        <v>12</v>
      </c>
      <c r="B11" s="5">
        <f>'40 ft '!N12*COS('40 ft '!I57)-'40 ft '!M12*SIN('40 ft '!I57)</f>
        <v>8.3386886038402164E-2</v>
      </c>
      <c r="C11">
        <f>0.5*'40 ft '!F12*'40 ft '!K12^2</f>
        <v>1.8073845244131574</v>
      </c>
      <c r="D11">
        <f t="shared" si="0"/>
        <v>6.9527777999999998E-2</v>
      </c>
      <c r="E11">
        <f t="shared" si="1"/>
        <v>0.66357321342917963</v>
      </c>
      <c r="F11" s="5">
        <f>'100 ft'!N12*COS('100 ft'!I51) - '100 ft'!M12*SIN('100 ft'!I51)</f>
        <v>0.54560335482056144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0.69590877669619966</v>
      </c>
    </row>
    <row r="12" spans="1:9" x14ac:dyDescent="0.3">
      <c r="A12" s="27">
        <v>14</v>
      </c>
      <c r="B12" s="5">
        <f>'40 ft '!N13*COS('40 ft '!I58)-'40 ft '!M13*SIN('40 ft '!I58)</f>
        <v>8.1792400431305756E-2</v>
      </c>
      <c r="C12">
        <f>0.5*'40 ft '!F13*'40 ft '!K13^2</f>
        <v>1.8289631082478044</v>
      </c>
      <c r="D12">
        <f t="shared" si="0"/>
        <v>6.9527777999999998E-2</v>
      </c>
      <c r="E12">
        <f t="shared" si="1"/>
        <v>0.64320536509498283</v>
      </c>
      <c r="F12" s="5">
        <f>'100 ft'!N13*COS('100 ft'!I52) - '100 ft'!M13*SIN('100 ft'!I52)</f>
        <v>0.56376752359403415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0.71009216816196474</v>
      </c>
    </row>
    <row r="13" spans="1:9" x14ac:dyDescent="0.3">
      <c r="A13" s="27">
        <v>16</v>
      </c>
      <c r="B13" s="5">
        <f>'40 ft '!N14*COS('40 ft '!I59)-'40 ft '!M14*SIN('40 ft '!I59)</f>
        <v>7.5567134243002529E-2</v>
      </c>
      <c r="C13">
        <f>0.5*'40 ft '!F14*'40 ft '!K14^2</f>
        <v>1.7879570741873918</v>
      </c>
      <c r="D13">
        <f t="shared" si="0"/>
        <v>6.9527777999999998E-2</v>
      </c>
      <c r="E13">
        <f t="shared" si="1"/>
        <v>0.60787952368581954</v>
      </c>
      <c r="F13" s="5">
        <f>'100 ft'!N14*COS('100 ft'!I53) - '100 ft'!M14*SIN('100 ft'!I53)</f>
        <v>0.56758516291488015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0.68881142089030012</v>
      </c>
    </row>
    <row r="14" spans="1:9" x14ac:dyDescent="0.3">
      <c r="A14" s="27">
        <v>18</v>
      </c>
      <c r="B14" s="5">
        <f>'40 ft '!N15*COS('40 ft '!I60)-'40 ft '!M15*SIN('40 ft '!I60)</f>
        <v>7.5237293785840084E-2</v>
      </c>
      <c r="C14">
        <f>0.5*'40 ft '!F15*'40 ft '!K15^2</f>
        <v>1.7651846902891606</v>
      </c>
      <c r="D14">
        <f t="shared" si="0"/>
        <v>6.9527777999999998E-2</v>
      </c>
      <c r="E14">
        <f t="shared" si="1"/>
        <v>0.61303414357973329</v>
      </c>
      <c r="F14" s="5">
        <f>'100 ft'!N15*COS('100 ft'!I54) - '100 ft'!M15*SIN('100 ft'!I54)</f>
        <v>0.56106586145192949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0.70756676507220218</v>
      </c>
    </row>
    <row r="15" spans="1:9" x14ac:dyDescent="0.3">
      <c r="A15" s="27">
        <v>20</v>
      </c>
      <c r="B15" s="5">
        <f>'40 ft '!N16*COS('40 ft '!I61)-'40 ft '!M16*SIN('40 ft '!I61)</f>
        <v>7.4240067235690224E-2</v>
      </c>
      <c r="C15">
        <f>0.5*'40 ft '!F16*'40 ft '!K16^2</f>
        <v>1.8302329959595247</v>
      </c>
      <c r="D15">
        <f t="shared" si="0"/>
        <v>6.9527777999999998E-2</v>
      </c>
      <c r="E15">
        <f t="shared" si="1"/>
        <v>0.58340967318013071</v>
      </c>
      <c r="F15" s="5">
        <f>'100 ft'!N16*COS('100 ft'!I55) - '100 ft'!M16*SIN('100 ft'!I55)</f>
        <v>0.55899521125931817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0.70713476190274527</v>
      </c>
    </row>
    <row r="16" spans="1:9" ht="16.2" thickBot="1" x14ac:dyDescent="0.35">
      <c r="A16" s="28">
        <v>22</v>
      </c>
      <c r="B16" s="7">
        <f>'40 ft '!N17*COS('40 ft '!I62)-'40 ft '!M17*SIN('40 ft '!I62)</f>
        <v>7.0499049428713309E-2</v>
      </c>
      <c r="C16" s="8">
        <f>0.5*'40 ft '!F17*'40 ft '!K17^2</f>
        <v>1.8208140803844188</v>
      </c>
      <c r="D16" s="8">
        <f t="shared" si="0"/>
        <v>6.9527777999999998E-2</v>
      </c>
      <c r="E16" s="8">
        <f t="shared" si="1"/>
        <v>0.55687703428820445</v>
      </c>
      <c r="F16" s="7">
        <f>'100 ft'!N17*COS('100 ft'!I56) - '100 ft'!M17*SIN('100 ft'!I56)</f>
        <v>0.58325938820631429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0.74891986137933653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E623-A595-2640-8814-A35FC8E0459C}">
  <dimension ref="A1:I16"/>
  <sheetViews>
    <sheetView workbookViewId="0">
      <selection activeCell="D3" sqref="D3"/>
    </sheetView>
  </sheetViews>
  <sheetFormatPr defaultColWidth="11.19921875" defaultRowHeight="15.6" x14ac:dyDescent="0.3"/>
  <sheetData>
    <row r="1" spans="1:9" ht="16.2" thickBot="1" x14ac:dyDescent="0.3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6.2" thickBot="1" x14ac:dyDescent="0.35">
      <c r="A2" s="22" t="s">
        <v>73</v>
      </c>
      <c r="B2" s="14" t="s">
        <v>64</v>
      </c>
      <c r="C2" s="14" t="s">
        <v>54</v>
      </c>
      <c r="D2" s="14" t="s">
        <v>71</v>
      </c>
      <c r="E2" s="14" t="s">
        <v>74</v>
      </c>
      <c r="F2" s="13" t="s">
        <v>64</v>
      </c>
      <c r="G2" s="14" t="s">
        <v>54</v>
      </c>
      <c r="H2" s="14" t="s">
        <v>71</v>
      </c>
      <c r="I2" s="15" t="s">
        <v>74</v>
      </c>
    </row>
    <row r="3" spans="1:9" x14ac:dyDescent="0.3">
      <c r="A3" s="19">
        <v>-4</v>
      </c>
      <c r="B3" s="5">
        <f>'40 ft '!N4*SIN('40 ft '!I49) + '40 ft '!M4*COS('40 ft '!I49)</f>
        <v>-2.821859510652016E-2</v>
      </c>
      <c r="C3" s="24">
        <f>0.5*'40 ft '!F4*'40 ft '!K4^2</f>
        <v>1.7422257528642533</v>
      </c>
      <c r="D3" s="24">
        <f>2*0.034763889</f>
        <v>6.9527777999999998E-2</v>
      </c>
      <c r="E3" s="25">
        <f>B3/(C3*D3)</f>
        <v>-0.2329553071325399</v>
      </c>
      <c r="F3" s="5">
        <f>'100 ft'!N4*SIN('100 ft'!I43) + '100 ft'!M4*COS('100 ft'!I43)</f>
        <v>1.4659645574179227E-2</v>
      </c>
      <c r="G3">
        <f>0.5*'100 ft'!F4*'100 ft'!K4^2</f>
        <v>11.30852295666088</v>
      </c>
      <c r="H3">
        <f>2*0.034763889</f>
        <v>6.9527777999999998E-2</v>
      </c>
      <c r="I3" s="6">
        <f>F3/(G3*H3)</f>
        <v>1.8644864704690602E-2</v>
      </c>
    </row>
    <row r="4" spans="1:9" x14ac:dyDescent="0.3">
      <c r="A4" s="20">
        <v>-2</v>
      </c>
      <c r="B4" s="5">
        <f>'40 ft '!N5*SIN('40 ft '!I50) + '40 ft '!M5*COS('40 ft '!I50)</f>
        <v>-1.6268876529735788E-2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B4/(C4*D4)</f>
        <v>-0.13071050789775382</v>
      </c>
      <c r="F4" s="5">
        <f>'100 ft'!N5*SIN('100 ft'!I44) + '100 ft'!M5*COS('100 ft'!I44)</f>
        <v>2.6077636924770685E-2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3.2998271389510454E-2</v>
      </c>
    </row>
    <row r="5" spans="1:9" x14ac:dyDescent="0.3">
      <c r="A5" s="20">
        <v>0</v>
      </c>
      <c r="B5" s="5">
        <f>'40 ft '!N6*SIN('40 ft '!I51) + '40 ft '!M6*COS('40 ft '!I51)</f>
        <v>-8.1282497030206128E-3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-6.4976348824954372E-2</v>
      </c>
      <c r="F5" s="5">
        <f>'100 ft'!N6*SIN('100 ft'!I45) + '100 ft'!M6*COS('100 ft'!I45)</f>
        <v>4.4943959597199851E-2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5.7385804944056241E-2</v>
      </c>
    </row>
    <row r="6" spans="1:9" x14ac:dyDescent="0.3">
      <c r="A6" s="20">
        <v>2</v>
      </c>
      <c r="B6" s="5">
        <f>'40 ft '!N7*SIN('40 ft '!I52) + '40 ft '!M7*COS('40 ft '!I52)</f>
        <v>4.8898518953149235E-3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3.9753613635660406E-2</v>
      </c>
      <c r="F6" s="5">
        <f>'100 ft'!N7*SIN('100 ft'!I46) + '100 ft'!M7*COS('100 ft'!I46)</f>
        <v>5.6708006173488888E-2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7.1919581050584686E-2</v>
      </c>
    </row>
    <row r="7" spans="1:9" x14ac:dyDescent="0.3">
      <c r="A7" s="20">
        <v>4</v>
      </c>
      <c r="B7" s="5">
        <f>'40 ft '!N8*SIN('40 ft '!I53) + '40 ft '!M8*COS('40 ft '!I53)</f>
        <v>1.9715237542973676E-2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0.16074999753447902</v>
      </c>
      <c r="F7" s="5">
        <f>'100 ft'!N8*SIN('100 ft'!I47) + '100 ft'!M8*COS('100 ft'!I47)</f>
        <v>8.2037873739463335E-2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0.10443434273488661</v>
      </c>
    </row>
    <row r="8" spans="1:9" x14ac:dyDescent="0.3">
      <c r="A8" s="20">
        <v>6</v>
      </c>
      <c r="B8" s="5">
        <f>'40 ft '!N9*SIN('40 ft '!I54) + '40 ft '!M9*COS('40 ft '!I54)</f>
        <v>3.3888807686622509E-2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0.27691106641268837</v>
      </c>
      <c r="F8" s="5">
        <f>'100 ft'!N9*SIN('100 ft'!I48) + '100 ft'!M9*COS('100 ft'!I48)</f>
        <v>0.1090409193394781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0.14761931594463357</v>
      </c>
    </row>
    <row r="9" spans="1:9" x14ac:dyDescent="0.3">
      <c r="A9" s="20">
        <v>8</v>
      </c>
      <c r="B9" s="5">
        <f>'40 ft '!N10*SIN('40 ft '!I55) + '40 ft '!M10*COS('40 ft '!I55)</f>
        <v>4.5144387172234693E-2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0.37022784141067955</v>
      </c>
      <c r="F9" s="5">
        <f>'100 ft'!N10*SIN('100 ft'!I49) + '100 ft'!M10*COS('100 ft'!I49)</f>
        <v>0.14647506426267332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0.1879656617159815</v>
      </c>
    </row>
    <row r="10" spans="1:9" x14ac:dyDescent="0.3">
      <c r="A10" s="20">
        <v>10</v>
      </c>
      <c r="B10" s="5">
        <f>'40 ft '!N11*SIN('40 ft '!I56) + '40 ft '!M11*COS('40 ft '!I56)</f>
        <v>6.7392912314974587E-2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0.54280373078969302</v>
      </c>
      <c r="F10" s="5">
        <f>'100 ft'!N11*SIN('100 ft'!I50) + '100 ft'!M11*COS('100 ft'!I50)</f>
        <v>0.20547490948505437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0.25625464827272093</v>
      </c>
    </row>
    <row r="11" spans="1:9" x14ac:dyDescent="0.3">
      <c r="A11" s="20">
        <v>12</v>
      </c>
      <c r="B11" s="5">
        <f>'40 ft '!N12*SIN('40 ft '!I57) + '40 ft '!M12*COS('40 ft '!I57)</f>
        <v>8.4729840180506236E-2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0.67426012641875477</v>
      </c>
      <c r="F11" s="5">
        <f>'100 ft'!N12*SIN('100 ft'!I51) + '100 ft'!M12*COS('100 ft'!I51)</f>
        <v>0.23828546887742966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0.30392948959323957</v>
      </c>
    </row>
    <row r="12" spans="1:9" x14ac:dyDescent="0.3">
      <c r="A12" s="20">
        <v>14</v>
      </c>
      <c r="B12" s="5">
        <f>'40 ft '!N13*SIN('40 ft '!I58) + '40 ft '!M13*COS('40 ft '!I58)</f>
        <v>0.10531799925326646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0.82820777729421802</v>
      </c>
      <c r="F12" s="5">
        <f>'100 ft'!N13*SIN('100 ft'!I52) + '100 ft'!M13*COS('100 ft'!I52)</f>
        <v>0.28145821139186677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0.35451008298618897</v>
      </c>
    </row>
    <row r="13" spans="1:9" x14ac:dyDescent="0.3">
      <c r="A13" s="20">
        <v>16</v>
      </c>
      <c r="B13" s="5">
        <f>'40 ft '!N14*SIN('40 ft '!I59) + '40 ft '!M14*COS('40 ft '!I59)</f>
        <v>0.1175042156439578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0.94523111604353471</v>
      </c>
      <c r="F13" s="5">
        <f>'100 ft'!N14*SIN('100 ft'!I53) + '100 ft'!M14*COS('100 ft'!I53)</f>
        <v>0.32952557087949885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0.39990646607377028</v>
      </c>
    </row>
    <row r="14" spans="1:9" x14ac:dyDescent="0.3">
      <c r="A14" s="20">
        <v>18</v>
      </c>
      <c r="B14" s="5">
        <f>'40 ft '!N15*SIN('40 ft '!I60) + '40 ft '!M15*COS('40 ft '!I60)</f>
        <v>0.13399586502987096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1.0917995083081027</v>
      </c>
      <c r="F14" s="5">
        <f>'100 ft'!N15*SIN('100 ft'!I54) + '100 ft'!M15*COS('100 ft'!I54)</f>
        <v>0.3586514411157038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0.45229955592381771</v>
      </c>
    </row>
    <row r="15" spans="1:9" x14ac:dyDescent="0.3">
      <c r="A15" s="20">
        <v>20</v>
      </c>
      <c r="B15" s="5">
        <f>'40 ft '!N16*SIN('40 ft '!I61) + '40 ft '!M16*COS('40 ft '!I61)</f>
        <v>0.15336800197099132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1.2052302649743662</v>
      </c>
      <c r="F15" s="5">
        <f>'100 ft'!N16*SIN('100 ft'!I55) + '100 ft'!M16*COS('100 ft'!I55)</f>
        <v>0.39836827670354857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0.50394001741401317</v>
      </c>
    </row>
    <row r="16" spans="1:9" ht="16.2" thickBot="1" x14ac:dyDescent="0.35">
      <c r="A16" s="21">
        <v>22</v>
      </c>
      <c r="B16" s="5">
        <f>'40 ft '!N17*SIN('40 ft '!I62) + '40 ft '!M17*COS('40 ft '!I62)</f>
        <v>0.17553019073201151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1.3865255324006356</v>
      </c>
      <c r="F16" s="5">
        <f>'100 ft'!N17*SIN('100 ft'!I56) + '100 ft'!M17*COS('100 ft'!I56)</f>
        <v>0.45095598697648076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0.57903893547812701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448C-E105-E445-85D7-EC0F84352834}">
  <dimension ref="A1:I21"/>
  <sheetViews>
    <sheetView zoomScale="89" workbookViewId="0">
      <selection activeCell="M38" sqref="M38"/>
    </sheetView>
  </sheetViews>
  <sheetFormatPr defaultColWidth="11.19921875" defaultRowHeight="15.6" x14ac:dyDescent="0.3"/>
  <cols>
    <col min="2" max="2" width="14.5" bestFit="1" customWidth="1"/>
    <col min="6" max="6" width="14.5" bestFit="1" customWidth="1"/>
  </cols>
  <sheetData>
    <row r="1" spans="1:9" ht="16.2" thickBot="1" x14ac:dyDescent="0.3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6.2" thickBot="1" x14ac:dyDescent="0.35">
      <c r="A2" s="22" t="s">
        <v>73</v>
      </c>
      <c r="B2" s="14" t="s">
        <v>75</v>
      </c>
      <c r="C2" s="14" t="s">
        <v>54</v>
      </c>
      <c r="D2" s="14" t="s">
        <v>71</v>
      </c>
      <c r="E2" s="14" t="s">
        <v>76</v>
      </c>
      <c r="F2" s="13" t="s">
        <v>75</v>
      </c>
      <c r="G2" s="14" t="s">
        <v>54</v>
      </c>
      <c r="H2" s="14" t="s">
        <v>71</v>
      </c>
      <c r="I2" s="15" t="s">
        <v>76</v>
      </c>
    </row>
    <row r="3" spans="1:9" x14ac:dyDescent="0.3">
      <c r="A3" s="19">
        <v>-4</v>
      </c>
      <c r="B3" s="23">
        <f>'40 ft '!O4*0.083</f>
        <v>-5.4264652999999998E-3</v>
      </c>
      <c r="C3" s="24">
        <f>0.5*'40 ft '!F4*'40 ft '!K4^2</f>
        <v>1.7422257528642533</v>
      </c>
      <c r="D3" s="24">
        <f>2*0.034763889</f>
        <v>6.9527777999999998E-2</v>
      </c>
      <c r="E3" s="25">
        <f>B3/(C3*D3*0.208333)</f>
        <v>-0.21502857815879467</v>
      </c>
      <c r="F3" s="23">
        <f>0.083*'100 ft'!O4</f>
        <v>-4.6966836500000005E-2</v>
      </c>
      <c r="G3" s="24">
        <f>0.5*'100 ft'!F4*'100 ft'!K4^2</f>
        <v>11.30852295666088</v>
      </c>
      <c r="H3" s="24">
        <f>2*0.034763889</f>
        <v>6.9527777999999998E-2</v>
      </c>
      <c r="I3" s="25">
        <f>F3/(G3*H3*0.208333)</f>
        <v>-0.28672727470540177</v>
      </c>
    </row>
    <row r="4" spans="1:9" x14ac:dyDescent="0.3">
      <c r="A4" s="20">
        <v>-2</v>
      </c>
      <c r="B4" s="5">
        <f>'40 ft '!O5*0.083</f>
        <v>-2.2544377E-3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B4/(C4*D4*0.208333)</f>
        <v>-8.6942697312058018E-2</v>
      </c>
      <c r="F4" s="5">
        <f>0.083*'100 ft'!O5</f>
        <v>-2.5327848400000002E-2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F4/(G4*H4*0.208333)</f>
        <v>-0.1538378444094384</v>
      </c>
    </row>
    <row r="5" spans="1:9" x14ac:dyDescent="0.3">
      <c r="A5" s="20">
        <v>0</v>
      </c>
      <c r="B5" s="5">
        <f>'40 ft '!O6*0.083</f>
        <v>1.28341987E-3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4.9245772885143792E-2</v>
      </c>
      <c r="F5" s="5">
        <f>0.083*'100 ft'!O6</f>
        <v>-1.1528949000000001E-3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-7.0658562317545189E-3</v>
      </c>
    </row>
    <row r="6" spans="1:9" x14ac:dyDescent="0.3">
      <c r="A6" s="20">
        <v>2</v>
      </c>
      <c r="B6" s="5">
        <f>'40 ft '!O7*0.083</f>
        <v>5.43940749E-3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0.21226306665022188</v>
      </c>
      <c r="F6" s="5">
        <f>0.083*'100 ft'!O7</f>
        <v>1.9265664520000003E-2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0.11728127985002214</v>
      </c>
    </row>
    <row r="7" spans="1:9" x14ac:dyDescent="0.3">
      <c r="A7" s="20">
        <v>4</v>
      </c>
      <c r="B7" s="5">
        <f>'40 ft '!O8*0.083</f>
        <v>9.769942450000001E-3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0.38236919661581886</v>
      </c>
      <c r="F7" s="5">
        <f>0.083*'100 ft'!O8</f>
        <v>4.5746533980000004E-2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0.27953041500611708</v>
      </c>
    </row>
    <row r="8" spans="1:9" x14ac:dyDescent="0.3">
      <c r="A8" s="20">
        <v>6</v>
      </c>
      <c r="B8" s="5">
        <f>'40 ft '!O9*0.083</f>
        <v>1.4040690850000001E-2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0.55069918303327947</v>
      </c>
      <c r="F8" s="5">
        <f>0.083*'100 ft'!O9</f>
        <v>6.8915832920000003E-2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0.44783148721854249</v>
      </c>
    </row>
    <row r="9" spans="1:9" x14ac:dyDescent="0.3">
      <c r="A9" s="20">
        <v>8</v>
      </c>
      <c r="B9" s="5">
        <f>'40 ft '!O10*0.083</f>
        <v>1.7041702760000003E-2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0.67084197884189767</v>
      </c>
      <c r="F9" s="5">
        <f>0.083*'100 ft'!O10</f>
        <v>9.2393846210000005E-2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0.56911469481763866</v>
      </c>
    </row>
    <row r="10" spans="1:9" x14ac:dyDescent="0.3">
      <c r="A10" s="20">
        <v>10</v>
      </c>
      <c r="B10" s="5">
        <f>'40 ft '!O11*0.083</f>
        <v>1.9775749320000001E-2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0.76454575293331239</v>
      </c>
      <c r="F10" s="5">
        <f>0.083*'100 ft'!O11</f>
        <v>0.10959383495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0.65605614932265011</v>
      </c>
    </row>
    <row r="11" spans="1:9" x14ac:dyDescent="0.3">
      <c r="A11" s="20">
        <v>12</v>
      </c>
      <c r="B11" s="5">
        <f>'40 ft '!O12*0.083</f>
        <v>2.1622656190000002E-2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0.82592776431227144</v>
      </c>
      <c r="F11" s="5">
        <f>0.083*'100 ft'!O12</f>
        <v>0.11286180308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0.69097796520339672</v>
      </c>
    </row>
    <row r="12" spans="1:9" x14ac:dyDescent="0.3">
      <c r="A12" s="20">
        <v>14</v>
      </c>
      <c r="B12" s="5">
        <f>'40 ft '!O13*0.083</f>
        <v>2.2794241860000002E-2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0.86040670997633228</v>
      </c>
      <c r="F12" s="5">
        <f>0.083*'100 ft'!O13</f>
        <v>0.11711101547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0.70803438196958313</v>
      </c>
    </row>
    <row r="13" spans="1:9" x14ac:dyDescent="0.3">
      <c r="A13" s="20">
        <v>16</v>
      </c>
      <c r="B13" s="5">
        <f>'40 ft '!O14*0.083</f>
        <v>2.2512240230000001E-2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0.86925101929373749</v>
      </c>
      <c r="F13" s="5">
        <f>0.083*'100 ft'!O14</f>
        <v>0.12045870261000001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0.70169667523924484</v>
      </c>
    </row>
    <row r="14" spans="1:9" x14ac:dyDescent="0.3">
      <c r="A14" s="20">
        <v>18</v>
      </c>
      <c r="B14" s="5">
        <f>'40 ft '!O15*0.083</f>
        <v>2.4216146399999999E-2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0.94710572853549624</v>
      </c>
      <c r="F14" s="5">
        <f>0.083*'100 ft'!O15</f>
        <v>0.12243931667000001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0.74116757362574126</v>
      </c>
    </row>
    <row r="15" spans="1:9" x14ac:dyDescent="0.3">
      <c r="A15" s="20">
        <v>20</v>
      </c>
      <c r="B15" s="5">
        <f>'40 ft '!O16*0.083</f>
        <v>2.6016016340000003E-2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0.98133660318045302</v>
      </c>
      <c r="F15" s="5">
        <f>0.083*'100 ft'!O16</f>
        <v>0.12616563819000001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0.766085285633617</v>
      </c>
    </row>
    <row r="16" spans="1:9" ht="16.2" thickBot="1" x14ac:dyDescent="0.35">
      <c r="A16" s="21">
        <v>22</v>
      </c>
      <c r="B16" s="7">
        <f>'40 ft '!O17*0.083</f>
        <v>2.78584022E-2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1.0562681462397507</v>
      </c>
      <c r="F16" s="7">
        <f>0.083*'100 ft'!O17</f>
        <v>0.13489761418000001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0.83141874396877025</v>
      </c>
    </row>
    <row r="19" spans="1:3" x14ac:dyDescent="0.3">
      <c r="A19" s="29" t="s">
        <v>83</v>
      </c>
      <c r="B19" s="29"/>
      <c r="C19" s="29"/>
    </row>
    <row r="20" spans="1:3" x14ac:dyDescent="0.3">
      <c r="A20" s="2" t="s">
        <v>84</v>
      </c>
      <c r="B20" s="2" t="s">
        <v>85</v>
      </c>
      <c r="C20" s="2" t="s">
        <v>86</v>
      </c>
    </row>
    <row r="21" spans="1:3" x14ac:dyDescent="0.3">
      <c r="A21">
        <f>2.5</f>
        <v>2.5</v>
      </c>
      <c r="B21">
        <f>2.5/12</f>
        <v>0.20833333333333334</v>
      </c>
      <c r="C21">
        <f>B21/4</f>
        <v>5.2083333333333336E-2</v>
      </c>
    </row>
  </sheetData>
  <mergeCells count="3">
    <mergeCell ref="B1:E1"/>
    <mergeCell ref="F1:I1"/>
    <mergeCell ref="A19:C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813-8986-9340-B4EC-4793D01DF972}">
  <dimension ref="A1:M16"/>
  <sheetViews>
    <sheetView topLeftCell="G1" workbookViewId="0">
      <selection activeCell="K20" sqref="K20"/>
    </sheetView>
  </sheetViews>
  <sheetFormatPr defaultColWidth="11.19921875" defaultRowHeight="15.6" x14ac:dyDescent="0.3"/>
  <sheetData>
    <row r="1" spans="1:13" ht="16.2" thickBot="1" x14ac:dyDescent="0.35">
      <c r="B1" s="31" t="s">
        <v>79</v>
      </c>
      <c r="C1" s="33"/>
      <c r="D1" s="31" t="s">
        <v>80</v>
      </c>
      <c r="E1" s="33"/>
      <c r="F1" s="31" t="s">
        <v>79</v>
      </c>
      <c r="G1" s="33"/>
      <c r="H1" s="31" t="s">
        <v>80</v>
      </c>
      <c r="I1" s="33"/>
      <c r="J1" s="13" t="s">
        <v>79</v>
      </c>
      <c r="K1" s="15" t="s">
        <v>80</v>
      </c>
      <c r="L1" s="4" t="s">
        <v>79</v>
      </c>
      <c r="M1" s="12" t="s">
        <v>80</v>
      </c>
    </row>
    <row r="2" spans="1:13" ht="16.2" thickBot="1" x14ac:dyDescent="0.35">
      <c r="A2" s="22" t="s">
        <v>73</v>
      </c>
      <c r="B2" s="13" t="s">
        <v>77</v>
      </c>
      <c r="C2" s="15" t="s">
        <v>78</v>
      </c>
      <c r="D2" s="13" t="s">
        <v>77</v>
      </c>
      <c r="E2" s="15" t="s">
        <v>78</v>
      </c>
      <c r="F2" s="4" t="s">
        <v>67</v>
      </c>
      <c r="G2" s="12" t="s">
        <v>74</v>
      </c>
      <c r="H2" s="13" t="s">
        <v>67</v>
      </c>
      <c r="I2" s="12" t="s">
        <v>74</v>
      </c>
      <c r="J2" s="4" t="s">
        <v>81</v>
      </c>
      <c r="K2" s="11" t="s">
        <v>81</v>
      </c>
      <c r="L2" s="13" t="s">
        <v>82</v>
      </c>
      <c r="M2" s="15" t="s">
        <v>82</v>
      </c>
    </row>
    <row r="3" spans="1:13" ht="16.2" thickBot="1" x14ac:dyDescent="0.35">
      <c r="A3" s="26">
        <v>-4</v>
      </c>
      <c r="B3" s="23">
        <f>'Cl calculation'!B3</f>
        <v>-3.5055209576670285E-2</v>
      </c>
      <c r="C3" s="25">
        <f>'CD calculation'!B3</f>
        <v>-2.821859510652016E-2</v>
      </c>
      <c r="D3" s="23">
        <f>'Cl calculation'!F3</f>
        <v>-0.24872120294048006</v>
      </c>
      <c r="E3" s="25">
        <f>'CD calculation'!F3</f>
        <v>1.4659645574179227E-2</v>
      </c>
      <c r="F3" s="23">
        <f>'Cl calculation'!E3</f>
        <v>-0.28939417723322036</v>
      </c>
      <c r="G3" s="25">
        <f>'CD calculation'!E3</f>
        <v>-0.2329553071325399</v>
      </c>
      <c r="H3" s="24">
        <f>'Cl calculation'!I3</f>
        <v>-0.31633596832526323</v>
      </c>
      <c r="I3" s="16">
        <f>'CD calculation'!I3</f>
        <v>1.8644864704690602E-2</v>
      </c>
      <c r="J3" s="24">
        <f>B3/C3</f>
        <v>1.2422733819434713</v>
      </c>
      <c r="K3" s="16">
        <f>D3/E3</f>
        <v>-16.966385829856982</v>
      </c>
      <c r="L3" s="5">
        <f>F3/G3</f>
        <v>1.2422733819434713</v>
      </c>
      <c r="M3" s="6">
        <f>H3/I3</f>
        <v>-16.966385829856982</v>
      </c>
    </row>
    <row r="4" spans="1:13" ht="16.2" thickBot="1" x14ac:dyDescent="0.35">
      <c r="A4" s="27">
        <v>-2</v>
      </c>
      <c r="B4" s="23">
        <f>'Cl calculation'!B4</f>
        <v>-1.8709450928079421E-2</v>
      </c>
      <c r="C4" s="25">
        <f>'CD calculation'!B4</f>
        <v>-1.6268876529735788E-2</v>
      </c>
      <c r="D4" s="23">
        <f>'Cl calculation'!F4</f>
        <v>-0.14054103935255152</v>
      </c>
      <c r="E4" s="25">
        <f>'CD calculation'!F4</f>
        <v>2.6077636924770685E-2</v>
      </c>
      <c r="F4" s="23">
        <f>'Cl calculation'!E4</f>
        <v>-0.15031903578759775</v>
      </c>
      <c r="G4" s="25">
        <f>'CD calculation'!E4</f>
        <v>-0.13071050789775382</v>
      </c>
      <c r="H4" s="24">
        <f>'Cl calculation'!I4</f>
        <v>-0.17783863512242473</v>
      </c>
      <c r="I4" s="16">
        <f>'CD calculation'!I4</f>
        <v>3.2998271389510454E-2</v>
      </c>
      <c r="J4">
        <f t="shared" ref="J4:J16" si="0">B4/C4</f>
        <v>1.1500149315094266</v>
      </c>
      <c r="K4" s="17">
        <f t="shared" ref="K4:K16" si="1">D4/E4</f>
        <v>-5.3893318538787574</v>
      </c>
      <c r="L4" s="5">
        <f t="shared" ref="L4:L16" si="2">F4/G4</f>
        <v>1.1500149315094268</v>
      </c>
      <c r="M4" s="6">
        <f t="shared" ref="M4:M16" si="3">H4/I4</f>
        <v>-5.3893318538787574</v>
      </c>
    </row>
    <row r="5" spans="1:13" ht="16.2" thickBot="1" x14ac:dyDescent="0.35">
      <c r="A5" s="27">
        <v>0</v>
      </c>
      <c r="B5" s="23">
        <f>'Cl calculation'!B5</f>
        <v>-1.9406243235993218E-3</v>
      </c>
      <c r="C5" s="25">
        <f>'CD calculation'!B5</f>
        <v>-8.1282497030206128E-3</v>
      </c>
      <c r="D5" s="23">
        <f>'Cl calculation'!F5</f>
        <v>-2.2838147868366378E-2</v>
      </c>
      <c r="E5" s="25">
        <f>'CD calculation'!F5</f>
        <v>4.4943959597199851E-2</v>
      </c>
      <c r="F5" s="23">
        <f>'Cl calculation'!E5</f>
        <v>-1.5513140909231844E-2</v>
      </c>
      <c r="G5" s="25">
        <f>'CD calculation'!E5</f>
        <v>-6.4976348824954372E-2</v>
      </c>
      <c r="H5" s="24">
        <f>'Cl calculation'!I5</f>
        <v>-2.916043692196716E-2</v>
      </c>
      <c r="I5" s="16">
        <f>'CD calculation'!I5</f>
        <v>5.7385804944056241E-2</v>
      </c>
      <c r="J5">
        <f t="shared" si="0"/>
        <v>0.2387505790918491</v>
      </c>
      <c r="K5" s="17">
        <f t="shared" si="1"/>
        <v>-0.50814721428748499</v>
      </c>
      <c r="L5" s="5">
        <f t="shared" si="2"/>
        <v>0.23875057909184907</v>
      </c>
      <c r="M5" s="6">
        <f t="shared" si="3"/>
        <v>-0.50814721428748499</v>
      </c>
    </row>
    <row r="6" spans="1:13" ht="16.2" thickBot="1" x14ac:dyDescent="0.35">
      <c r="A6" s="27">
        <v>2</v>
      </c>
      <c r="B6" s="23">
        <f>'Cl calculation'!B6</f>
        <v>1.8494667053136831E-2</v>
      </c>
      <c r="C6" s="25">
        <f>'CD calculation'!B6</f>
        <v>4.8898518953149235E-3</v>
      </c>
      <c r="D6" s="23">
        <f>'Cl calculation'!F6</f>
        <v>7.4956723569598788E-2</v>
      </c>
      <c r="E6" s="25">
        <f>'CD calculation'!F6</f>
        <v>5.6708006173488888E-2</v>
      </c>
      <c r="F6" s="23">
        <f>'Cl calculation'!E6</f>
        <v>0.15035830615954232</v>
      </c>
      <c r="G6" s="25">
        <f>'CD calculation'!E6</f>
        <v>3.9753613635660406E-2</v>
      </c>
      <c r="H6" s="24">
        <f>'Cl calculation'!I6</f>
        <v>9.5063404972440521E-2</v>
      </c>
      <c r="I6" s="16">
        <f>'CD calculation'!I6</f>
        <v>7.1919581050584686E-2</v>
      </c>
      <c r="J6">
        <f t="shared" si="0"/>
        <v>3.782255055793609</v>
      </c>
      <c r="K6" s="17">
        <f t="shared" si="1"/>
        <v>1.3218014285369324</v>
      </c>
      <c r="L6" s="5">
        <f t="shared" si="2"/>
        <v>3.782255055793609</v>
      </c>
      <c r="M6" s="6">
        <f t="shared" si="3"/>
        <v>1.3218014285369322</v>
      </c>
    </row>
    <row r="7" spans="1:13" ht="16.2" thickBot="1" x14ac:dyDescent="0.35">
      <c r="A7" s="27">
        <v>4</v>
      </c>
      <c r="B7" s="23">
        <f>'Cl calculation'!B7</f>
        <v>3.4733996294118268E-2</v>
      </c>
      <c r="C7" s="25">
        <f>'CD calculation'!B7</f>
        <v>1.9715237542973676E-2</v>
      </c>
      <c r="D7" s="23">
        <f>'Cl calculation'!F7</f>
        <v>0.2013441002549694</v>
      </c>
      <c r="E7" s="25">
        <f>'CD calculation'!F7</f>
        <v>8.2037873739463335E-2</v>
      </c>
      <c r="F7" s="23">
        <f>'Cl calculation'!E7</f>
        <v>0.28320682449154755</v>
      </c>
      <c r="G7" s="25">
        <f>'CD calculation'!E7</f>
        <v>0.16074999753447902</v>
      </c>
      <c r="H7" s="24">
        <f>'Cl calculation'!I7</f>
        <v>0.25631135736712718</v>
      </c>
      <c r="I7" s="16">
        <f>'CD calculation'!I7</f>
        <v>0.10443434273488661</v>
      </c>
      <c r="J7">
        <f t="shared" si="0"/>
        <v>1.7617843162380324</v>
      </c>
      <c r="K7" s="17">
        <f t="shared" si="1"/>
        <v>2.4542822854526913</v>
      </c>
      <c r="L7" s="5">
        <f t="shared" si="2"/>
        <v>1.7617843162380327</v>
      </c>
      <c r="M7" s="6">
        <f t="shared" si="3"/>
        <v>2.4542822854526913</v>
      </c>
    </row>
    <row r="8" spans="1:13" ht="16.2" thickBot="1" x14ac:dyDescent="0.35">
      <c r="A8" s="27">
        <v>6</v>
      </c>
      <c r="B8" s="23">
        <f>'Cl calculation'!B8</f>
        <v>5.3300650497562552E-2</v>
      </c>
      <c r="C8" s="25">
        <f>'CD calculation'!B8</f>
        <v>3.3888807686622509E-2</v>
      </c>
      <c r="D8" s="23">
        <f>'Cl calculation'!F8</f>
        <v>0.31985372813375085</v>
      </c>
      <c r="E8" s="25">
        <f>'CD calculation'!F8</f>
        <v>0.1090409193394781</v>
      </c>
      <c r="F8" s="23">
        <f>'Cl calculation'!E8</f>
        <v>0.43552845252789207</v>
      </c>
      <c r="G8" s="25">
        <f>'CD calculation'!E8</f>
        <v>0.27691106641268837</v>
      </c>
      <c r="H8" s="24">
        <f>'Cl calculation'!I8</f>
        <v>0.43301715388555428</v>
      </c>
      <c r="I8" s="16">
        <f>'CD calculation'!I8</f>
        <v>0.14761931594463357</v>
      </c>
      <c r="J8">
        <f t="shared" si="0"/>
        <v>1.5728098489166618</v>
      </c>
      <c r="K8" s="17">
        <f t="shared" si="1"/>
        <v>2.9333366782973216</v>
      </c>
      <c r="L8" s="5">
        <f t="shared" si="2"/>
        <v>1.5728098489166618</v>
      </c>
      <c r="M8" s="6">
        <f t="shared" si="3"/>
        <v>2.9333366782973216</v>
      </c>
    </row>
    <row r="9" spans="1:13" ht="16.2" thickBot="1" x14ac:dyDescent="0.35">
      <c r="A9" s="27">
        <v>8</v>
      </c>
      <c r="B9" s="23">
        <f>'Cl calculation'!B9</f>
        <v>6.6539726129700688E-2</v>
      </c>
      <c r="C9" s="25">
        <f>'CD calculation'!B9</f>
        <v>4.5144387172234693E-2</v>
      </c>
      <c r="D9" s="23">
        <f>'Cl calculation'!F9</f>
        <v>0.44142361061068347</v>
      </c>
      <c r="E9" s="25">
        <f>'CD calculation'!F9</f>
        <v>0.14647506426267332</v>
      </c>
      <c r="F9" s="23">
        <f>'Cl calculation'!E9</f>
        <v>0.54569041061671864</v>
      </c>
      <c r="G9" s="25">
        <f>'CD calculation'!E9</f>
        <v>0.37022784141067955</v>
      </c>
      <c r="H9" s="24">
        <f>'Cl calculation'!I9</f>
        <v>0.56646147576832984</v>
      </c>
      <c r="I9" s="16">
        <f>'CD calculation'!I9</f>
        <v>0.1879656617159815</v>
      </c>
      <c r="J9">
        <f t="shared" si="0"/>
        <v>1.4739313189885286</v>
      </c>
      <c r="K9" s="17">
        <f t="shared" si="1"/>
        <v>3.0136433995282621</v>
      </c>
      <c r="L9" s="5">
        <f t="shared" si="2"/>
        <v>1.4739313189885284</v>
      </c>
      <c r="M9" s="6">
        <f t="shared" si="3"/>
        <v>3.0136433995282621</v>
      </c>
    </row>
    <row r="10" spans="1:13" ht="16.2" thickBot="1" x14ac:dyDescent="0.35">
      <c r="A10" s="27">
        <v>10</v>
      </c>
      <c r="B10" s="23">
        <f>'Cl calculation'!B10</f>
        <v>7.6222156022640458E-2</v>
      </c>
      <c r="C10" s="25">
        <f>'CD calculation'!B10</f>
        <v>6.7392912314974587E-2</v>
      </c>
      <c r="D10" s="23">
        <f>'Cl calculation'!F10</f>
        <v>0.52947288968252348</v>
      </c>
      <c r="E10" s="25">
        <f>'CD calculation'!F10</f>
        <v>0.20547490948505437</v>
      </c>
      <c r="F10" s="23">
        <f>'Cl calculation'!E10</f>
        <v>0.61391723901995776</v>
      </c>
      <c r="G10" s="25">
        <f>'CD calculation'!E10</f>
        <v>0.54280373078969302</v>
      </c>
      <c r="H10" s="24">
        <f>'Cl calculation'!I10</f>
        <v>0.66032339157888842</v>
      </c>
      <c r="I10" s="16">
        <f>'CD calculation'!I10</f>
        <v>0.25625464827272093</v>
      </c>
      <c r="J10">
        <f t="shared" si="0"/>
        <v>1.1310114580951864</v>
      </c>
      <c r="K10" s="17">
        <f t="shared" si="1"/>
        <v>2.5768250294376491</v>
      </c>
      <c r="L10" s="5">
        <f t="shared" si="2"/>
        <v>1.1310114580951864</v>
      </c>
      <c r="M10" s="6">
        <f t="shared" si="3"/>
        <v>2.5768250294376487</v>
      </c>
    </row>
    <row r="11" spans="1:13" ht="16.2" thickBot="1" x14ac:dyDescent="0.35">
      <c r="A11" s="27">
        <v>12</v>
      </c>
      <c r="B11" s="23">
        <f>'Cl calculation'!B11</f>
        <v>8.3386886038402164E-2</v>
      </c>
      <c r="C11" s="25">
        <f>'CD calculation'!B11</f>
        <v>8.4729840180506236E-2</v>
      </c>
      <c r="D11" s="23">
        <f>'Cl calculation'!F11</f>
        <v>0.54560335482056144</v>
      </c>
      <c r="E11" s="25">
        <f>'CD calculation'!F11</f>
        <v>0.23828546887742966</v>
      </c>
      <c r="F11" s="23">
        <f>'Cl calculation'!E11</f>
        <v>0.66357321342917963</v>
      </c>
      <c r="G11" s="25">
        <f>'CD calculation'!E11</f>
        <v>0.67426012641875477</v>
      </c>
      <c r="H11" s="24">
        <f>'Cl calculation'!I11</f>
        <v>0.69590877669619966</v>
      </c>
      <c r="I11" s="16">
        <f>'CD calculation'!I11</f>
        <v>0.30392948959323957</v>
      </c>
      <c r="J11">
        <f t="shared" si="0"/>
        <v>0.98415016316278803</v>
      </c>
      <c r="K11" s="17">
        <f t="shared" si="1"/>
        <v>2.2897046865296318</v>
      </c>
      <c r="L11" s="5">
        <f t="shared" si="2"/>
        <v>0.98415016316278814</v>
      </c>
      <c r="M11" s="6">
        <f t="shared" si="3"/>
        <v>2.2897046865296322</v>
      </c>
    </row>
    <row r="12" spans="1:13" ht="16.2" thickBot="1" x14ac:dyDescent="0.35">
      <c r="A12" s="27">
        <v>14</v>
      </c>
      <c r="B12" s="23">
        <f>'Cl calculation'!B12</f>
        <v>8.1792400431305756E-2</v>
      </c>
      <c r="C12" s="25">
        <f>'CD calculation'!B12</f>
        <v>0.10531799925326646</v>
      </c>
      <c r="D12" s="23">
        <f>'Cl calculation'!F12</f>
        <v>0.56376752359403415</v>
      </c>
      <c r="E12" s="25">
        <f>'CD calculation'!F12</f>
        <v>0.28145821139186677</v>
      </c>
      <c r="F12" s="23">
        <f>'Cl calculation'!E12</f>
        <v>0.64320536509498283</v>
      </c>
      <c r="G12" s="25">
        <f>'CD calculation'!E12</f>
        <v>0.82820777729421802</v>
      </c>
      <c r="H12" s="24">
        <f>'Cl calculation'!I12</f>
        <v>0.71009216816196474</v>
      </c>
      <c r="I12" s="16">
        <f>'CD calculation'!I12</f>
        <v>0.35451008298618897</v>
      </c>
      <c r="J12">
        <f t="shared" si="0"/>
        <v>0.77662318892531512</v>
      </c>
      <c r="K12" s="17">
        <f t="shared" si="1"/>
        <v>2.0030238976013233</v>
      </c>
      <c r="L12" s="5">
        <f t="shared" si="2"/>
        <v>0.77662318892531512</v>
      </c>
      <c r="M12" s="6">
        <f t="shared" si="3"/>
        <v>2.0030238976013233</v>
      </c>
    </row>
    <row r="13" spans="1:13" ht="16.2" thickBot="1" x14ac:dyDescent="0.35">
      <c r="A13" s="27">
        <v>16</v>
      </c>
      <c r="B13" s="23">
        <f>'Cl calculation'!B13</f>
        <v>7.5567134243002529E-2</v>
      </c>
      <c r="C13" s="25">
        <f>'CD calculation'!B13</f>
        <v>0.1175042156439578</v>
      </c>
      <c r="D13" s="23">
        <f>'Cl calculation'!F13</f>
        <v>0.56758516291488015</v>
      </c>
      <c r="E13" s="25">
        <f>'CD calculation'!F13</f>
        <v>0.32952557087949885</v>
      </c>
      <c r="F13" s="23">
        <f>'Cl calculation'!E13</f>
        <v>0.60787952368581954</v>
      </c>
      <c r="G13" s="25">
        <f>'CD calculation'!E13</f>
        <v>0.94523111604353471</v>
      </c>
      <c r="H13" s="24">
        <f>'Cl calculation'!I13</f>
        <v>0.68881142089030012</v>
      </c>
      <c r="I13" s="16">
        <f>'CD calculation'!I13</f>
        <v>0.39990646607377028</v>
      </c>
      <c r="J13">
        <f t="shared" si="0"/>
        <v>0.64310147366945369</v>
      </c>
      <c r="K13" s="17">
        <f t="shared" si="1"/>
        <v>1.7224313166350149</v>
      </c>
      <c r="L13" s="5">
        <f t="shared" si="2"/>
        <v>0.64310147366945369</v>
      </c>
      <c r="M13" s="6">
        <f t="shared" si="3"/>
        <v>1.7224313166350149</v>
      </c>
    </row>
    <row r="14" spans="1:13" ht="16.2" thickBot="1" x14ac:dyDescent="0.35">
      <c r="A14" s="27">
        <v>18</v>
      </c>
      <c r="B14" s="23">
        <f>'Cl calculation'!B14</f>
        <v>7.5237293785840084E-2</v>
      </c>
      <c r="C14" s="25">
        <f>'CD calculation'!B14</f>
        <v>0.13399586502987096</v>
      </c>
      <c r="D14" s="23">
        <f>'Cl calculation'!F14</f>
        <v>0.56106586145192949</v>
      </c>
      <c r="E14" s="25">
        <f>'CD calculation'!F14</f>
        <v>0.3586514411157038</v>
      </c>
      <c r="F14" s="23">
        <f>'Cl calculation'!E14</f>
        <v>0.61303414357973329</v>
      </c>
      <c r="G14" s="25">
        <f>'CD calculation'!E14</f>
        <v>1.0917995083081027</v>
      </c>
      <c r="H14" s="24">
        <f>'Cl calculation'!I14</f>
        <v>0.70756676507220218</v>
      </c>
      <c r="I14" s="16">
        <f>'CD calculation'!I14</f>
        <v>0.45229955592381771</v>
      </c>
      <c r="J14">
        <f t="shared" si="0"/>
        <v>0.5614896681257131</v>
      </c>
      <c r="K14" s="17">
        <f t="shared" si="1"/>
        <v>1.5643764310734365</v>
      </c>
      <c r="L14" s="5">
        <f t="shared" si="2"/>
        <v>0.5614896681257131</v>
      </c>
      <c r="M14" s="6">
        <f t="shared" si="3"/>
        <v>1.5643764310734365</v>
      </c>
    </row>
    <row r="15" spans="1:13" ht="16.2" thickBot="1" x14ac:dyDescent="0.35">
      <c r="A15" s="27">
        <v>20</v>
      </c>
      <c r="B15" s="23">
        <f>'Cl calculation'!B15</f>
        <v>7.4240067235690224E-2</v>
      </c>
      <c r="C15" s="25">
        <f>'CD calculation'!B15</f>
        <v>0.15336800197099132</v>
      </c>
      <c r="D15" s="23">
        <f>'Cl calculation'!F15</f>
        <v>0.55899521125931817</v>
      </c>
      <c r="E15" s="25">
        <f>'CD calculation'!F15</f>
        <v>0.39836827670354857</v>
      </c>
      <c r="F15" s="23">
        <f>'Cl calculation'!E15</f>
        <v>0.58340967318013071</v>
      </c>
      <c r="G15" s="25">
        <f>'CD calculation'!E15</f>
        <v>1.2052302649743662</v>
      </c>
      <c r="H15" s="24">
        <f>'Cl calculation'!I15</f>
        <v>0.70713476190274527</v>
      </c>
      <c r="I15" s="16">
        <f>'CD calculation'!I15</f>
        <v>0.50394001741401317</v>
      </c>
      <c r="J15">
        <f t="shared" si="0"/>
        <v>0.48406490455376938</v>
      </c>
      <c r="K15" s="17">
        <f t="shared" si="1"/>
        <v>1.4032121630892371</v>
      </c>
      <c r="L15" s="5">
        <f t="shared" si="2"/>
        <v>0.48406490455376933</v>
      </c>
      <c r="M15" s="6">
        <f t="shared" si="3"/>
        <v>1.4032121630892371</v>
      </c>
    </row>
    <row r="16" spans="1:13" ht="16.2" thickBot="1" x14ac:dyDescent="0.35">
      <c r="A16" s="28">
        <v>22</v>
      </c>
      <c r="B16" s="23">
        <f>'Cl calculation'!B16</f>
        <v>7.0499049428713309E-2</v>
      </c>
      <c r="C16" s="25">
        <f>'CD calculation'!B16</f>
        <v>0.17553019073201151</v>
      </c>
      <c r="D16" s="23">
        <f>'Cl calculation'!F16</f>
        <v>0.58325938820631429</v>
      </c>
      <c r="E16" s="25">
        <f>'CD calculation'!F16</f>
        <v>0.45095598697648076</v>
      </c>
      <c r="F16" s="23">
        <f>'Cl calculation'!E16</f>
        <v>0.55687703428820445</v>
      </c>
      <c r="G16" s="25">
        <f>'CD calculation'!E16</f>
        <v>1.3865255324006356</v>
      </c>
      <c r="H16" s="24">
        <f>'Cl calculation'!I16</f>
        <v>0.74891986137933653</v>
      </c>
      <c r="I16" s="16">
        <f>'CD calculation'!I16</f>
        <v>0.57903893547812701</v>
      </c>
      <c r="J16" s="8">
        <f t="shared" si="0"/>
        <v>0.40163489331785002</v>
      </c>
      <c r="K16" s="18">
        <f t="shared" si="1"/>
        <v>1.2933842881583335</v>
      </c>
      <c r="L16" s="7">
        <f t="shared" si="2"/>
        <v>0.40163489331785002</v>
      </c>
      <c r="M16" s="9">
        <f t="shared" si="3"/>
        <v>1.2933842881583335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 ft</vt:lpstr>
      <vt:lpstr>40 ft </vt:lpstr>
      <vt:lpstr>100 ft</vt:lpstr>
      <vt:lpstr>Cl calculation</vt:lpstr>
      <vt:lpstr>CD calculation</vt:lpstr>
      <vt:lpstr>CM calculation</vt:lpstr>
      <vt:lpstr>L-D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Shyam</cp:lastModifiedBy>
  <dcterms:created xsi:type="dcterms:W3CDTF">2022-11-29T21:42:43Z</dcterms:created>
  <dcterms:modified xsi:type="dcterms:W3CDTF">2022-12-06T04:40:19Z</dcterms:modified>
</cp:coreProperties>
</file>