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\Downloads\"/>
    </mc:Choice>
  </mc:AlternateContent>
  <xr:revisionPtr revIDLastSave="0" documentId="13_ncr:1_{8DBA63E1-8E15-41FC-BF62-4EA305B4A539}" xr6:coauthVersionLast="47" xr6:coauthVersionMax="47" xr10:uidLastSave="{00000000-0000-0000-0000-000000000000}"/>
  <bookViews>
    <workbookView xWindow="-108" yWindow="-108" windowWidth="23256" windowHeight="12456" xr2:uid="{0CBE6B77-7A28-467A-A624-C502DC025051}"/>
  </bookViews>
  <sheets>
    <sheet name="Q1" sheetId="5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5" l="1"/>
  <c r="H6" i="3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H3" i="2"/>
  <c r="H4" i="2"/>
  <c r="H5" i="2"/>
  <c r="H6" i="2"/>
  <c r="H2" i="2"/>
  <c r="Q18" i="5"/>
  <c r="Q19" i="5" s="1"/>
  <c r="F38" i="5"/>
  <c r="P19" i="5"/>
  <c r="P18" i="5"/>
  <c r="F32" i="5"/>
  <c r="F34" i="5" s="1"/>
  <c r="C23" i="5"/>
  <c r="D23" i="5" s="1"/>
  <c r="E23" i="5" s="1"/>
  <c r="F23" i="5" s="1"/>
  <c r="Q6" i="5"/>
  <c r="R6" i="5" s="1"/>
  <c r="S6" i="5" s="1"/>
  <c r="Q9" i="5"/>
  <c r="Q8" i="5"/>
  <c r="R8" i="5" s="1"/>
  <c r="S8" i="5" s="1"/>
  <c r="Q7" i="5"/>
  <c r="R7" i="5" s="1"/>
  <c r="S7" i="5" s="1"/>
  <c r="Q11" i="5"/>
  <c r="R11" i="5" s="1"/>
  <c r="S11" i="5" s="1"/>
  <c r="Q10" i="5"/>
  <c r="R10" i="5" s="1"/>
  <c r="Q5" i="5"/>
  <c r="R5" i="5" s="1"/>
  <c r="S5" i="5" s="1"/>
  <c r="Q4" i="5"/>
  <c r="R4" i="5" s="1"/>
  <c r="S4" i="5" s="1"/>
  <c r="J24" i="5"/>
  <c r="J23" i="5"/>
  <c r="D5" i="5"/>
  <c r="D6" i="5"/>
  <c r="D7" i="5"/>
  <c r="E7" i="5" s="1"/>
  <c r="F7" i="5" s="1"/>
  <c r="D8" i="5"/>
  <c r="D9" i="5"/>
  <c r="E9" i="5" s="1"/>
  <c r="F9" i="5" s="1"/>
  <c r="D10" i="5"/>
  <c r="E10" i="5" s="1"/>
  <c r="F10" i="5" s="1"/>
  <c r="D11" i="5"/>
  <c r="D12" i="5"/>
  <c r="D13" i="5"/>
  <c r="E13" i="5" s="1"/>
  <c r="F13" i="5" s="1"/>
  <c r="D4" i="5"/>
  <c r="C17" i="5"/>
  <c r="D17" i="5" s="1"/>
  <c r="S13" i="5" l="1"/>
  <c r="R9" i="5"/>
  <c r="S9" i="5" s="1"/>
  <c r="S10" i="5"/>
  <c r="E17" i="5"/>
  <c r="E8" i="5"/>
  <c r="F8" i="5" s="1"/>
  <c r="E5" i="5"/>
  <c r="F5" i="5" s="1"/>
  <c r="E11" i="5"/>
  <c r="F11" i="5" s="1"/>
  <c r="E6" i="5"/>
  <c r="F6" i="5" s="1"/>
  <c r="E12" i="5"/>
  <c r="F12" i="5" s="1"/>
  <c r="E4" i="5"/>
  <c r="F4" i="5" s="1"/>
  <c r="F15" i="3"/>
  <c r="F13" i="3"/>
  <c r="E15" i="3"/>
  <c r="E14" i="3"/>
  <c r="C8" i="3"/>
  <c r="F14" i="3" s="1"/>
  <c r="E13" i="3"/>
  <c r="D15" i="3"/>
  <c r="D14" i="3"/>
  <c r="D13" i="3"/>
  <c r="F25" i="5" l="1"/>
  <c r="O18" i="5" s="1"/>
  <c r="G15" i="3"/>
  <c r="G13" i="3"/>
  <c r="G14" i="3"/>
  <c r="O19" i="5" l="1"/>
  <c r="R19" i="5" s="1"/>
  <c r="R18" i="5"/>
  <c r="G16" i="3"/>
</calcChain>
</file>

<file path=xl/sharedStrings.xml><?xml version="1.0" encoding="utf-8"?>
<sst xmlns="http://schemas.openxmlformats.org/spreadsheetml/2006/main" count="205" uniqueCount="171">
  <si>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</si>
  <si>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</si>
  <si>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</si>
  <si>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</si>
  <si>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</si>
  <si>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</si>
  <si>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</si>
  <si>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</si>
  <si>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</si>
  <si>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</si>
  <si>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</si>
  <si>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</si>
  <si>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</si>
  <si>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Activity</t>
  </si>
  <si>
    <t>Laptop (charging)</t>
  </si>
  <si>
    <t>Total energy per day in KW-h</t>
  </si>
  <si>
    <t>Geyser (heating)</t>
  </si>
  <si>
    <t>Refrigerator (cooling)</t>
  </si>
  <si>
    <t>Fan (cooling)</t>
  </si>
  <si>
    <t>Washing machine</t>
  </si>
  <si>
    <t>TV</t>
  </si>
  <si>
    <t>mixer grinder</t>
  </si>
  <si>
    <t>mobile charging</t>
  </si>
  <si>
    <t>Pump motor (1 HP)</t>
  </si>
  <si>
    <t>Lamp (Lighting) 8</t>
  </si>
  <si>
    <t>petrol (kJ/L)</t>
  </si>
  <si>
    <t>1kWh</t>
  </si>
  <si>
    <t>KJ</t>
  </si>
  <si>
    <t>COOKING</t>
  </si>
  <si>
    <t>TRANSPORTATION</t>
  </si>
  <si>
    <t>Std. value</t>
  </si>
  <si>
    <t>Countries</t>
  </si>
  <si>
    <t>INDIA</t>
  </si>
  <si>
    <t>Energy consumption per capita in KWh/year</t>
  </si>
  <si>
    <t>UK</t>
  </si>
  <si>
    <t>USA</t>
  </si>
  <si>
    <t>GERMANY</t>
  </si>
  <si>
    <t>JAPAN</t>
  </si>
  <si>
    <t>CANADA</t>
  </si>
  <si>
    <t>KENYA</t>
  </si>
  <si>
    <t>NIGERIA</t>
  </si>
  <si>
    <t>CHINA</t>
  </si>
  <si>
    <t>BANGLADESH</t>
  </si>
  <si>
    <t>IRAN</t>
  </si>
  <si>
    <t>NEPAL</t>
  </si>
  <si>
    <t>PAKISTAN</t>
  </si>
  <si>
    <t>SRILANKA</t>
  </si>
  <si>
    <t>UAE</t>
  </si>
  <si>
    <t>LIBERIA</t>
  </si>
  <si>
    <t>UGANDA</t>
  </si>
  <si>
    <t>BHUTAN</t>
  </si>
  <si>
    <t>AFGHANISTAN</t>
  </si>
  <si>
    <t>CO2</t>
  </si>
  <si>
    <t>SO2</t>
  </si>
  <si>
    <t>Nox</t>
  </si>
  <si>
    <t>ELECTRICITY</t>
  </si>
  <si>
    <t>AVERAGE POLLUTANT EMISSIONS PER YEAR in kg</t>
  </si>
  <si>
    <t>TOTAL</t>
  </si>
  <si>
    <t xml:space="preserve">Typical gross weight of an Indian passenger train (including passengers) </t>
  </si>
  <si>
    <t>No of passengers in a train</t>
  </si>
  <si>
    <t>Energy consumption per person</t>
  </si>
  <si>
    <t>No of journeys per year</t>
  </si>
  <si>
    <t>in MJ</t>
  </si>
  <si>
    <t>MJ</t>
  </si>
  <si>
    <t>Myself</t>
  </si>
  <si>
    <t>India</t>
  </si>
  <si>
    <t>China</t>
  </si>
  <si>
    <t>Ethiopia</t>
  </si>
  <si>
    <t>Moti.L.Mittal, Department of Environment and occupational health</t>
  </si>
  <si>
    <t>CO2 kg/kwh</t>
  </si>
  <si>
    <t>SO2 g/kwh</t>
  </si>
  <si>
    <t>NOx g/kwh</t>
  </si>
  <si>
    <t>CO2 g/gallon of petrol</t>
  </si>
  <si>
    <t>1 gallon</t>
  </si>
  <si>
    <t>Total petrol consumed in a year</t>
  </si>
  <si>
    <t>Litres</t>
  </si>
  <si>
    <t>References</t>
  </si>
  <si>
    <t>Eric.P.Johnson,2012, Carbon footprints of heating oil and LPG heating systems</t>
  </si>
  <si>
    <t>https://www.epa.gov/greenvehicles/greenhouse-gas-emissions-typical-passenger-vehicle</t>
  </si>
  <si>
    <t>NOx  (kg/L) of petrol</t>
  </si>
  <si>
    <t>http://www.orientjchem.org/vol35no1/the-main-components-of-vehicle-exhaust-gases-and-their-effective-catalytic-neutralization/#:~:text=The%20exhaust%20gases%20of%20vehicles,1%20liter%20of%20fuel%20(tab.</t>
  </si>
  <si>
    <t xml:space="preserve">NOx </t>
  </si>
  <si>
    <t>SO2 kg/L</t>
  </si>
  <si>
    <t>Typical values</t>
  </si>
  <si>
    <t>Country</t>
  </si>
  <si>
    <t>enrgy usage in kwh</t>
  </si>
  <si>
    <t>energy usage in MJ</t>
  </si>
  <si>
    <t>LPG(kJ/kg)</t>
  </si>
  <si>
    <t>Total energy in KW-h</t>
  </si>
  <si>
    <t>Daily usage in hours</t>
  </si>
  <si>
    <t>Energy consumption (W)</t>
  </si>
  <si>
    <t>Calorific value</t>
  </si>
  <si>
    <t>per capita per day in KW-h</t>
  </si>
  <si>
    <t xml:space="preserve"> per capita per day in KW-h</t>
  </si>
  <si>
    <t>per capita in 8 months (KW-h)</t>
  </si>
  <si>
    <t>days</t>
  </si>
  <si>
    <t>Status</t>
  </si>
  <si>
    <t>HOME</t>
  </si>
  <si>
    <t>CAMPUS</t>
  </si>
  <si>
    <t>Total days at home</t>
  </si>
  <si>
    <t>Total days at campus</t>
  </si>
  <si>
    <t>Energy usage per capita per day for electronic appliances for 8 months (at HOME)</t>
  </si>
  <si>
    <t>per capita in 4 months (KW-h)</t>
  </si>
  <si>
    <t>AC (cooling)</t>
  </si>
  <si>
    <t>Lamp at hostel</t>
  </si>
  <si>
    <t>Projector in class</t>
  </si>
  <si>
    <t>TOTAL ENERGY  consumption in 8 months (KWh)</t>
  </si>
  <si>
    <t>Energy usage per capita per day for electronic appliances for 4 months (at CAMPUS)</t>
  </si>
  <si>
    <t>TOTAL ENERGY  consumption in 4 months (KWh)</t>
  </si>
  <si>
    <t>Energy usage in transportation activities per capita per day for 8 months (at HOME)</t>
  </si>
  <si>
    <t>Consumption in a month (L)</t>
  </si>
  <si>
    <r>
      <rPr>
        <b/>
        <sz val="11"/>
        <color rgb="FFC00000"/>
        <rFont val="Calibri"/>
        <family val="2"/>
        <scheme val="minor"/>
      </rPr>
      <t>Comment :</t>
    </r>
    <r>
      <rPr>
        <sz val="11"/>
        <color rgb="FFC00000"/>
        <rFont val="Calibri"/>
        <family val="2"/>
        <scheme val="minor"/>
      </rPr>
      <t xml:space="preserve"> Average utilization of LPG cylinder is assumed to be 45 days </t>
    </r>
  </si>
  <si>
    <r>
      <rPr>
        <b/>
        <sz val="11"/>
        <color rgb="FFC00000"/>
        <rFont val="Calibri"/>
        <family val="2"/>
        <scheme val="minor"/>
      </rPr>
      <t xml:space="preserve">Comment: </t>
    </r>
    <r>
      <rPr>
        <sz val="11"/>
        <color rgb="FFC00000"/>
        <rFont val="Calibri"/>
        <family val="2"/>
        <scheme val="minor"/>
      </rPr>
      <t>Excluding SAT and SUN ; Average students in class are considered 25</t>
    </r>
  </si>
  <si>
    <t>Transportation (bike)</t>
  </si>
  <si>
    <t>Energy usage in transportation activities (TRAIN TRAVEL) twice a year</t>
  </si>
  <si>
    <t>KW-h</t>
  </si>
  <si>
    <t xml:space="preserve">Total energy consumed </t>
  </si>
  <si>
    <t>Electricity usage per 1000 tonne-km in KW-h</t>
  </si>
  <si>
    <t>Journey distance (Kanjurmarg to Pune) (km)</t>
  </si>
  <si>
    <t>Energy consumption unit</t>
  </si>
  <si>
    <t>Energy consumption at home</t>
  </si>
  <si>
    <t>Energy consumption at campus</t>
  </si>
  <si>
    <t>Energy consumption in train travel</t>
  </si>
  <si>
    <t>TOTAL ENERGY CONSUMPTION</t>
  </si>
  <si>
    <t>TOTAL ENERGY  consumption in Train travel(KWh)</t>
  </si>
  <si>
    <t>Cooking (LPG) kg/45 days/ 4 People</t>
  </si>
  <si>
    <t>Data assumed</t>
  </si>
  <si>
    <t xml:space="preserve"> </t>
  </si>
  <si>
    <t>Per capita consumption of different country</t>
  </si>
  <si>
    <t>https://ourworldindata.org/grapher/per-capita-energy-use</t>
  </si>
  <si>
    <t>https://ivankyo.com/blogs/tech/how-much-power-does-a-projector-consume</t>
  </si>
  <si>
    <t>Projector energy consumption</t>
  </si>
  <si>
    <t>https://letsavelectricity.com/power-consumption-of-ac-how-much-power-does-an-ac-use/#:~:text=As%20a%20general%20rule%20of,of%20cooling%20%3D%202%2C00%20watts</t>
  </si>
  <si>
    <t>Emissions from electricity</t>
  </si>
  <si>
    <t>Emissions from cooking</t>
  </si>
  <si>
    <t>Emissions from transportation CO2</t>
  </si>
  <si>
    <t>Sr. no.</t>
  </si>
  <si>
    <t>PETROL</t>
  </si>
  <si>
    <t xml:space="preserve"> Cylinder capacity (kg)</t>
  </si>
  <si>
    <t xml:space="preserve">For electric appliances </t>
  </si>
  <si>
    <t>Per capita per day in KW-h = [Energy consumption (W) * Daily usage (h)]/1000</t>
  </si>
  <si>
    <t>FORMULAS USED</t>
  </si>
  <si>
    <t>For cooking purpose</t>
  </si>
  <si>
    <t xml:space="preserve"> Per capita per day in KW-h =  [Cylinder capacity (kg)*Energy in LPG (kJ/kg)]/[3600*numner of people]</t>
  </si>
  <si>
    <t>For train travel</t>
  </si>
  <si>
    <t>Per capita in KW-h = [weight of train*energy used per tonne  per km*journey distance] / [Number of passengers]</t>
  </si>
  <si>
    <t>Comparison of per capita energy of different countries</t>
  </si>
  <si>
    <t>Average energy consumption per capita annually is 6924 kwh/yr. This is because the lifestyle characteristics of a person.</t>
  </si>
  <si>
    <t xml:space="preserve">In developed countries like USA, Canada have high consumption because of lifestyle, standard of living of overall population.  </t>
  </si>
  <si>
    <r>
      <rPr>
        <b/>
        <sz val="11"/>
        <color theme="1"/>
        <rFont val="Calibri"/>
        <family val="2"/>
        <scheme val="minor"/>
      </rPr>
      <t>Highes</t>
    </r>
    <r>
      <rPr>
        <sz val="11"/>
        <color theme="1"/>
        <rFont val="Calibri"/>
        <family val="2"/>
        <scheme val="minor"/>
      </rPr>
      <t xml:space="preserve">t energy consumption country is in UAE= 137318 kwh/capita/year </t>
    </r>
  </si>
  <si>
    <r>
      <rPr>
        <b/>
        <sz val="11"/>
        <color theme="1"/>
        <rFont val="Calibri"/>
        <family val="2"/>
        <scheme val="minor"/>
      </rPr>
      <t>Lowes</t>
    </r>
    <r>
      <rPr>
        <sz val="11"/>
        <color theme="1"/>
        <rFont val="Calibri"/>
        <family val="2"/>
        <scheme val="minor"/>
      </rPr>
      <t xml:space="preserve">t energy consumption country is in NIGERIA = 473 kwh/capita/year </t>
    </r>
  </si>
  <si>
    <r>
      <t>Uganda nigeria like countries have less energy consumption per capita may be because the development in these countries is not much due to</t>
    </r>
    <r>
      <rPr>
        <b/>
        <sz val="11"/>
        <color theme="1"/>
        <rFont val="Calibri"/>
        <family val="2"/>
        <scheme val="minor"/>
      </rPr>
      <t xml:space="preserve"> less resources.</t>
    </r>
  </si>
  <si>
    <r>
      <t xml:space="preserve">In developing countries UAE has highest </t>
    </r>
    <r>
      <rPr>
        <b/>
        <sz val="11"/>
        <color theme="1"/>
        <rFont val="Calibri"/>
        <family val="2"/>
        <scheme val="minor"/>
      </rPr>
      <t>global maxim</t>
    </r>
    <r>
      <rPr>
        <sz val="11"/>
        <color theme="1"/>
        <rFont val="Calibri"/>
        <family val="2"/>
        <scheme val="minor"/>
      </rPr>
      <t xml:space="preserve">a than the developed country one of the major reason can be </t>
    </r>
    <r>
      <rPr>
        <b/>
        <sz val="11"/>
        <color theme="1"/>
        <rFont val="Calibri"/>
        <family val="2"/>
        <scheme val="minor"/>
      </rPr>
      <t>tourism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luxury-living</t>
    </r>
    <r>
      <rPr>
        <sz val="11"/>
        <color theme="1"/>
        <rFont val="Calibri"/>
        <family val="2"/>
        <scheme val="minor"/>
      </rPr>
      <t xml:space="preserve"> experiences people want to experience there. </t>
    </r>
  </si>
  <si>
    <t>Comparison of my energy consumption with average energy consumption in INDIA</t>
  </si>
  <si>
    <t xml:space="preserve">Due to such diversity, people in India may have huge differences in terms of energy consumption.  </t>
  </si>
  <si>
    <t xml:space="preserve">My energy consumption falls under the average due to my lifestyle, i.e. nearly no Air conditioning , minimum electrical appliances. </t>
  </si>
  <si>
    <t xml:space="preserve">INDIA being a developing country has a diverse population and the highest population. The overall population is spread on the scale of lifestyle like upper-class, middle-class, lower-class and below the poverty line. </t>
  </si>
  <si>
    <t>Emmision factors</t>
  </si>
  <si>
    <t xml:space="preserve">Central AC Consumption </t>
  </si>
  <si>
    <t>Consumption of different devices</t>
  </si>
  <si>
    <t>https://www.indiastudychannel.com/resources/118049-Electricity-usage-of-various-devices-Consumption-Calculation-Costs-and-Conservation.aspx#:~:text=How%20to%20measure%20electricity%20consumption%20of%20various%20devices%3F,1kW%20and%201%20unit%20of%20electricity%20is%20burned.</t>
  </si>
  <si>
    <t>FORMULA USED</t>
  </si>
  <si>
    <t xml:space="preserve">CO2, SO2, Nox Emission = Energy in KWh * corresponding emission factor </t>
  </si>
  <si>
    <t>EMISSION GASES</t>
  </si>
  <si>
    <t>EMISSIONS DUE TO USE OF ELECTRICITY (Kg/yr)</t>
  </si>
  <si>
    <t>EMISSIONS DUE TO COOKING (Kg/yr)</t>
  </si>
  <si>
    <t>EMISSIONS DUE TO TRANSPORTATION (Kg/yr)</t>
  </si>
  <si>
    <t>ENERGY (KWh)</t>
  </si>
  <si>
    <t>TOTAL (Kg/yr)</t>
  </si>
  <si>
    <t>Energy usage in cooking activities per capita per day for 12 months (at HOME + CAMPUS)</t>
  </si>
  <si>
    <r>
      <rPr>
        <b/>
        <sz val="11"/>
        <color rgb="FFC00000"/>
        <rFont val="Calibri"/>
        <family val="2"/>
        <scheme val="minor"/>
      </rPr>
      <t xml:space="preserve">Comment </t>
    </r>
    <r>
      <rPr>
        <sz val="11"/>
        <color rgb="FFC00000"/>
        <rFont val="Calibri"/>
        <family val="2"/>
        <scheme val="minor"/>
      </rPr>
      <t>: Assume gas used at home = gas used at mess(campus)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</si>
</sst>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3" fillId="0" borderId="0" xfId="1" applyBorder="1"/>
    <xf numFmtId="0" fontId="1" fillId="6" borderId="1" xfId="0" applyFont="1" applyFill="1" applyBorder="1"/>
    <xf numFmtId="0" fontId="1" fillId="0" borderId="16" xfId="0" applyFont="1" applyBorder="1" applyAlignment="1">
      <alignment wrapText="1"/>
    </xf>
    <xf numFmtId="0" fontId="0" fillId="6" borderId="12" xfId="0" applyFill="1" applyBorder="1"/>
    <xf numFmtId="0" fontId="0" fillId="6" borderId="9" xfId="0" applyFill="1" applyBorder="1"/>
    <xf numFmtId="0" fontId="0" fillId="6" borderId="19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9" xfId="0" applyBorder="1"/>
    <xf numFmtId="0" fontId="1" fillId="6" borderId="9" xfId="0" applyFont="1" applyFill="1" applyBorder="1"/>
    <xf numFmtId="0" fontId="0" fillId="0" borderId="19" xfId="0" applyBorder="1"/>
    <xf numFmtId="0" fontId="1" fillId="0" borderId="1" xfId="0" applyFont="1" applyBorder="1"/>
    <xf numFmtId="0" fontId="1" fillId="6" borderId="0" xfId="0" applyFont="1" applyFill="1"/>
    <xf numFmtId="0" fontId="4" fillId="0" borderId="0" xfId="0" applyFont="1"/>
    <xf numFmtId="0" fontId="0" fillId="0" borderId="18" xfId="0" applyBorder="1"/>
    <xf numFmtId="0" fontId="1" fillId="0" borderId="16" xfId="0" applyFont="1" applyBorder="1"/>
    <xf numFmtId="0" fontId="1" fillId="3" borderId="1" xfId="0" applyFont="1" applyFill="1" applyBorder="1"/>
    <xf numFmtId="0" fontId="1" fillId="2" borderId="12" xfId="0" applyFont="1" applyFill="1" applyBorder="1"/>
    <xf numFmtId="0" fontId="1" fillId="2" borderId="19" xfId="0" applyFont="1" applyFill="1" applyBorder="1"/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left" vertical="center"/>
    </xf>
    <xf numFmtId="0" fontId="0" fillId="7" borderId="18" xfId="0" applyFill="1" applyBorder="1" applyAlignment="1">
      <alignment horizontal="left" vertical="center"/>
    </xf>
    <xf numFmtId="0" fontId="0" fillId="7" borderId="18" xfId="0" applyFill="1" applyBorder="1" applyAlignment="1">
      <alignment horizontal="left" wrapText="1"/>
    </xf>
    <xf numFmtId="0" fontId="1" fillId="0" borderId="12" xfId="0" applyFont="1" applyBorder="1"/>
    <xf numFmtId="0" fontId="1" fillId="0" borderId="19" xfId="0" applyFont="1" applyBorder="1"/>
    <xf numFmtId="0" fontId="0" fillId="9" borderId="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6" borderId="18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18" xfId="0" applyFill="1" applyBorder="1" applyAlignment="1">
      <alignment horizontal="left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wrapText="1"/>
    </xf>
    <xf numFmtId="0" fontId="5" fillId="0" borderId="0" xfId="0" applyFont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0" fillId="6" borderId="11" xfId="0" applyFill="1" applyBorder="1"/>
    <xf numFmtId="0" fontId="0" fillId="6" borderId="18" xfId="0" applyFill="1" applyBorder="1"/>
    <xf numFmtId="0" fontId="0" fillId="2" borderId="0" xfId="0" applyFill="1"/>
    <xf numFmtId="0" fontId="1" fillId="10" borderId="0" xfId="0" applyFont="1" applyFill="1"/>
    <xf numFmtId="0" fontId="0" fillId="10" borderId="0" xfId="0" applyFill="1"/>
    <xf numFmtId="0" fontId="1" fillId="2" borderId="0" xfId="0" applyFont="1" applyFill="1"/>
    <xf numFmtId="0" fontId="0" fillId="10" borderId="0" xfId="0" applyFill="1" applyAlignment="1">
      <alignment wrapText="1"/>
    </xf>
    <xf numFmtId="0" fontId="0" fillId="10" borderId="5" xfId="0" applyFill="1" applyBorder="1"/>
    <xf numFmtId="0" fontId="2" fillId="0" borderId="0" xfId="0" applyFont="1" applyAlignment="1">
      <alignment horizontal="left"/>
    </xf>
    <xf numFmtId="0" fontId="0" fillId="3" borderId="20" xfId="0" applyFill="1" applyBorder="1"/>
    <xf numFmtId="0" fontId="0" fillId="3" borderId="21" xfId="0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11" xfId="0" applyFill="1" applyBorder="1"/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4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 vertical="center"/>
    </xf>
    <xf numFmtId="0" fontId="0" fillId="3" borderId="21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0" borderId="7" xfId="0" applyBorder="1"/>
    <xf numFmtId="0" fontId="2" fillId="0" borderId="9" xfId="0" applyFont="1" applyBorder="1"/>
    <xf numFmtId="0" fontId="2" fillId="2" borderId="19" xfId="0" applyFont="1" applyFill="1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3" borderId="11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9" borderId="1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0" borderId="8" xfId="0" applyBorder="1" applyAlignment="1">
      <alignment horizontal="center"/>
    </xf>
    <xf numFmtId="0" fontId="0" fillId="10" borderId="0" xfId="0" applyFill="1" applyAlignment="1">
      <alignment horizontal="left" wrapText="1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energy usage in</a:t>
            </a:r>
            <a:r>
              <a:rPr lang="en-US" baseline="0"/>
              <a:t> different countries in kwh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7240942048235"/>
          <c:y val="0.18463149078726968"/>
          <c:w val="0.72605509331576468"/>
          <c:h val="0.658738245030928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B45-429A-8397-23161E882A46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5-429A-8397-23161E882A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45-429A-8397-23161E882A4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5-429A-8397-23161E882A46}"/>
              </c:ext>
            </c:extLst>
          </c:dPt>
          <c:cat>
            <c:strRef>
              <c:f>'Q2'!$F$2:$F$6</c:f>
              <c:strCache>
                <c:ptCount val="5"/>
                <c:pt idx="0">
                  <c:v>Myself</c:v>
                </c:pt>
                <c:pt idx="1">
                  <c:v>India</c:v>
                </c:pt>
                <c:pt idx="2">
                  <c:v>USA</c:v>
                </c:pt>
                <c:pt idx="3">
                  <c:v>China</c:v>
                </c:pt>
                <c:pt idx="4">
                  <c:v>Ethiopia</c:v>
                </c:pt>
              </c:strCache>
            </c:strRef>
          </c:cat>
          <c:val>
            <c:numRef>
              <c:f>'Q2'!$G$2:$G$6</c:f>
              <c:numCache>
                <c:formatCode>General</c:formatCode>
                <c:ptCount val="5"/>
                <c:pt idx="0">
                  <c:v>5486.0099334567903</c:v>
                </c:pt>
                <c:pt idx="1">
                  <c:v>6924</c:v>
                </c:pt>
                <c:pt idx="2">
                  <c:v>79897</c:v>
                </c:pt>
                <c:pt idx="3">
                  <c:v>27452</c:v>
                </c:pt>
                <c:pt idx="4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5-429A-8397-23161E88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994479"/>
        <c:axId val="1531012143"/>
      </c:barChart>
      <c:catAx>
        <c:axId val="152699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12143"/>
        <c:crosses val="autoZero"/>
        <c:auto val="1"/>
        <c:lblAlgn val="ctr"/>
        <c:lblOffset val="100"/>
        <c:noMultiLvlLbl val="0"/>
      </c:catAx>
      <c:valAx>
        <c:axId val="1531012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usage in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9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 energy usage in different countries in MJ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32-45A0-9323-354041A23EFD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2-45A0-9323-354041A23EF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2-45A0-9323-354041A23EF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32-45A0-9323-354041A23EFD}"/>
              </c:ext>
            </c:extLst>
          </c:dPt>
          <c:cat>
            <c:strRef>
              <c:f>'Q2'!$F$2:$F$6</c:f>
              <c:strCache>
                <c:ptCount val="5"/>
                <c:pt idx="0">
                  <c:v>Myself</c:v>
                </c:pt>
                <c:pt idx="1">
                  <c:v>India</c:v>
                </c:pt>
                <c:pt idx="2">
                  <c:v>USA</c:v>
                </c:pt>
                <c:pt idx="3">
                  <c:v>China</c:v>
                </c:pt>
                <c:pt idx="4">
                  <c:v>Ethiopia</c:v>
                </c:pt>
              </c:strCache>
            </c:strRef>
          </c:cat>
          <c:val>
            <c:numRef>
              <c:f>'Q2'!$H$2:$H$6</c:f>
              <c:numCache>
                <c:formatCode>General</c:formatCode>
                <c:ptCount val="5"/>
                <c:pt idx="0">
                  <c:v>19749.635760444446</c:v>
                </c:pt>
                <c:pt idx="1">
                  <c:v>24926.400000000001</c:v>
                </c:pt>
                <c:pt idx="2">
                  <c:v>287629.2</c:v>
                </c:pt>
                <c:pt idx="3">
                  <c:v>98827.199999999997</c:v>
                </c:pt>
                <c:pt idx="4">
                  <c:v>2797.2000000000003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2-45A0-9323-354041A2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50592"/>
        <c:axId val="146053920"/>
      </c:barChart>
      <c:catAx>
        <c:axId val="1460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3920"/>
        <c:crosses val="autoZero"/>
        <c:auto val="1"/>
        <c:lblAlgn val="ctr"/>
        <c:lblOffset val="100"/>
        <c:noMultiLvlLbl val="0"/>
      </c:catAx>
      <c:valAx>
        <c:axId val="14605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usage in MJ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1345</xdr:colOff>
      <xdr:row>7</xdr:row>
      <xdr:rowOff>8964</xdr:rowOff>
    </xdr:from>
    <xdr:to>
      <xdr:col>10</xdr:col>
      <xdr:colOff>397585</xdr:colOff>
      <xdr:row>19</xdr:row>
      <xdr:rowOff>16585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D1068-9E9F-41F8-885A-4F79A889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6</xdr:row>
      <xdr:rowOff>181424</xdr:rowOff>
    </xdr:from>
    <xdr:to>
      <xdr:col>18</xdr:col>
      <xdr:colOff>220420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FA311-9E06-4918-8E59-7492A7908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orientjchem.org/vol35no1/the-main-components-of-vehicle-exhaust-gases-and-their-effective-catalytic-neutralization/" TargetMode="External"/><Relationship Id="rId1" Type="http://schemas.openxmlformats.org/officeDocument/2006/relationships/hyperlink" Target="https://www.epa.gov/greenvehicles/greenhouse-gas-emissions-typical-passenger-vehic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EABB-7E06-477C-BA3A-4A89B9ADE837}">
  <dimension ref="A1:AA38"/>
  <sheetViews>
    <sheetView tabSelected="1" zoomScale="85" zoomScaleNormal="85" workbookViewId="0">
      <selection activeCell="D6" sqref="D6"/>
    </sheetView>
  </sheetViews>
  <sheetFormatPr defaultRowHeight="14.4" x14ac:dyDescent="0.3"/>
  <cols>
    <col min="1" max="1" width="19.109375" customWidth="1"/>
    <col min="2" max="2" width="15.33203125" customWidth="1"/>
    <col min="3" max="3" width="14.6640625" customWidth="1"/>
    <col min="4" max="4" width="14.33203125" customWidth="1"/>
    <col min="5" max="5" width="17.33203125" customWidth="1"/>
    <col min="6" max="7" width="16.6640625" customWidth="1"/>
    <col min="8" max="8" width="11" customWidth="1"/>
    <col min="9" max="9" width="9" customWidth="1"/>
    <col min="10" max="10" width="9.5546875" customWidth="1"/>
    <col min="11" max="11" width="4.88671875" customWidth="1"/>
    <col min="12" max="13" width="9.33203125" customWidth="1"/>
    <col min="14" max="14" width="19" customWidth="1"/>
    <col min="15" max="15" width="17.33203125" customWidth="1"/>
    <col min="16" max="16" width="15.109375" customWidth="1"/>
    <col min="17" max="17" width="17" customWidth="1"/>
    <col min="18" max="18" width="15.6640625" customWidth="1"/>
    <col min="19" max="19" width="13.88671875" customWidth="1"/>
  </cols>
  <sheetData>
    <row r="1" spans="1:27" ht="15" thickBot="1" x14ac:dyDescent="0.35"/>
    <row r="2" spans="1:27" ht="15" thickBot="1" x14ac:dyDescent="0.35">
      <c r="A2" s="129" t="s">
        <v>101</v>
      </c>
      <c r="B2" s="130"/>
      <c r="C2" s="130"/>
      <c r="D2" s="130"/>
      <c r="E2" s="130"/>
      <c r="F2" s="131"/>
      <c r="G2" s="11"/>
      <c r="H2" s="136" t="s">
        <v>126</v>
      </c>
      <c r="I2" s="136"/>
      <c r="J2" s="136"/>
      <c r="N2" s="126" t="s">
        <v>107</v>
      </c>
      <c r="O2" s="127"/>
      <c r="P2" s="127"/>
      <c r="Q2" s="127"/>
      <c r="R2" s="127"/>
      <c r="S2" s="128"/>
    </row>
    <row r="3" spans="1:27" ht="41.25" customHeight="1" x14ac:dyDescent="0.3">
      <c r="A3" s="34" t="s">
        <v>13</v>
      </c>
      <c r="B3" s="35" t="s">
        <v>90</v>
      </c>
      <c r="C3" s="35" t="s">
        <v>89</v>
      </c>
      <c r="D3" s="35" t="s">
        <v>15</v>
      </c>
      <c r="E3" s="35" t="s">
        <v>92</v>
      </c>
      <c r="F3" s="36" t="s">
        <v>94</v>
      </c>
      <c r="G3" s="19"/>
      <c r="H3" s="110" t="s">
        <v>91</v>
      </c>
      <c r="I3" s="111"/>
      <c r="J3" s="112"/>
      <c r="L3" s="20"/>
      <c r="N3" s="34" t="s">
        <v>13</v>
      </c>
      <c r="O3" s="35" t="s">
        <v>90</v>
      </c>
      <c r="P3" s="35" t="s">
        <v>89</v>
      </c>
      <c r="Q3" s="35" t="s">
        <v>15</v>
      </c>
      <c r="R3" s="35" t="s">
        <v>92</v>
      </c>
      <c r="S3" s="36" t="s">
        <v>102</v>
      </c>
    </row>
    <row r="4" spans="1:27" x14ac:dyDescent="0.3">
      <c r="A4" s="37" t="s">
        <v>14</v>
      </c>
      <c r="B4" s="1">
        <v>10</v>
      </c>
      <c r="C4" s="1">
        <v>4.5</v>
      </c>
      <c r="D4" s="1">
        <f t="shared" ref="D4:D13" si="0">B4*C4/1000</f>
        <v>4.4999999999999998E-2</v>
      </c>
      <c r="E4" s="4">
        <f>D4</f>
        <v>4.4999999999999998E-2</v>
      </c>
      <c r="F4" s="40">
        <f>E4*243</f>
        <v>10.934999999999999</v>
      </c>
      <c r="H4" s="47" t="s">
        <v>87</v>
      </c>
      <c r="I4" s="4">
        <v>55000</v>
      </c>
      <c r="J4" s="15"/>
      <c r="N4" s="37" t="s">
        <v>14</v>
      </c>
      <c r="O4" s="1">
        <v>65</v>
      </c>
      <c r="P4" s="1">
        <v>4.5</v>
      </c>
      <c r="Q4" s="1">
        <f t="shared" ref="Q4:Q5" si="1">O4*P4/1000</f>
        <v>0.29249999999999998</v>
      </c>
      <c r="R4" s="13">
        <f>Q4</f>
        <v>0.29249999999999998</v>
      </c>
      <c r="S4" s="22">
        <f>R4*122</f>
        <v>35.684999999999995</v>
      </c>
    </row>
    <row r="5" spans="1:27" x14ac:dyDescent="0.3">
      <c r="A5" s="37" t="s">
        <v>16</v>
      </c>
      <c r="B5" s="1">
        <v>2000</v>
      </c>
      <c r="C5" s="1">
        <v>1</v>
      </c>
      <c r="D5" s="1">
        <f t="shared" si="0"/>
        <v>2</v>
      </c>
      <c r="E5" s="4">
        <f>D5</f>
        <v>2</v>
      </c>
      <c r="F5" s="40">
        <f t="shared" ref="F5:F13" si="2">E5*243</f>
        <v>486</v>
      </c>
      <c r="H5" s="47" t="s">
        <v>25</v>
      </c>
      <c r="I5" s="4">
        <v>45000</v>
      </c>
      <c r="J5" s="15"/>
      <c r="N5" s="37" t="s">
        <v>18</v>
      </c>
      <c r="O5" s="1">
        <v>85</v>
      </c>
      <c r="P5" s="1">
        <v>8</v>
      </c>
      <c r="Q5" s="1">
        <f t="shared" si="1"/>
        <v>0.68</v>
      </c>
      <c r="R5" s="13">
        <f>Q5</f>
        <v>0.68</v>
      </c>
      <c r="S5" s="22">
        <f>R5*122</f>
        <v>82.960000000000008</v>
      </c>
    </row>
    <row r="6" spans="1:27" ht="15" thickBot="1" x14ac:dyDescent="0.35">
      <c r="A6" s="37" t="s">
        <v>23</v>
      </c>
      <c r="B6" s="1">
        <v>749</v>
      </c>
      <c r="C6" s="1">
        <v>0.33</v>
      </c>
      <c r="D6" s="1">
        <f t="shared" si="0"/>
        <v>0.24717000000000003</v>
      </c>
      <c r="E6" s="4">
        <f>D6</f>
        <v>0.24717000000000003</v>
      </c>
      <c r="F6" s="40">
        <f t="shared" si="2"/>
        <v>60.062310000000004</v>
      </c>
      <c r="H6" s="48" t="s">
        <v>26</v>
      </c>
      <c r="I6" s="16">
        <v>3600</v>
      </c>
      <c r="J6" s="17" t="s">
        <v>27</v>
      </c>
      <c r="N6" s="37" t="s">
        <v>22</v>
      </c>
      <c r="O6" s="1">
        <v>10</v>
      </c>
      <c r="P6" s="1">
        <v>2</v>
      </c>
      <c r="Q6" s="1">
        <f t="shared" ref="Q6:Q11" si="3">O6*P6/1000</f>
        <v>0.02</v>
      </c>
      <c r="R6" s="13">
        <f>Q6</f>
        <v>0.02</v>
      </c>
      <c r="S6" s="22">
        <f>R6*122</f>
        <v>2.44</v>
      </c>
      <c r="T6" s="11"/>
    </row>
    <row r="7" spans="1:27" x14ac:dyDescent="0.3">
      <c r="A7" s="37" t="s">
        <v>18</v>
      </c>
      <c r="B7" s="1">
        <v>85</v>
      </c>
      <c r="C7" s="1">
        <v>8</v>
      </c>
      <c r="D7" s="1">
        <f t="shared" si="0"/>
        <v>0.68</v>
      </c>
      <c r="E7" s="4">
        <f>D7</f>
        <v>0.68</v>
      </c>
      <c r="F7" s="40">
        <f t="shared" si="2"/>
        <v>165.24</v>
      </c>
      <c r="N7" s="37" t="s">
        <v>19</v>
      </c>
      <c r="O7" s="1">
        <v>2250</v>
      </c>
      <c r="P7" s="1">
        <v>0.5</v>
      </c>
      <c r="Q7" s="1">
        <f t="shared" si="3"/>
        <v>1.125</v>
      </c>
      <c r="R7" s="13">
        <f>Q7</f>
        <v>1.125</v>
      </c>
      <c r="S7" s="22">
        <f>R7*122</f>
        <v>137.25</v>
      </c>
      <c r="T7" s="103"/>
      <c r="U7" s="103"/>
      <c r="V7" s="103"/>
      <c r="W7" s="103"/>
      <c r="X7" s="103"/>
      <c r="Y7" s="103"/>
    </row>
    <row r="8" spans="1:27" ht="15" thickBot="1" x14ac:dyDescent="0.35">
      <c r="A8" s="37" t="s">
        <v>17</v>
      </c>
      <c r="B8" s="1">
        <v>550</v>
      </c>
      <c r="C8" s="1">
        <v>24</v>
      </c>
      <c r="D8" s="1">
        <f t="shared" si="0"/>
        <v>13.2</v>
      </c>
      <c r="E8" s="4">
        <f>D8/4</f>
        <v>3.3</v>
      </c>
      <c r="F8" s="40">
        <f t="shared" si="2"/>
        <v>801.9</v>
      </c>
      <c r="N8" s="37" t="s">
        <v>104</v>
      </c>
      <c r="O8" s="1">
        <v>80</v>
      </c>
      <c r="P8" s="1">
        <v>2</v>
      </c>
      <c r="Q8" s="1">
        <f t="shared" si="3"/>
        <v>0.16</v>
      </c>
      <c r="R8" s="13">
        <f>Q8</f>
        <v>0.16</v>
      </c>
      <c r="S8" s="22">
        <f>R8*122</f>
        <v>19.52</v>
      </c>
    </row>
    <row r="9" spans="1:27" x14ac:dyDescent="0.3">
      <c r="A9" s="37" t="s">
        <v>24</v>
      </c>
      <c r="B9" s="1">
        <v>80</v>
      </c>
      <c r="C9" s="1">
        <v>7</v>
      </c>
      <c r="D9" s="1">
        <f t="shared" si="0"/>
        <v>0.56000000000000005</v>
      </c>
      <c r="E9" s="4">
        <f>D9/4</f>
        <v>0.14000000000000001</v>
      </c>
      <c r="F9" s="40">
        <f t="shared" si="2"/>
        <v>34.020000000000003</v>
      </c>
      <c r="H9" s="56" t="s">
        <v>12</v>
      </c>
      <c r="I9" s="57" t="s">
        <v>95</v>
      </c>
      <c r="J9" s="58" t="s">
        <v>96</v>
      </c>
      <c r="N9" s="49" t="s">
        <v>105</v>
      </c>
      <c r="O9" s="1">
        <v>800</v>
      </c>
      <c r="P9" s="1">
        <v>5</v>
      </c>
      <c r="Q9" s="1">
        <f t="shared" si="3"/>
        <v>4</v>
      </c>
      <c r="R9" s="13">
        <f>Q9/25</f>
        <v>0.16</v>
      </c>
      <c r="S9" s="22">
        <f>R9*(122-32)</f>
        <v>14.4</v>
      </c>
      <c r="T9" s="104" t="s">
        <v>112</v>
      </c>
      <c r="U9" s="104"/>
      <c r="V9" s="104"/>
      <c r="W9" s="104"/>
      <c r="X9" s="104"/>
      <c r="Y9" s="104"/>
      <c r="Z9" s="104"/>
      <c r="AA9" s="105"/>
    </row>
    <row r="10" spans="1:27" x14ac:dyDescent="0.3">
      <c r="A10" s="37" t="s">
        <v>19</v>
      </c>
      <c r="B10" s="1">
        <v>2250</v>
      </c>
      <c r="C10" s="1">
        <v>2</v>
      </c>
      <c r="D10" s="1">
        <f t="shared" si="0"/>
        <v>4.5</v>
      </c>
      <c r="E10" s="4">
        <f>D10</f>
        <v>4.5</v>
      </c>
      <c r="F10" s="40">
        <f t="shared" si="2"/>
        <v>1093.5</v>
      </c>
      <c r="H10" s="66" t="s">
        <v>0</v>
      </c>
      <c r="I10" s="67">
        <v>31</v>
      </c>
      <c r="J10" s="65" t="s">
        <v>97</v>
      </c>
      <c r="N10" s="49" t="s">
        <v>103</v>
      </c>
      <c r="O10" s="1">
        <v>2000</v>
      </c>
      <c r="P10" s="1">
        <v>5</v>
      </c>
      <c r="Q10" s="1">
        <f t="shared" si="3"/>
        <v>10</v>
      </c>
      <c r="R10" s="13">
        <f>Q10/25</f>
        <v>0.4</v>
      </c>
      <c r="S10" s="22">
        <f>R10*(122-32)</f>
        <v>36</v>
      </c>
      <c r="T10" s="106"/>
      <c r="U10" s="106"/>
      <c r="V10" s="106"/>
      <c r="W10" s="106"/>
      <c r="X10" s="106"/>
      <c r="Y10" s="106"/>
      <c r="Z10" s="106"/>
      <c r="AA10" s="107"/>
    </row>
    <row r="11" spans="1:27" ht="15" thickBot="1" x14ac:dyDescent="0.35">
      <c r="A11" s="37" t="s">
        <v>20</v>
      </c>
      <c r="B11" s="1">
        <v>38</v>
      </c>
      <c r="C11" s="1">
        <v>1</v>
      </c>
      <c r="D11" s="1">
        <f t="shared" si="0"/>
        <v>3.7999999999999999E-2</v>
      </c>
      <c r="E11" s="4">
        <f>D11</f>
        <v>3.7999999999999999E-2</v>
      </c>
      <c r="F11" s="40">
        <f t="shared" si="2"/>
        <v>9.234</v>
      </c>
      <c r="H11" s="66" t="s">
        <v>1</v>
      </c>
      <c r="I11" s="67">
        <v>28</v>
      </c>
      <c r="J11" s="65" t="s">
        <v>97</v>
      </c>
      <c r="N11" s="50" t="s">
        <v>24</v>
      </c>
      <c r="O11" s="23">
        <v>80</v>
      </c>
      <c r="P11" s="23">
        <v>5</v>
      </c>
      <c r="Q11" s="23">
        <f t="shared" si="3"/>
        <v>0.4</v>
      </c>
      <c r="R11" s="24">
        <f>Q11/25</f>
        <v>1.6E-2</v>
      </c>
      <c r="S11" s="25">
        <f>R11*(122-32)</f>
        <v>1.44</v>
      </c>
      <c r="T11" s="108"/>
      <c r="U11" s="108"/>
      <c r="V11" s="108"/>
      <c r="W11" s="108"/>
      <c r="X11" s="108"/>
      <c r="Y11" s="108"/>
      <c r="Z11" s="108"/>
      <c r="AA11" s="109"/>
    </row>
    <row r="12" spans="1:27" ht="15" thickBot="1" x14ac:dyDescent="0.35">
      <c r="A12" s="37" t="s">
        <v>21</v>
      </c>
      <c r="B12" s="1">
        <v>750</v>
      </c>
      <c r="C12" s="1">
        <v>0.05</v>
      </c>
      <c r="D12" s="1">
        <f t="shared" si="0"/>
        <v>3.7499999999999999E-2</v>
      </c>
      <c r="E12" s="4">
        <f>D12</f>
        <v>3.7499999999999999E-2</v>
      </c>
      <c r="F12" s="40">
        <f t="shared" si="2"/>
        <v>9.1124999999999989</v>
      </c>
      <c r="H12" s="66" t="s">
        <v>2</v>
      </c>
      <c r="I12" s="67">
        <v>31</v>
      </c>
      <c r="J12" s="65" t="s">
        <v>97</v>
      </c>
    </row>
    <row r="13" spans="1:27" ht="19.95" customHeight="1" thickBot="1" x14ac:dyDescent="0.35">
      <c r="A13" s="38" t="s">
        <v>22</v>
      </c>
      <c r="B13" s="23">
        <v>10</v>
      </c>
      <c r="C13" s="23">
        <v>2</v>
      </c>
      <c r="D13" s="23">
        <f t="shared" si="0"/>
        <v>0.02</v>
      </c>
      <c r="E13" s="16">
        <f>D13</f>
        <v>0.02</v>
      </c>
      <c r="F13" s="41">
        <f t="shared" si="2"/>
        <v>4.8600000000000003</v>
      </c>
      <c r="H13" s="66" t="s">
        <v>3</v>
      </c>
      <c r="I13" s="67">
        <v>30</v>
      </c>
      <c r="J13" s="65" t="s">
        <v>97</v>
      </c>
      <c r="P13" s="117" t="s">
        <v>108</v>
      </c>
      <c r="Q13" s="118"/>
      <c r="R13" s="118"/>
      <c r="S13" s="30">
        <f>SUM(S4:S11)</f>
        <v>329.69499999999999</v>
      </c>
    </row>
    <row r="14" spans="1:27" ht="15" thickBot="1" x14ac:dyDescent="0.35">
      <c r="E14" s="27"/>
      <c r="H14" s="66" t="s">
        <v>4</v>
      </c>
      <c r="I14" s="67">
        <v>31</v>
      </c>
      <c r="J14" s="65" t="s">
        <v>97</v>
      </c>
    </row>
    <row r="15" spans="1:27" x14ac:dyDescent="0.3">
      <c r="A15" s="129" t="s">
        <v>169</v>
      </c>
      <c r="B15" s="130"/>
      <c r="C15" s="130"/>
      <c r="D15" s="130"/>
      <c r="E15" s="130"/>
      <c r="F15" s="131"/>
      <c r="H15" s="66" t="s">
        <v>5</v>
      </c>
      <c r="I15" s="67">
        <v>30</v>
      </c>
      <c r="J15" s="65" t="s">
        <v>97</v>
      </c>
    </row>
    <row r="16" spans="1:27" ht="29.4" thickBot="1" x14ac:dyDescent="0.35">
      <c r="A16" s="34" t="s">
        <v>13</v>
      </c>
      <c r="B16" s="35" t="s">
        <v>138</v>
      </c>
      <c r="C16" s="35" t="s">
        <v>88</v>
      </c>
      <c r="D16" s="35" t="s">
        <v>15</v>
      </c>
      <c r="E16" s="35" t="s">
        <v>93</v>
      </c>
      <c r="F16" s="36" t="s">
        <v>94</v>
      </c>
      <c r="H16" s="66" t="s">
        <v>6</v>
      </c>
      <c r="I16" s="67">
        <v>31</v>
      </c>
      <c r="J16" s="65" t="s">
        <v>97</v>
      </c>
    </row>
    <row r="17" spans="1:18" ht="43.8" thickBot="1" x14ac:dyDescent="0.35">
      <c r="A17" s="39" t="s">
        <v>125</v>
      </c>
      <c r="B17" s="23">
        <v>14.2</v>
      </c>
      <c r="C17" s="23">
        <f>(B17*I4)/I6</f>
        <v>216.94444444444446</v>
      </c>
      <c r="D17" s="23">
        <f>C17/45</f>
        <v>4.8209876543209882</v>
      </c>
      <c r="E17" s="16">
        <f>D17/4</f>
        <v>1.205246913580247</v>
      </c>
      <c r="F17" s="41">
        <f>E17*365</f>
        <v>439.91512345679018</v>
      </c>
      <c r="G17" s="11"/>
      <c r="H17" s="66" t="s">
        <v>7</v>
      </c>
      <c r="I17" s="67">
        <v>31</v>
      </c>
      <c r="J17" s="65" t="s">
        <v>98</v>
      </c>
      <c r="N17" s="51" t="s">
        <v>119</v>
      </c>
      <c r="O17" s="52" t="s">
        <v>120</v>
      </c>
      <c r="P17" s="52" t="s">
        <v>121</v>
      </c>
      <c r="Q17" s="52" t="s">
        <v>122</v>
      </c>
      <c r="R17" s="53" t="s">
        <v>123</v>
      </c>
    </row>
    <row r="18" spans="1:18" x14ac:dyDescent="0.3">
      <c r="A18" s="28" t="s">
        <v>111</v>
      </c>
      <c r="G18" s="19"/>
      <c r="H18" s="66" t="s">
        <v>8</v>
      </c>
      <c r="I18" s="67">
        <v>30</v>
      </c>
      <c r="J18" s="65" t="s">
        <v>98</v>
      </c>
      <c r="N18" s="54" t="s">
        <v>115</v>
      </c>
      <c r="O18" s="1">
        <f>F25</f>
        <v>5139.7789334567906</v>
      </c>
      <c r="P18" s="1">
        <f>S13</f>
        <v>329.69499999999999</v>
      </c>
      <c r="Q18" s="1">
        <f>F38</f>
        <v>16.536000000000001</v>
      </c>
      <c r="R18" s="32">
        <f>SUM(O18:Q18)</f>
        <v>5486.0099334567903</v>
      </c>
    </row>
    <row r="19" spans="1:18" ht="15" thickBot="1" x14ac:dyDescent="0.35">
      <c r="A19" s="28" t="s">
        <v>170</v>
      </c>
      <c r="H19" s="66" t="s">
        <v>9</v>
      </c>
      <c r="I19" s="67">
        <v>31</v>
      </c>
      <c r="J19" s="65" t="s">
        <v>98</v>
      </c>
      <c r="L19" s="11"/>
      <c r="N19" s="55" t="s">
        <v>63</v>
      </c>
      <c r="O19" s="23">
        <f>O18*3.6</f>
        <v>18503.204160444446</v>
      </c>
      <c r="P19" s="23">
        <f>P18*3.6</f>
        <v>1186.902</v>
      </c>
      <c r="Q19" s="23">
        <f>Q18*3.6</f>
        <v>59.529600000000009</v>
      </c>
      <c r="R19" s="33">
        <f>SUM(O19:Q19)</f>
        <v>19749.635760444449</v>
      </c>
    </row>
    <row r="20" spans="1:18" ht="15" thickBot="1" x14ac:dyDescent="0.35">
      <c r="H20" s="59" t="s">
        <v>10</v>
      </c>
      <c r="I20" s="1">
        <v>30</v>
      </c>
      <c r="J20" s="22" t="s">
        <v>98</v>
      </c>
      <c r="Q20" s="11"/>
    </row>
    <row r="21" spans="1:18" ht="15" thickBot="1" x14ac:dyDescent="0.35">
      <c r="A21" s="132" t="s">
        <v>109</v>
      </c>
      <c r="B21" s="133"/>
      <c r="C21" s="133"/>
      <c r="D21" s="133"/>
      <c r="E21" s="133"/>
      <c r="F21" s="134"/>
      <c r="H21" s="46" t="s">
        <v>11</v>
      </c>
      <c r="I21" s="23">
        <v>31</v>
      </c>
      <c r="J21" s="25" t="s">
        <v>97</v>
      </c>
      <c r="L21" s="11"/>
      <c r="Q21" s="11"/>
    </row>
    <row r="22" spans="1:18" ht="29.4" thickBot="1" x14ac:dyDescent="0.35">
      <c r="A22" s="44" t="s">
        <v>13</v>
      </c>
      <c r="B22" s="42" t="s">
        <v>110</v>
      </c>
      <c r="C22" s="42" t="s">
        <v>88</v>
      </c>
      <c r="D22" s="42" t="s">
        <v>15</v>
      </c>
      <c r="E22" s="42" t="s">
        <v>93</v>
      </c>
      <c r="F22" s="43" t="s">
        <v>94</v>
      </c>
      <c r="Q22" s="11"/>
    </row>
    <row r="23" spans="1:18" ht="15" thickBot="1" x14ac:dyDescent="0.35">
      <c r="A23" s="38" t="s">
        <v>113</v>
      </c>
      <c r="B23" s="23">
        <v>20</v>
      </c>
      <c r="C23" s="23">
        <f>B23*I5/I6</f>
        <v>250</v>
      </c>
      <c r="D23" s="23">
        <f>C23/30</f>
        <v>8.3333333333333339</v>
      </c>
      <c r="E23" s="23">
        <f>D23</f>
        <v>8.3333333333333339</v>
      </c>
      <c r="F23" s="41">
        <f>E23*243</f>
        <v>2025.0000000000002</v>
      </c>
      <c r="H23" s="113" t="s">
        <v>99</v>
      </c>
      <c r="I23" s="114"/>
      <c r="J23" s="7">
        <f>SUM(I10:I16,I21)</f>
        <v>243</v>
      </c>
    </row>
    <row r="24" spans="1:18" ht="15" thickBot="1" x14ac:dyDescent="0.35">
      <c r="H24" s="115" t="s">
        <v>100</v>
      </c>
      <c r="I24" s="116"/>
      <c r="J24" s="9">
        <f>SUM(I17:I20)</f>
        <v>122</v>
      </c>
    </row>
    <row r="25" spans="1:18" ht="43.8" thickBot="1" x14ac:dyDescent="0.35">
      <c r="E25" s="45" t="s">
        <v>106</v>
      </c>
      <c r="F25" s="14">
        <f>SUM(F4:F13,F17,F23)</f>
        <v>5139.7789334567906</v>
      </c>
    </row>
    <row r="27" spans="1:18" ht="15" thickBot="1" x14ac:dyDescent="0.35"/>
    <row r="28" spans="1:18" x14ac:dyDescent="0.3">
      <c r="A28" s="123" t="s">
        <v>114</v>
      </c>
      <c r="B28" s="124"/>
      <c r="C28" s="124"/>
      <c r="D28" s="124"/>
      <c r="E28" s="124"/>
      <c r="F28" s="125"/>
      <c r="G28" s="11"/>
      <c r="H28" s="135" t="s">
        <v>141</v>
      </c>
      <c r="I28" s="135"/>
    </row>
    <row r="29" spans="1:18" x14ac:dyDescent="0.3">
      <c r="A29" s="119" t="s">
        <v>58</v>
      </c>
      <c r="B29" s="120"/>
      <c r="C29" s="120"/>
      <c r="D29" s="120"/>
      <c r="E29" s="120"/>
      <c r="F29" s="22">
        <v>1300</v>
      </c>
      <c r="H29" s="74" t="s">
        <v>139</v>
      </c>
      <c r="I29" s="75"/>
      <c r="J29" s="75"/>
      <c r="K29" s="75"/>
      <c r="L29" s="75"/>
      <c r="M29" s="75"/>
      <c r="N29" s="75"/>
      <c r="O29" s="75"/>
      <c r="P29" s="75"/>
    </row>
    <row r="30" spans="1:18" x14ac:dyDescent="0.3">
      <c r="A30" s="119" t="s">
        <v>117</v>
      </c>
      <c r="B30" s="120"/>
      <c r="C30" s="120"/>
      <c r="D30" s="120"/>
      <c r="E30" s="120"/>
      <c r="F30" s="22">
        <v>20</v>
      </c>
      <c r="H30" s="75" t="s">
        <v>140</v>
      </c>
      <c r="I30" s="75"/>
      <c r="J30" s="75"/>
      <c r="K30" s="75"/>
      <c r="L30" s="75"/>
      <c r="M30" s="75"/>
      <c r="N30" s="75"/>
      <c r="O30" s="75"/>
      <c r="P30" s="75"/>
    </row>
    <row r="31" spans="1:18" x14ac:dyDescent="0.3">
      <c r="A31" s="119" t="s">
        <v>118</v>
      </c>
      <c r="B31" s="120"/>
      <c r="C31" s="120"/>
      <c r="D31" s="120"/>
      <c r="E31" s="120"/>
      <c r="F31" s="22">
        <v>159</v>
      </c>
      <c r="H31" s="74" t="s">
        <v>142</v>
      </c>
      <c r="I31" s="75"/>
      <c r="J31" s="75"/>
      <c r="K31" s="75"/>
      <c r="L31" s="75"/>
      <c r="M31" s="75"/>
      <c r="N31" s="75"/>
      <c r="O31" s="75"/>
      <c r="P31" s="75"/>
    </row>
    <row r="32" spans="1:18" x14ac:dyDescent="0.3">
      <c r="A32" s="119" t="s">
        <v>116</v>
      </c>
      <c r="B32" s="120"/>
      <c r="C32" s="120"/>
      <c r="D32" s="120"/>
      <c r="E32" s="120"/>
      <c r="F32" s="22">
        <f>F29*F30*F31/1000</f>
        <v>4134</v>
      </c>
      <c r="H32" s="75" t="s">
        <v>143</v>
      </c>
      <c r="I32" s="75"/>
      <c r="J32" s="75"/>
      <c r="K32" s="75"/>
      <c r="L32" s="75"/>
      <c r="M32" s="75"/>
      <c r="N32" s="75"/>
      <c r="O32" s="75"/>
      <c r="P32" s="75"/>
    </row>
    <row r="33" spans="1:16" x14ac:dyDescent="0.3">
      <c r="A33" s="119" t="s">
        <v>59</v>
      </c>
      <c r="B33" s="120"/>
      <c r="C33" s="120"/>
      <c r="D33" s="120"/>
      <c r="E33" s="120"/>
      <c r="F33" s="22">
        <v>1000</v>
      </c>
      <c r="H33" s="74" t="s">
        <v>144</v>
      </c>
      <c r="I33" s="75"/>
      <c r="J33" s="75"/>
      <c r="K33" s="75"/>
      <c r="L33" s="75"/>
      <c r="M33" s="75"/>
      <c r="N33" s="75"/>
      <c r="O33" s="75"/>
      <c r="P33" s="75"/>
    </row>
    <row r="34" spans="1:16" x14ac:dyDescent="0.3">
      <c r="A34" s="119" t="s">
        <v>60</v>
      </c>
      <c r="B34" s="120"/>
      <c r="C34" s="120"/>
      <c r="D34" s="120"/>
      <c r="E34" s="120"/>
      <c r="F34" s="22">
        <f>F32/F33</f>
        <v>4.1340000000000003</v>
      </c>
      <c r="H34" s="75" t="s">
        <v>145</v>
      </c>
      <c r="I34" s="75"/>
      <c r="J34" s="75"/>
      <c r="K34" s="75"/>
      <c r="L34" s="75"/>
      <c r="M34" s="75"/>
      <c r="N34" s="75"/>
      <c r="O34" s="75"/>
      <c r="P34" s="75"/>
    </row>
    <row r="35" spans="1:16" ht="15" thickBot="1" x14ac:dyDescent="0.35">
      <c r="A35" s="121" t="s">
        <v>61</v>
      </c>
      <c r="B35" s="122"/>
      <c r="C35" s="122"/>
      <c r="D35" s="122"/>
      <c r="E35" s="122"/>
      <c r="F35" s="25">
        <v>4</v>
      </c>
    </row>
    <row r="36" spans="1:16" x14ac:dyDescent="0.3">
      <c r="F36" s="11"/>
    </row>
    <row r="37" spans="1:16" ht="15" thickBot="1" x14ac:dyDescent="0.35">
      <c r="F37" s="11"/>
    </row>
    <row r="38" spans="1:16" ht="43.8" thickBot="1" x14ac:dyDescent="0.35">
      <c r="E38" s="45" t="s">
        <v>124</v>
      </c>
      <c r="F38" s="30">
        <f>F34*F35</f>
        <v>16.536000000000001</v>
      </c>
    </row>
  </sheetData>
  <mergeCells count="20">
    <mergeCell ref="N2:S2"/>
    <mergeCell ref="A2:F2"/>
    <mergeCell ref="A21:F21"/>
    <mergeCell ref="A15:F15"/>
    <mergeCell ref="H28:I28"/>
    <mergeCell ref="H2:J2"/>
    <mergeCell ref="A33:E33"/>
    <mergeCell ref="A34:E34"/>
    <mergeCell ref="A35:E35"/>
    <mergeCell ref="A28:F28"/>
    <mergeCell ref="A29:E29"/>
    <mergeCell ref="A30:E30"/>
    <mergeCell ref="A31:E31"/>
    <mergeCell ref="A32:E32"/>
    <mergeCell ref="T7:Y7"/>
    <mergeCell ref="T9:AA11"/>
    <mergeCell ref="H3:J3"/>
    <mergeCell ref="H23:I23"/>
    <mergeCell ref="H24:I24"/>
    <mergeCell ref="P13:R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A520-25DD-44BE-990B-84BB991A4B6B}">
  <dimension ref="A1:P35"/>
  <sheetViews>
    <sheetView zoomScale="85" zoomScaleNormal="85" workbookViewId="0">
      <selection activeCell="S13" sqref="S13"/>
    </sheetView>
  </sheetViews>
  <sheetFormatPr defaultRowHeight="14.4" x14ac:dyDescent="0.3"/>
  <cols>
    <col min="2" max="2" width="13.33203125" customWidth="1"/>
    <col min="3" max="3" width="12.44140625" customWidth="1"/>
    <col min="7" max="7" width="16.109375" customWidth="1"/>
    <col min="8" max="8" width="18" customWidth="1"/>
  </cols>
  <sheetData>
    <row r="1" spans="1:13" x14ac:dyDescent="0.3">
      <c r="A1" s="138" t="s">
        <v>33</v>
      </c>
      <c r="B1" s="139"/>
      <c r="C1" s="139"/>
      <c r="D1" s="140"/>
      <c r="E1" s="6"/>
      <c r="F1" s="68" t="s">
        <v>84</v>
      </c>
      <c r="G1" s="69" t="s">
        <v>85</v>
      </c>
      <c r="H1" s="70" t="s">
        <v>86</v>
      </c>
      <c r="I1" s="6"/>
    </row>
    <row r="2" spans="1:13" s="11" customFormat="1" x14ac:dyDescent="0.3">
      <c r="A2" s="63" t="s">
        <v>136</v>
      </c>
      <c r="B2" s="31" t="s">
        <v>31</v>
      </c>
      <c r="C2" s="31" t="s">
        <v>30</v>
      </c>
      <c r="D2" s="64" t="s">
        <v>62</v>
      </c>
      <c r="F2" s="71" t="s">
        <v>64</v>
      </c>
      <c r="G2" s="1">
        <v>5486.0099334567903</v>
      </c>
      <c r="H2" s="22">
        <f>G2*3.6</f>
        <v>19749.635760444446</v>
      </c>
    </row>
    <row r="3" spans="1:13" x14ac:dyDescent="0.3">
      <c r="A3" s="10">
        <v>1</v>
      </c>
      <c r="B3" s="1" t="s">
        <v>32</v>
      </c>
      <c r="C3" s="1">
        <v>6924</v>
      </c>
      <c r="D3" s="22">
        <f>C3*3.6</f>
        <v>24926.400000000001</v>
      </c>
      <c r="F3" s="71" t="s">
        <v>65</v>
      </c>
      <c r="G3" s="4">
        <v>6924</v>
      </c>
      <c r="H3" s="22">
        <f t="shared" ref="H3:H6" si="0">G3*3.6</f>
        <v>24926.400000000001</v>
      </c>
    </row>
    <row r="4" spans="1:13" x14ac:dyDescent="0.3">
      <c r="A4" s="10">
        <v>2</v>
      </c>
      <c r="B4" s="1" t="s">
        <v>34</v>
      </c>
      <c r="C4" s="1">
        <v>32250</v>
      </c>
      <c r="D4" s="22">
        <f t="shared" ref="D4:D21" si="1">C4*3.6</f>
        <v>116100</v>
      </c>
      <c r="F4" s="71" t="s">
        <v>35</v>
      </c>
      <c r="G4" s="4">
        <v>79897</v>
      </c>
      <c r="H4" s="22">
        <f t="shared" si="0"/>
        <v>287629.2</v>
      </c>
    </row>
    <row r="5" spans="1:13" x14ac:dyDescent="0.3">
      <c r="A5" s="10">
        <v>3</v>
      </c>
      <c r="B5" s="1" t="s">
        <v>35</v>
      </c>
      <c r="C5" s="1">
        <v>79897</v>
      </c>
      <c r="D5" s="22">
        <f t="shared" si="1"/>
        <v>287629.2</v>
      </c>
      <c r="F5" s="71" t="s">
        <v>66</v>
      </c>
      <c r="G5" s="4">
        <v>27452</v>
      </c>
      <c r="H5" s="22">
        <f t="shared" si="0"/>
        <v>98827.199999999997</v>
      </c>
      <c r="M5" s="62"/>
    </row>
    <row r="6" spans="1:13" ht="15" thickBot="1" x14ac:dyDescent="0.35">
      <c r="A6" s="10">
        <v>4</v>
      </c>
      <c r="B6" s="1" t="s">
        <v>36</v>
      </c>
      <c r="C6" s="1">
        <v>43703</v>
      </c>
      <c r="D6" s="22">
        <f t="shared" si="1"/>
        <v>157330.80000000002</v>
      </c>
      <c r="F6" s="72" t="s">
        <v>67</v>
      </c>
      <c r="G6" s="16">
        <v>777</v>
      </c>
      <c r="H6" s="25">
        <f t="shared" si="0"/>
        <v>2797.2000000000003</v>
      </c>
      <c r="M6" s="28"/>
    </row>
    <row r="7" spans="1:13" x14ac:dyDescent="0.3">
      <c r="A7" s="10">
        <v>5</v>
      </c>
      <c r="B7" s="1" t="s">
        <v>37</v>
      </c>
      <c r="C7" s="1">
        <v>40889</v>
      </c>
      <c r="D7" s="22">
        <f t="shared" si="1"/>
        <v>147200.4</v>
      </c>
    </row>
    <row r="8" spans="1:13" x14ac:dyDescent="0.3">
      <c r="A8" s="10">
        <v>6</v>
      </c>
      <c r="B8" s="1" t="s">
        <v>38</v>
      </c>
      <c r="C8" s="1">
        <v>105540</v>
      </c>
      <c r="D8" s="22">
        <f t="shared" si="1"/>
        <v>379944</v>
      </c>
    </row>
    <row r="9" spans="1:13" x14ac:dyDescent="0.3">
      <c r="A9" s="10">
        <v>7</v>
      </c>
      <c r="B9" s="1" t="s">
        <v>39</v>
      </c>
      <c r="C9" s="1">
        <v>1906</v>
      </c>
      <c r="D9" s="22">
        <f t="shared" si="1"/>
        <v>6861.6</v>
      </c>
    </row>
    <row r="10" spans="1:13" x14ac:dyDescent="0.3">
      <c r="A10" s="10">
        <v>8</v>
      </c>
      <c r="B10" s="1" t="s">
        <v>40</v>
      </c>
      <c r="C10" s="1">
        <v>473</v>
      </c>
      <c r="D10" s="22">
        <f t="shared" si="1"/>
        <v>1702.8</v>
      </c>
    </row>
    <row r="11" spans="1:13" x14ac:dyDescent="0.3">
      <c r="A11" s="10">
        <v>9</v>
      </c>
      <c r="B11" s="1" t="s">
        <v>41</v>
      </c>
      <c r="C11" s="1">
        <v>27452</v>
      </c>
      <c r="D11" s="22">
        <f t="shared" si="1"/>
        <v>98827.199999999997</v>
      </c>
    </row>
    <row r="12" spans="1:13" x14ac:dyDescent="0.3">
      <c r="A12" s="10">
        <v>10</v>
      </c>
      <c r="B12" s="1" t="s">
        <v>42</v>
      </c>
      <c r="C12" s="1">
        <v>2995</v>
      </c>
      <c r="D12" s="22">
        <f t="shared" si="1"/>
        <v>10782</v>
      </c>
    </row>
    <row r="13" spans="1:13" x14ac:dyDescent="0.3">
      <c r="A13" s="10">
        <v>11</v>
      </c>
      <c r="B13" s="1" t="s">
        <v>43</v>
      </c>
      <c r="C13" s="1">
        <v>41354</v>
      </c>
      <c r="D13" s="22">
        <f t="shared" si="1"/>
        <v>148874.4</v>
      </c>
    </row>
    <row r="14" spans="1:13" x14ac:dyDescent="0.3">
      <c r="A14" s="10">
        <v>12</v>
      </c>
      <c r="B14" s="1" t="s">
        <v>44</v>
      </c>
      <c r="C14" s="1">
        <v>1721</v>
      </c>
      <c r="D14" s="22">
        <f t="shared" si="1"/>
        <v>6195.6</v>
      </c>
    </row>
    <row r="15" spans="1:13" x14ac:dyDescent="0.3">
      <c r="A15" s="10">
        <v>13</v>
      </c>
      <c r="B15" s="1" t="s">
        <v>45</v>
      </c>
      <c r="C15" s="1">
        <v>4567</v>
      </c>
      <c r="D15" s="22">
        <f t="shared" si="1"/>
        <v>16441.2</v>
      </c>
    </row>
    <row r="16" spans="1:13" x14ac:dyDescent="0.3">
      <c r="A16" s="10">
        <v>14</v>
      </c>
      <c r="B16" s="1" t="s">
        <v>46</v>
      </c>
      <c r="C16" s="1">
        <v>4672</v>
      </c>
      <c r="D16" s="22">
        <f t="shared" si="1"/>
        <v>16819.2</v>
      </c>
    </row>
    <row r="17" spans="1:16" x14ac:dyDescent="0.3">
      <c r="A17" s="10">
        <v>15</v>
      </c>
      <c r="B17" s="1" t="s">
        <v>47</v>
      </c>
      <c r="C17" s="1">
        <v>137318</v>
      </c>
      <c r="D17" s="22">
        <f t="shared" si="1"/>
        <v>494344.8</v>
      </c>
    </row>
    <row r="18" spans="1:16" x14ac:dyDescent="0.3">
      <c r="A18" s="10">
        <v>16</v>
      </c>
      <c r="B18" s="1" t="s">
        <v>48</v>
      </c>
      <c r="C18" s="1">
        <v>1038</v>
      </c>
      <c r="D18" s="22">
        <f t="shared" si="1"/>
        <v>3736.8</v>
      </c>
    </row>
    <row r="19" spans="1:16" x14ac:dyDescent="0.3">
      <c r="A19" s="10">
        <v>17</v>
      </c>
      <c r="B19" s="1" t="s">
        <v>49</v>
      </c>
      <c r="C19" s="1">
        <v>716</v>
      </c>
      <c r="D19" s="22">
        <f t="shared" si="1"/>
        <v>2577.6</v>
      </c>
    </row>
    <row r="20" spans="1:16" x14ac:dyDescent="0.3">
      <c r="A20" s="10">
        <v>18</v>
      </c>
      <c r="B20" s="1" t="s">
        <v>50</v>
      </c>
      <c r="C20" s="1">
        <v>33586</v>
      </c>
      <c r="D20" s="22">
        <f t="shared" si="1"/>
        <v>120909.6</v>
      </c>
    </row>
    <row r="21" spans="1:16" ht="15" thickBot="1" x14ac:dyDescent="0.35">
      <c r="A21" s="29">
        <v>19</v>
      </c>
      <c r="B21" s="23" t="s">
        <v>51</v>
      </c>
      <c r="C21" s="23">
        <v>1010</v>
      </c>
      <c r="D21" s="25">
        <f t="shared" si="1"/>
        <v>3636</v>
      </c>
    </row>
    <row r="23" spans="1:16" x14ac:dyDescent="0.3">
      <c r="A23" s="76" t="s">
        <v>146</v>
      </c>
      <c r="B23" s="73"/>
      <c r="C23" s="73"/>
      <c r="D23" s="73"/>
      <c r="E23" s="73"/>
    </row>
    <row r="24" spans="1:16" x14ac:dyDescent="0.3">
      <c r="A24" s="75" t="s">
        <v>147</v>
      </c>
      <c r="B24" s="77"/>
      <c r="C24" s="77"/>
      <c r="D24" s="77"/>
      <c r="E24" s="77"/>
      <c r="F24" s="77"/>
      <c r="G24" s="77"/>
      <c r="H24" s="77"/>
      <c r="I24" s="77"/>
      <c r="J24" s="77"/>
      <c r="K24" s="75"/>
      <c r="L24" s="75"/>
      <c r="M24" s="75"/>
      <c r="N24" s="75"/>
      <c r="O24" s="75"/>
      <c r="P24" s="75"/>
    </row>
    <row r="25" spans="1:16" ht="11.25" customHeight="1" x14ac:dyDescent="0.3">
      <c r="A25" s="75" t="s">
        <v>149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</row>
    <row r="26" spans="1:16" ht="15" customHeight="1" x14ac:dyDescent="0.3">
      <c r="A26" s="75" t="s">
        <v>150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</row>
    <row r="27" spans="1:16" ht="15" customHeight="1" x14ac:dyDescent="0.3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</row>
    <row r="28" spans="1:16" x14ac:dyDescent="0.3">
      <c r="A28" s="75" t="s">
        <v>148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  <row r="29" spans="1:16" x14ac:dyDescent="0.3">
      <c r="A29" s="75" t="s">
        <v>152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</row>
    <row r="30" spans="1:16" x14ac:dyDescent="0.3">
      <c r="A30" s="75" t="s">
        <v>151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</row>
    <row r="32" spans="1:16" x14ac:dyDescent="0.3">
      <c r="A32" s="76" t="s">
        <v>153</v>
      </c>
      <c r="B32" s="76"/>
      <c r="C32" s="76"/>
      <c r="D32" s="76"/>
      <c r="E32" s="76"/>
      <c r="F32" s="76"/>
      <c r="G32" s="76"/>
    </row>
    <row r="33" spans="1:16" ht="27.75" customHeight="1" x14ac:dyDescent="0.3">
      <c r="A33" s="137" t="s">
        <v>156</v>
      </c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</row>
    <row r="34" spans="1:16" x14ac:dyDescent="0.3">
      <c r="A34" s="78" t="s">
        <v>154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</row>
    <row r="35" spans="1:16" x14ac:dyDescent="0.3">
      <c r="A35" s="75" t="s">
        <v>155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</sheetData>
  <mergeCells count="2">
    <mergeCell ref="A33:P33"/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E74E-A3EB-4A42-AC7B-936E19946C21}">
  <dimension ref="A1:K39"/>
  <sheetViews>
    <sheetView zoomScale="85" zoomScaleNormal="85" workbookViewId="0">
      <selection activeCell="F20" sqref="F20"/>
    </sheetView>
  </sheetViews>
  <sheetFormatPr defaultRowHeight="14.4" x14ac:dyDescent="0.3"/>
  <cols>
    <col min="1" max="1" width="18.33203125" customWidth="1"/>
    <col min="2" max="2" width="15.21875" customWidth="1"/>
    <col min="3" max="3" width="15.33203125" customWidth="1"/>
    <col min="4" max="4" width="20.5546875" customWidth="1"/>
    <col min="5" max="5" width="20.33203125" customWidth="1"/>
    <col min="6" max="6" width="23.44140625" customWidth="1"/>
    <col min="7" max="7" width="28" customWidth="1"/>
    <col min="8" max="8" width="11.44140625" customWidth="1"/>
    <col min="9" max="9" width="8.77734375" customWidth="1"/>
  </cols>
  <sheetData>
    <row r="1" spans="1:11" ht="15" thickBot="1" x14ac:dyDescent="0.35">
      <c r="A1" s="141" t="s">
        <v>56</v>
      </c>
      <c r="B1" s="142"/>
      <c r="C1" s="142"/>
      <c r="D1" s="143"/>
    </row>
    <row r="3" spans="1:11" ht="15" thickBot="1" x14ac:dyDescent="0.35">
      <c r="C3" s="21"/>
      <c r="D3" s="21"/>
      <c r="E3" s="21"/>
    </row>
    <row r="4" spans="1:11" x14ac:dyDescent="0.3">
      <c r="A4" s="80" t="s">
        <v>83</v>
      </c>
      <c r="B4" s="81" t="s">
        <v>69</v>
      </c>
      <c r="C4" s="82" t="s">
        <v>70</v>
      </c>
      <c r="D4" s="83" t="s">
        <v>71</v>
      </c>
      <c r="E4" s="21"/>
      <c r="G4" s="95" t="s">
        <v>137</v>
      </c>
      <c r="H4" s="96"/>
      <c r="I4" s="97"/>
    </row>
    <row r="5" spans="1:11" x14ac:dyDescent="0.3">
      <c r="A5" s="84" t="s">
        <v>55</v>
      </c>
      <c r="B5" s="1">
        <v>0.85</v>
      </c>
      <c r="C5" s="5">
        <v>8.0399999999999991</v>
      </c>
      <c r="D5" s="85">
        <v>2.42</v>
      </c>
      <c r="E5" s="144" t="s">
        <v>157</v>
      </c>
      <c r="F5" s="144"/>
      <c r="G5" s="98" t="s">
        <v>73</v>
      </c>
      <c r="H5" s="60">
        <v>3.78</v>
      </c>
      <c r="I5" s="99" t="s">
        <v>75</v>
      </c>
    </row>
    <row r="6" spans="1:11" ht="15" thickBot="1" x14ac:dyDescent="0.35">
      <c r="A6" s="84" t="s">
        <v>28</v>
      </c>
      <c r="B6" s="1">
        <v>0.22720000000000001</v>
      </c>
      <c r="C6" s="5">
        <v>6.9999999999999999E-4</v>
      </c>
      <c r="D6" s="85">
        <v>0.16919999999999999</v>
      </c>
      <c r="E6" s="144"/>
      <c r="F6" s="144"/>
      <c r="G6" s="100" t="s">
        <v>74</v>
      </c>
      <c r="H6" s="101">
        <f>20*8</f>
        <v>160</v>
      </c>
      <c r="I6" s="102" t="s">
        <v>75</v>
      </c>
    </row>
    <row r="7" spans="1:11" ht="33.6" customHeight="1" x14ac:dyDescent="0.3">
      <c r="A7" s="10"/>
      <c r="B7" s="61" t="s">
        <v>72</v>
      </c>
      <c r="C7" s="2" t="s">
        <v>82</v>
      </c>
      <c r="D7" s="86" t="s">
        <v>79</v>
      </c>
      <c r="E7" s="21"/>
    </row>
    <row r="8" spans="1:11" ht="15" thickBot="1" x14ac:dyDescent="0.35">
      <c r="A8" s="87" t="s">
        <v>29</v>
      </c>
      <c r="B8" s="23">
        <v>8887</v>
      </c>
      <c r="C8" s="23">
        <f>2.4*10^-4</f>
        <v>2.4000000000000001E-4</v>
      </c>
      <c r="D8" s="88">
        <v>1.2999999999999999E-2</v>
      </c>
      <c r="E8" s="79" t="s">
        <v>157</v>
      </c>
      <c r="G8" s="73" t="s">
        <v>161</v>
      </c>
    </row>
    <row r="9" spans="1:11" x14ac:dyDescent="0.3">
      <c r="C9" s="21"/>
      <c r="D9" s="21"/>
      <c r="E9" s="21"/>
      <c r="F9" s="21"/>
      <c r="G9" s="75" t="s">
        <v>162</v>
      </c>
      <c r="H9" s="75"/>
      <c r="I9" s="75"/>
      <c r="J9" s="75"/>
      <c r="K9" s="75"/>
    </row>
    <row r="10" spans="1:11" x14ac:dyDescent="0.3">
      <c r="C10" s="21"/>
      <c r="D10" s="21"/>
      <c r="E10" s="21"/>
    </row>
    <row r="11" spans="1:11" ht="15" thickBot="1" x14ac:dyDescent="0.35"/>
    <row r="12" spans="1:11" ht="43.2" customHeight="1" x14ac:dyDescent="0.3">
      <c r="A12" s="89"/>
      <c r="B12" s="90" t="s">
        <v>167</v>
      </c>
      <c r="C12" s="90" t="s">
        <v>163</v>
      </c>
      <c r="D12" s="90" t="s">
        <v>164</v>
      </c>
      <c r="E12" s="90" t="s">
        <v>165</v>
      </c>
      <c r="F12" s="90" t="s">
        <v>166</v>
      </c>
      <c r="G12" s="91" t="s">
        <v>168</v>
      </c>
      <c r="H12" s="20"/>
    </row>
    <row r="13" spans="1:11" x14ac:dyDescent="0.3">
      <c r="A13" s="84" t="s">
        <v>55</v>
      </c>
      <c r="B13" s="1">
        <v>3064.7013100000004</v>
      </c>
      <c r="C13" s="1" t="s">
        <v>52</v>
      </c>
      <c r="D13" s="26">
        <f>B5*B13</f>
        <v>2604.9961135000003</v>
      </c>
      <c r="E13" s="26">
        <f>B6*B14</f>
        <v>99.948716049382739</v>
      </c>
      <c r="F13" s="26">
        <f>((B8*H6)/H5)/1000</f>
        <v>376.16931216931221</v>
      </c>
      <c r="G13" s="32">
        <f>SUM(D13:F13)</f>
        <v>3081.1141417186955</v>
      </c>
    </row>
    <row r="14" spans="1:11" x14ac:dyDescent="0.3">
      <c r="A14" s="84" t="s">
        <v>28</v>
      </c>
      <c r="B14" s="1">
        <v>439.91512345679018</v>
      </c>
      <c r="C14" s="1" t="s">
        <v>53</v>
      </c>
      <c r="D14" s="26">
        <f>C5*B13/1000</f>
        <v>24.640198532400003</v>
      </c>
      <c r="E14" s="26">
        <f>C6*B14/1000</f>
        <v>3.0794058641975313E-4</v>
      </c>
      <c r="F14" s="26">
        <f>C8*H6</f>
        <v>3.8400000000000004E-2</v>
      </c>
      <c r="G14" s="32">
        <f>SUM(D14:F14)</f>
        <v>24.678906472986423</v>
      </c>
    </row>
    <row r="15" spans="1:11" x14ac:dyDescent="0.3">
      <c r="A15" s="84" t="s">
        <v>29</v>
      </c>
      <c r="B15" s="1">
        <v>2041.5360000000003</v>
      </c>
      <c r="C15" s="1" t="s">
        <v>54</v>
      </c>
      <c r="D15" s="26">
        <f>D5*B13/1000</f>
        <v>7.416577170200001</v>
      </c>
      <c r="E15" s="26">
        <f>D6*B14/1000</f>
        <v>7.4433638888888889E-2</v>
      </c>
      <c r="F15" s="26">
        <f>D8*H6</f>
        <v>2.08</v>
      </c>
      <c r="G15" s="32">
        <f>SUM(D15:E15)</f>
        <v>7.4910108090888903</v>
      </c>
    </row>
    <row r="16" spans="1:11" ht="15" thickBot="1" x14ac:dyDescent="0.35">
      <c r="A16" s="92"/>
      <c r="B16" s="8"/>
      <c r="C16" s="8"/>
      <c r="D16" s="8"/>
      <c r="E16" s="8"/>
      <c r="F16" s="93" t="s">
        <v>57</v>
      </c>
      <c r="G16" s="94">
        <f>SUM(G13:G15)</f>
        <v>3113.2840590007709</v>
      </c>
    </row>
    <row r="17" spans="1:2" s="8" customFormat="1" ht="15" thickBot="1" x14ac:dyDescent="0.35"/>
    <row r="19" spans="1:2" x14ac:dyDescent="0.3">
      <c r="A19" s="3" t="s">
        <v>76</v>
      </c>
    </row>
    <row r="20" spans="1:2" ht="43.2" x14ac:dyDescent="0.3">
      <c r="A20" s="18" t="s">
        <v>128</v>
      </c>
      <c r="B20" t="s">
        <v>129</v>
      </c>
    </row>
    <row r="21" spans="1:2" ht="28.8" x14ac:dyDescent="0.3">
      <c r="A21" s="18" t="s">
        <v>131</v>
      </c>
      <c r="B21" t="s">
        <v>130</v>
      </c>
    </row>
    <row r="22" spans="1:2" ht="28.8" x14ac:dyDescent="0.3">
      <c r="A22" s="18" t="s">
        <v>158</v>
      </c>
      <c r="B22" t="s">
        <v>132</v>
      </c>
    </row>
    <row r="23" spans="1:2" ht="28.8" x14ac:dyDescent="0.3">
      <c r="A23" s="18" t="s">
        <v>159</v>
      </c>
      <c r="B23" t="s">
        <v>160</v>
      </c>
    </row>
    <row r="24" spans="1:2" ht="28.8" x14ac:dyDescent="0.3">
      <c r="A24" s="18" t="s">
        <v>133</v>
      </c>
      <c r="B24" t="s">
        <v>68</v>
      </c>
    </row>
    <row r="25" spans="1:2" ht="28.8" x14ac:dyDescent="0.3">
      <c r="A25" s="18" t="s">
        <v>134</v>
      </c>
      <c r="B25" t="s">
        <v>77</v>
      </c>
    </row>
    <row r="26" spans="1:2" ht="28.8" x14ac:dyDescent="0.3">
      <c r="A26" s="18" t="s">
        <v>135</v>
      </c>
      <c r="B26" s="12" t="s">
        <v>78</v>
      </c>
    </row>
    <row r="27" spans="1:2" x14ac:dyDescent="0.3">
      <c r="A27" s="18" t="s">
        <v>81</v>
      </c>
      <c r="B27" s="12" t="s">
        <v>80</v>
      </c>
    </row>
    <row r="39" spans="8:8" x14ac:dyDescent="0.3">
      <c r="H39" t="s">
        <v>127</v>
      </c>
    </row>
  </sheetData>
  <mergeCells count="2">
    <mergeCell ref="A1:D1"/>
    <mergeCell ref="E5:F6"/>
  </mergeCells>
  <hyperlinks>
    <hyperlink ref="B26" r:id="rId1" xr:uid="{05D53967-ABAD-4BAE-94E1-0F66014E8CFC}"/>
    <hyperlink ref="B27" r:id="rId2" location=":~:text=The%20exhaust%20gases%20of%20vehicles,1%20liter%20of%20fuel%20(tab." xr:uid="{FBD0B255-6B84-4D01-A558-C44AD03E519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Vinutha S R</dc:creator>
  <cp:lastModifiedBy>Shreya</cp:lastModifiedBy>
  <dcterms:created xsi:type="dcterms:W3CDTF">2022-01-17T11:17:02Z</dcterms:created>
  <dcterms:modified xsi:type="dcterms:W3CDTF">2023-01-20T10:27:01Z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2023-01-20T07:56:24Z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0c793d3a-9ac3-4dd0-9419-a3bc2a2d3033</vt:lpwstr>
  </property>
  <property fmtid="{D5CDD505-2E9C-101B-9397-08002B2CF9AE}" pid="7" name="MSIP_Label_defa4170-0d19-0005-0004-bc88714345d2_ActionId">
    <vt:lpwstr>4c249408-5b9b-4911-967f-5e4b417743ef</vt:lpwstr>
  </property>
  <property fmtid="{D5CDD505-2E9C-101B-9397-08002B2CF9AE}" pid="8" name="MSIP_Label_defa4170-0d19-0005-0004-bc88714345d2_ContentBits">
    <vt:lpwstr>0</vt:lpwstr>
  </property>
</Properties>
</file>