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pivotTables/pivotTable1.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7.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8.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9.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10.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11.xml" ContentType="application/vnd.openxmlformats-officedocument.drawing+xml"/>
  <Override PartName="/xl/slicers/slicer2.xml" ContentType="application/vnd.ms-excel.slicer+xml"/>
  <Override PartName="/xl/timelines/timeline1.xml" ContentType="application/vnd.ms-excel.timeline+xml"/>
  <Override PartName="/xl/pivotTables/pivotTable8.xml" ContentType="application/vnd.openxmlformats-officedocument.spreadsheetml.pivotTable+xml"/>
  <Override PartName="/xl/drawings/drawing12.xml" ContentType="application/vnd.openxmlformats-officedocument.drawing+xml"/>
  <Override PartName="/xl/charts/chartEx1.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hidePivotFieldList="1" showPivotChartFilter="1" defaultThemeVersion="124226"/>
  <mc:AlternateContent xmlns:mc="http://schemas.openxmlformats.org/markup-compatibility/2006">
    <mc:Choice Requires="x15">
      <x15ac:absPath xmlns:x15ac="http://schemas.microsoft.com/office/spreadsheetml/2010/11/ac" url="C:\Users\sures\3D Objects\Data Analytics\1) Excel\3) Data Sets\"/>
    </mc:Choice>
  </mc:AlternateContent>
  <xr:revisionPtr revIDLastSave="0" documentId="13_ncr:1_{F0AA175C-C0A5-4055-88B0-7C7AE533E178}" xr6:coauthVersionLast="47" xr6:coauthVersionMax="47" xr10:uidLastSave="{00000000-0000-0000-0000-000000000000}"/>
  <bookViews>
    <workbookView xWindow="-84" yWindow="0" windowWidth="11616" windowHeight="12192" tabRatio="551" firstSheet="45" activeTab="46" xr2:uid="{00000000-000D-0000-FFFF-FFFF00000000}"/>
  </bookViews>
  <sheets>
    <sheet name="1) Day 1" sheetId="91" r:id="rId1"/>
    <sheet name="2) Functions" sheetId="13" r:id="rId2"/>
    <sheet name="3) Rating" sheetId="14" r:id="rId3"/>
    <sheet name="4) Income Tax" sheetId="15" r:id="rId4"/>
    <sheet name="5) Sales" sheetId="16" r:id="rId5"/>
    <sheet name="6) Single Formula" sheetId="69" r:id="rId6"/>
    <sheet name="7) Multiple Criteria Totals" sheetId="48" r:id="rId7"/>
    <sheet name="8) AND-OR-NOT" sheetId="92" r:id="rId8"/>
    <sheet name="9) Extract Data (Vlookup)" sheetId="19" r:id="rId9"/>
    <sheet name="10) Extract Data (Hlookup)" sheetId="93" r:id="rId10"/>
    <sheet name="11) Data Set 1" sheetId="77" r:id="rId11"/>
    <sheet name="12) Data Set 2" sheetId="78" r:id="rId12"/>
    <sheet name="13) Data Set 3" sheetId="79" r:id="rId13"/>
    <sheet name="14) Final Data" sheetId="80" r:id="rId14"/>
    <sheet name="15) Tax Rate" sheetId="20" r:id="rId15"/>
    <sheet name="16) General" sheetId="24" r:id="rId16"/>
    <sheet name="17) Index+Match" sheetId="88" r:id="rId17"/>
    <sheet name="18) Date Conversions" sheetId="72" r:id="rId18"/>
    <sheet name="19) Employee Age Calculation" sheetId="74" r:id="rId19"/>
    <sheet name="20) Project End Date" sheetId="66" r:id="rId20"/>
    <sheet name="21) Project Working Days" sheetId="67" r:id="rId21"/>
    <sheet name="22) Random Numbers &amp; Rank" sheetId="89" r:id="rId22"/>
    <sheet name="23) IS Functions" sheetId="84" r:id="rId23"/>
    <sheet name="24) Text Cleanup" sheetId="75" r:id="rId24"/>
    <sheet name="25) Text Functions" sheetId="90" r:id="rId25"/>
    <sheet name="26) Filters" sheetId="21" r:id="rId26"/>
    <sheet name="27) Calculate EMI" sheetId="22" r:id="rId27"/>
    <sheet name="28) One variable table" sheetId="29" r:id="rId28"/>
    <sheet name="29) Two Variable Table" sheetId="30" r:id="rId29"/>
    <sheet name="30) Ref" sheetId="23" r:id="rId30"/>
    <sheet name="31) Product Costing" sheetId="81" r:id="rId31"/>
    <sheet name="32) Dependent Filters" sheetId="85" r:id="rId32"/>
    <sheet name="33) Conditional Formatting (I)" sheetId="86" r:id="rId33"/>
    <sheet name="34) Conditional Formatting (II)" sheetId="87" r:id="rId34"/>
    <sheet name="35) Simple Offset" sheetId="82" r:id="rId35"/>
    <sheet name="36) Group_Ungroup_Subtotal" sheetId="39" r:id="rId36"/>
    <sheet name="37) Restricting Data Entry" sheetId="71" r:id="rId37"/>
    <sheet name="38) Pivot Table" sheetId="32" r:id="rId38"/>
    <sheet name="39) PT1 (Pie)" sheetId="94" r:id="rId39"/>
    <sheet name="40) PT2 (Clustered Column)" sheetId="95" r:id="rId40"/>
    <sheet name="41) PT3 (Filter)" sheetId="96" r:id="rId41"/>
    <sheet name="42) PT4 (Slicer)" sheetId="97" r:id="rId42"/>
    <sheet name="43) PT5 (Doughnut)" sheetId="98" r:id="rId43"/>
    <sheet name="44) PT6 (Calculated Fields)" sheetId="99" r:id="rId44"/>
    <sheet name="45) PT7 (Insert Timeline)" sheetId="100" r:id="rId45"/>
    <sheet name="46) PT8 (Map)" sheetId="101" r:id="rId46"/>
    <sheet name="47) Enable Options" sheetId="102" r:id="rId47"/>
  </sheets>
  <definedNames>
    <definedName name="_xlnm._FilterDatabase" localSheetId="25" hidden="1">'26) Filters'!$A$1:$I$95</definedName>
    <definedName name="_xlnm._FilterDatabase" localSheetId="32" hidden="1">'33) Conditional Formatting (I)'!$A$1:$H$10</definedName>
    <definedName name="_xlnm._FilterDatabase" localSheetId="35" hidden="1">'36) Group_Ungroup_Subtotal'!$A$50:$E$67</definedName>
    <definedName name="_xlchart.v5.0" hidden="1">'46) PT8 (Map)'!$A$14</definedName>
    <definedName name="_xlchart.v5.1" hidden="1">'46) PT8 (Map)'!$A$15</definedName>
    <definedName name="_xlchart.v5.2" hidden="1">'46) PT8 (Map)'!$B$15</definedName>
    <definedName name="Basic_Price">'31) Product Costing'!$D$1:$D$31</definedName>
    <definedName name="COGS">'7) Multiple Criteria Totals'!$H$9:$H$572</definedName>
    <definedName name="Columns">'32) Dependent Filters'!$A$1:$E$1</definedName>
    <definedName name="Customer">'7) Multiple Criteria Totals'!$E$9:$E$572</definedName>
    <definedName name="Date">'7) Multiple Criteria Totals'!$C$9:$C$572</definedName>
    <definedName name="Finance">'32) Dependent Filters'!$C$2:$C$4</definedName>
    <definedName name="Finance_dep">'32) Dependent Filters'!$C$1:$C$4</definedName>
    <definedName name="Healthcare">'32) Dependent Filters'!$D$2:$D$3</definedName>
    <definedName name="Healthcare_dep">'32) Dependent Filters'!$D$1:$D$3</definedName>
    <definedName name="HR">'32) Dependent Filters'!$A$2:$A$4</definedName>
    <definedName name="HR_Dep">'32) Dependent Filters'!$A$1:$A$4</definedName>
    <definedName name="IT">'32) Dependent Filters'!$E$2:$E$6</definedName>
    <definedName name="IT_dep">'32) Dependent Filters'!$E$1:$E$6</definedName>
    <definedName name="Marketing">'32) Dependent Filters'!$B$2:$B$5</definedName>
    <definedName name="Marketing_dep">'32) Dependent Filters'!$B$1:$B$5</definedName>
    <definedName name="Month">'31) Product Costing'!$E$1:$E$31</definedName>
    <definedName name="NativeTimeline_Order_Date">#N/A</definedName>
    <definedName name="Price_Unit">'31) Product Costing'!$C$1:$C$31</definedName>
    <definedName name="Product">'7) Multiple Criteria Totals'!$B$9:$B$572</definedName>
    <definedName name="Product_Code">'31) Product Costing'!$A$1:$A$31</definedName>
    <definedName name="Product_Name">'31) Product Costing'!$B$1:$B$31</definedName>
    <definedName name="Profit">'7) Multiple Criteria Totals'!$I$9:$I$572</definedName>
    <definedName name="Quantity">'7) Multiple Criteria Totals'!$F$9:$F$572</definedName>
    <definedName name="Region">'7) Multiple Criteria Totals'!$A$9:$A$572</definedName>
    <definedName name="Region_product_costing">'31) Product Costing'!$F$1:$F$31</definedName>
    <definedName name="Revenue">'7) Multiple Criteria Totals'!$G$9:$G$572</definedName>
    <definedName name="Slicer_Order_Date">#N/A</definedName>
    <definedName name="Slicer_Region">#N/A</definedName>
    <definedName name="Units_Sold">'31) Product Costing'!$J$1:$J$31</definedName>
    <definedName name="Year">'7) Multiple Criteria Totals'!$D$9:$D$572</definedName>
  </definedNames>
  <calcPr calcId="191029"/>
  <customWorkbookViews>
    <customWorkbookView name="Jayanth - Personal View" guid="{BBE43EB8-AC5B-419E-90E4-72D0C525AF66}" mergeInterval="0" personalView="1" maximized="1" xWindow="1" yWindow="1" windowWidth="1024" windowHeight="550" activeSheetId="18"/>
  </customWorkbookViews>
  <pivotCaches>
    <pivotCache cacheId="0" r:id="rId48"/>
  </pivotCaches>
  <extLst>
    <ext xmlns:x14="http://schemas.microsoft.com/office/spreadsheetml/2009/9/main" uri="{BBE1A952-AA13-448e-AADC-164F8A28A991}">
      <x14:slicerCaches>
        <x14:slicerCache r:id="rId49"/>
        <x14:slicerCache r:id="rId5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1"/>
      </x15:timelineCacheRefs>
    </ext>
  </extLst>
</workbook>
</file>

<file path=xl/calcChain.xml><?xml version="1.0" encoding="utf-8"?>
<calcChain xmlns="http://schemas.openxmlformats.org/spreadsheetml/2006/main">
  <c r="E68" i="39" l="1"/>
  <c r="E62" i="39"/>
  <c r="E56" i="39"/>
  <c r="E69" i="39" s="1"/>
  <c r="E44" i="39"/>
  <c r="E38" i="39"/>
  <c r="E32" i="39"/>
  <c r="E45" i="39" s="1"/>
  <c r="G9" i="82"/>
  <c r="H9" i="82"/>
  <c r="I9" i="82"/>
  <c r="H8" i="82"/>
  <c r="I8" i="82"/>
  <c r="G8" i="82"/>
  <c r="G3" i="82"/>
  <c r="G2" i="82"/>
  <c r="B3" i="87"/>
  <c r="B4" i="87"/>
  <c r="B5" i="87"/>
  <c r="B6" i="87"/>
  <c r="B7" i="87"/>
  <c r="B8" i="87"/>
  <c r="B9" i="87"/>
  <c r="B10" i="87"/>
  <c r="B11" i="87"/>
  <c r="B12" i="87"/>
  <c r="B13" i="87"/>
  <c r="B14" i="87"/>
  <c r="B15" i="87"/>
  <c r="B16" i="87"/>
  <c r="B17" i="87"/>
  <c r="B18" i="87"/>
  <c r="B19" i="87"/>
  <c r="B20" i="87"/>
  <c r="B21" i="87"/>
  <c r="B22" i="87"/>
  <c r="B23" i="87"/>
  <c r="B24" i="87"/>
  <c r="B25" i="87"/>
  <c r="B26" i="87"/>
  <c r="B27" i="87"/>
  <c r="B28" i="87"/>
  <c r="B29" i="87"/>
  <c r="B30" i="87"/>
  <c r="B31" i="87"/>
  <c r="B2" i="87"/>
  <c r="M31" i="81"/>
  <c r="M32" i="81"/>
  <c r="M33" i="81"/>
  <c r="M34" i="81"/>
  <c r="M30" i="81"/>
  <c r="M15" i="81"/>
  <c r="N15" i="81"/>
  <c r="O15" i="81"/>
  <c r="P15" i="81"/>
  <c r="M16" i="81"/>
  <c r="N16" i="81"/>
  <c r="O16" i="81"/>
  <c r="P16" i="81"/>
  <c r="M17" i="81"/>
  <c r="N17" i="81"/>
  <c r="O17" i="81"/>
  <c r="P17" i="81"/>
  <c r="M18" i="81"/>
  <c r="N18" i="81"/>
  <c r="O18" i="81"/>
  <c r="P18" i="81"/>
  <c r="N14" i="81"/>
  <c r="O14" i="81"/>
  <c r="P14" i="81"/>
  <c r="M23" i="81"/>
  <c r="M24" i="81"/>
  <c r="M25" i="81"/>
  <c r="M26" i="81"/>
  <c r="M22" i="81"/>
  <c r="M14" i="81"/>
  <c r="O10" i="81"/>
  <c r="O9" i="81"/>
  <c r="N10" i="81"/>
  <c r="N9" i="81"/>
  <c r="M3" i="81"/>
  <c r="M4" i="81"/>
  <c r="M5" i="81"/>
  <c r="M6" i="81"/>
  <c r="M2" i="81"/>
  <c r="H11" i="23"/>
  <c r="D2" i="23" a="1"/>
  <c r="D2" i="23" s="1"/>
  <c r="B4" i="30"/>
  <c r="C6" i="29"/>
  <c r="E2" i="29"/>
  <c r="D7" i="29"/>
  <c r="D8" i="29"/>
  <c r="D9" i="29"/>
  <c r="D10" i="29"/>
  <c r="D11" i="29"/>
  <c r="D12" i="29"/>
  <c r="D13" i="29"/>
  <c r="D14" i="29"/>
  <c r="D6" i="29"/>
  <c r="C6" i="22"/>
  <c r="D6" i="90"/>
  <c r="E3" i="90"/>
  <c r="E4" i="90"/>
  <c r="E5" i="90"/>
  <c r="E6" i="90"/>
  <c r="E2" i="90"/>
  <c r="C3" i="90"/>
  <c r="C4" i="90"/>
  <c r="C5" i="90"/>
  <c r="C6" i="90"/>
  <c r="C2" i="90"/>
  <c r="G3" i="90"/>
  <c r="G4" i="90"/>
  <c r="G5" i="90"/>
  <c r="G6" i="90"/>
  <c r="G2" i="90"/>
  <c r="F3" i="90"/>
  <c r="F4" i="90"/>
  <c r="F5" i="90"/>
  <c r="F6" i="90"/>
  <c r="F2" i="90"/>
  <c r="R3" i="75"/>
  <c r="R4" i="75"/>
  <c r="R5" i="75"/>
  <c r="R6" i="75"/>
  <c r="R7" i="75"/>
  <c r="R8" i="75"/>
  <c r="R9" i="75"/>
  <c r="R10" i="75"/>
  <c r="R11" i="75"/>
  <c r="R12" i="75"/>
  <c r="R13" i="75"/>
  <c r="R14" i="75"/>
  <c r="R15" i="75"/>
  <c r="R16" i="75"/>
  <c r="R17" i="75"/>
  <c r="R18" i="75"/>
  <c r="R19" i="75"/>
  <c r="R20" i="75"/>
  <c r="R21" i="75"/>
  <c r="R22" i="75"/>
  <c r="R23" i="75"/>
  <c r="R24" i="75"/>
  <c r="R25" i="75"/>
  <c r="R26" i="75"/>
  <c r="R27" i="75"/>
  <c r="R28" i="75"/>
  <c r="R29" i="75"/>
  <c r="R30" i="75"/>
  <c r="R31" i="75"/>
  <c r="R32" i="75"/>
  <c r="R33" i="75"/>
  <c r="R34" i="75"/>
  <c r="R35" i="75"/>
  <c r="R36" i="75"/>
  <c r="R37" i="75"/>
  <c r="R38" i="75"/>
  <c r="R39" i="75"/>
  <c r="R40" i="75"/>
  <c r="R41" i="75"/>
  <c r="R42" i="75"/>
  <c r="R43" i="75"/>
  <c r="R44" i="75"/>
  <c r="R45" i="75"/>
  <c r="R46" i="75"/>
  <c r="R47" i="75"/>
  <c r="R48" i="75"/>
  <c r="R49" i="75"/>
  <c r="R50" i="75"/>
  <c r="R51" i="75"/>
  <c r="R52" i="75"/>
  <c r="R53" i="75"/>
  <c r="R54" i="75"/>
  <c r="R55" i="75"/>
  <c r="R56" i="75"/>
  <c r="R57" i="75"/>
  <c r="R58" i="75"/>
  <c r="R59" i="75"/>
  <c r="R60" i="75"/>
  <c r="R61" i="75"/>
  <c r="R62" i="75"/>
  <c r="R63" i="75"/>
  <c r="R64" i="75"/>
  <c r="R65" i="75"/>
  <c r="R66" i="75"/>
  <c r="R67" i="75"/>
  <c r="R68" i="75"/>
  <c r="R69" i="75"/>
  <c r="R70" i="75"/>
  <c r="R71" i="75"/>
  <c r="R72" i="75"/>
  <c r="R73" i="75"/>
  <c r="R74" i="75"/>
  <c r="R75" i="75"/>
  <c r="R76" i="75"/>
  <c r="R77" i="75"/>
  <c r="R78" i="75"/>
  <c r="R79" i="75"/>
  <c r="R80" i="75"/>
  <c r="R81" i="75"/>
  <c r="R82" i="75"/>
  <c r="R83" i="75"/>
  <c r="R84" i="75"/>
  <c r="R85" i="75"/>
  <c r="R86" i="75"/>
  <c r="R87" i="75"/>
  <c r="R88" i="75"/>
  <c r="R89" i="75"/>
  <c r="R90" i="75"/>
  <c r="R91" i="75"/>
  <c r="R92" i="75"/>
  <c r="R93" i="75"/>
  <c r="R94" i="75"/>
  <c r="R95" i="75"/>
  <c r="R2" i="75"/>
  <c r="Q3" i="75"/>
  <c r="Q4" i="75"/>
  <c r="Q5" i="75"/>
  <c r="Q6" i="75"/>
  <c r="Q7" i="75"/>
  <c r="Q8" i="75"/>
  <c r="Q9" i="75"/>
  <c r="Q10" i="75"/>
  <c r="Q11" i="75"/>
  <c r="Q12" i="75"/>
  <c r="Q13" i="75"/>
  <c r="Q14" i="75"/>
  <c r="Q15" i="75"/>
  <c r="Q16" i="75"/>
  <c r="Q17" i="75"/>
  <c r="Q18" i="75"/>
  <c r="Q19" i="75"/>
  <c r="Q20" i="75"/>
  <c r="Q21" i="75"/>
  <c r="Q22" i="75"/>
  <c r="Q23" i="75"/>
  <c r="Q24" i="75"/>
  <c r="Q25" i="75"/>
  <c r="Q26" i="75"/>
  <c r="Q27" i="75"/>
  <c r="Q28" i="75"/>
  <c r="Q29" i="75"/>
  <c r="Q30" i="75"/>
  <c r="Q31" i="75"/>
  <c r="Q32" i="75"/>
  <c r="Q33" i="75"/>
  <c r="Q34" i="75"/>
  <c r="Q35" i="75"/>
  <c r="Q36" i="75"/>
  <c r="Q37" i="75"/>
  <c r="Q38" i="75"/>
  <c r="Q39" i="75"/>
  <c r="Q40" i="75"/>
  <c r="Q41" i="75"/>
  <c r="Q42" i="75"/>
  <c r="Q43" i="75"/>
  <c r="Q44" i="75"/>
  <c r="Q45" i="75"/>
  <c r="Q46" i="75"/>
  <c r="Q47" i="75"/>
  <c r="Q48" i="75"/>
  <c r="Q49" i="75"/>
  <c r="Q50" i="75"/>
  <c r="Q51" i="75"/>
  <c r="Q52" i="75"/>
  <c r="Q53" i="75"/>
  <c r="Q54" i="75"/>
  <c r="Q55" i="75"/>
  <c r="Q56" i="75"/>
  <c r="Q57" i="75"/>
  <c r="Q58" i="75"/>
  <c r="Q59" i="75"/>
  <c r="Q60" i="75"/>
  <c r="Q61" i="75"/>
  <c r="Q62" i="75"/>
  <c r="Q63" i="75"/>
  <c r="Q64" i="75"/>
  <c r="Q65" i="75"/>
  <c r="Q66" i="75"/>
  <c r="Q67" i="75"/>
  <c r="Q68" i="75"/>
  <c r="Q69" i="75"/>
  <c r="Q70" i="75"/>
  <c r="Q71" i="75"/>
  <c r="Q72" i="75"/>
  <c r="Q73" i="75"/>
  <c r="Q74" i="75"/>
  <c r="Q75" i="75"/>
  <c r="Q76" i="75"/>
  <c r="Q77" i="75"/>
  <c r="Q78" i="75"/>
  <c r="Q79" i="75"/>
  <c r="Q80" i="75"/>
  <c r="Q81" i="75"/>
  <c r="Q82" i="75"/>
  <c r="Q83" i="75"/>
  <c r="Q84" i="75"/>
  <c r="Q85" i="75"/>
  <c r="Q86" i="75"/>
  <c r="Q87" i="75"/>
  <c r="Q88" i="75"/>
  <c r="Q89" i="75"/>
  <c r="Q90" i="75"/>
  <c r="Q91" i="75"/>
  <c r="Q92" i="75"/>
  <c r="Q93" i="75"/>
  <c r="Q94" i="75"/>
  <c r="Q95" i="75"/>
  <c r="Q2" i="75"/>
  <c r="P3" i="75"/>
  <c r="P4" i="75"/>
  <c r="P5" i="75"/>
  <c r="P6" i="75"/>
  <c r="P7" i="75"/>
  <c r="P8" i="75"/>
  <c r="P9" i="75"/>
  <c r="P10" i="75"/>
  <c r="P11" i="75"/>
  <c r="P12" i="75"/>
  <c r="P13" i="75"/>
  <c r="P14" i="75"/>
  <c r="P15" i="75"/>
  <c r="P16" i="75"/>
  <c r="P17" i="75"/>
  <c r="P18" i="75"/>
  <c r="P19" i="75"/>
  <c r="P20" i="75"/>
  <c r="P21" i="75"/>
  <c r="P22" i="75"/>
  <c r="P23" i="75"/>
  <c r="P24" i="75"/>
  <c r="P25" i="75"/>
  <c r="P26" i="75"/>
  <c r="P27" i="75"/>
  <c r="P28" i="75"/>
  <c r="P29" i="75"/>
  <c r="P30" i="75"/>
  <c r="P31" i="75"/>
  <c r="P32" i="75"/>
  <c r="P33" i="75"/>
  <c r="P34" i="75"/>
  <c r="P35" i="75"/>
  <c r="P36" i="75"/>
  <c r="P37" i="75"/>
  <c r="P38" i="75"/>
  <c r="P39" i="75"/>
  <c r="P40" i="75"/>
  <c r="P41" i="75"/>
  <c r="P42" i="75"/>
  <c r="P43" i="75"/>
  <c r="P44" i="75"/>
  <c r="P45" i="75"/>
  <c r="P46" i="75"/>
  <c r="P47" i="75"/>
  <c r="P48" i="75"/>
  <c r="P49" i="75"/>
  <c r="P50" i="75"/>
  <c r="P51" i="75"/>
  <c r="P52" i="75"/>
  <c r="P53" i="75"/>
  <c r="P54" i="75"/>
  <c r="P55" i="75"/>
  <c r="P56" i="75"/>
  <c r="P57" i="75"/>
  <c r="P58" i="75"/>
  <c r="P59" i="75"/>
  <c r="P60" i="75"/>
  <c r="P61" i="75"/>
  <c r="P62" i="75"/>
  <c r="P63" i="75"/>
  <c r="P64" i="75"/>
  <c r="P65" i="75"/>
  <c r="P66" i="75"/>
  <c r="P67" i="75"/>
  <c r="P68" i="75"/>
  <c r="P69" i="75"/>
  <c r="P70" i="75"/>
  <c r="P71" i="75"/>
  <c r="P72" i="75"/>
  <c r="P73" i="75"/>
  <c r="P74" i="75"/>
  <c r="P75" i="75"/>
  <c r="P76" i="75"/>
  <c r="P77" i="75"/>
  <c r="P78" i="75"/>
  <c r="P79" i="75"/>
  <c r="P80" i="75"/>
  <c r="P81" i="75"/>
  <c r="P82" i="75"/>
  <c r="P83" i="75"/>
  <c r="P84" i="75"/>
  <c r="P85" i="75"/>
  <c r="P86" i="75"/>
  <c r="P87" i="75"/>
  <c r="P88" i="75"/>
  <c r="P89" i="75"/>
  <c r="P90" i="75"/>
  <c r="P91" i="75"/>
  <c r="P92" i="75"/>
  <c r="P93" i="75"/>
  <c r="P94" i="75"/>
  <c r="P95" i="75"/>
  <c r="P2" i="75"/>
  <c r="O3" i="75"/>
  <c r="O4" i="75"/>
  <c r="O5" i="75"/>
  <c r="O6" i="75"/>
  <c r="O7" i="75"/>
  <c r="O8" i="75"/>
  <c r="O9" i="75"/>
  <c r="O10" i="75"/>
  <c r="O11" i="75"/>
  <c r="O12" i="75"/>
  <c r="O13" i="75"/>
  <c r="O14" i="75"/>
  <c r="O15" i="75"/>
  <c r="O16" i="75"/>
  <c r="O17" i="75"/>
  <c r="O18" i="75"/>
  <c r="O19" i="75"/>
  <c r="O20" i="75"/>
  <c r="O21" i="75"/>
  <c r="O22" i="75"/>
  <c r="O23" i="75"/>
  <c r="O24" i="75"/>
  <c r="O25" i="75"/>
  <c r="O26" i="75"/>
  <c r="O27" i="75"/>
  <c r="O28" i="75"/>
  <c r="O29" i="75"/>
  <c r="O30" i="75"/>
  <c r="O31" i="75"/>
  <c r="O32" i="75"/>
  <c r="O33" i="75"/>
  <c r="O34" i="75"/>
  <c r="O35" i="75"/>
  <c r="O36" i="75"/>
  <c r="O37" i="75"/>
  <c r="O38" i="75"/>
  <c r="O39" i="75"/>
  <c r="O40" i="75"/>
  <c r="O41" i="75"/>
  <c r="O42" i="75"/>
  <c r="O43" i="75"/>
  <c r="O44" i="75"/>
  <c r="O45" i="75"/>
  <c r="O46" i="75"/>
  <c r="O47" i="75"/>
  <c r="O48" i="75"/>
  <c r="O49" i="75"/>
  <c r="O50" i="75"/>
  <c r="O51" i="75"/>
  <c r="O52" i="75"/>
  <c r="O53" i="75"/>
  <c r="O54" i="75"/>
  <c r="O55" i="75"/>
  <c r="O56" i="75"/>
  <c r="O57" i="75"/>
  <c r="O58" i="75"/>
  <c r="O59" i="75"/>
  <c r="O60" i="75"/>
  <c r="O61" i="75"/>
  <c r="O62" i="75"/>
  <c r="O63" i="75"/>
  <c r="O64" i="75"/>
  <c r="O65" i="75"/>
  <c r="O66" i="75"/>
  <c r="O67" i="75"/>
  <c r="O68" i="75"/>
  <c r="O69" i="75"/>
  <c r="O70" i="75"/>
  <c r="O71" i="75"/>
  <c r="O72" i="75"/>
  <c r="O73" i="75"/>
  <c r="O74" i="75"/>
  <c r="O75" i="75"/>
  <c r="O76" i="75"/>
  <c r="O77" i="75"/>
  <c r="O78" i="75"/>
  <c r="O79" i="75"/>
  <c r="O80" i="75"/>
  <c r="O81" i="75"/>
  <c r="O82" i="75"/>
  <c r="O83" i="75"/>
  <c r="O84" i="75"/>
  <c r="O85" i="75"/>
  <c r="O86" i="75"/>
  <c r="O87" i="75"/>
  <c r="O88" i="75"/>
  <c r="O89" i="75"/>
  <c r="O90" i="75"/>
  <c r="O91" i="75"/>
  <c r="O92" i="75"/>
  <c r="O93" i="75"/>
  <c r="O94" i="75"/>
  <c r="O95" i="75"/>
  <c r="O2" i="75"/>
  <c r="N3" i="75"/>
  <c r="N4" i="75"/>
  <c r="N5" i="75"/>
  <c r="N6" i="75"/>
  <c r="N7" i="75"/>
  <c r="N8" i="75"/>
  <c r="N9" i="75"/>
  <c r="N10" i="75"/>
  <c r="N11" i="75"/>
  <c r="N12" i="75"/>
  <c r="N13" i="75"/>
  <c r="N14" i="75"/>
  <c r="N15" i="75"/>
  <c r="N16" i="75"/>
  <c r="N17" i="75"/>
  <c r="N18" i="75"/>
  <c r="N19" i="75"/>
  <c r="N20" i="75"/>
  <c r="N21" i="75"/>
  <c r="N22" i="75"/>
  <c r="N23" i="75"/>
  <c r="N24" i="75"/>
  <c r="N25" i="75"/>
  <c r="N26" i="75"/>
  <c r="N27" i="75"/>
  <c r="N28" i="75"/>
  <c r="N29" i="75"/>
  <c r="N30" i="75"/>
  <c r="N31" i="75"/>
  <c r="N32" i="75"/>
  <c r="N33" i="75"/>
  <c r="N34" i="75"/>
  <c r="N35" i="75"/>
  <c r="N36" i="75"/>
  <c r="N37" i="75"/>
  <c r="N38" i="75"/>
  <c r="N39" i="75"/>
  <c r="N40" i="75"/>
  <c r="N41" i="75"/>
  <c r="N42" i="75"/>
  <c r="N43" i="75"/>
  <c r="N44" i="75"/>
  <c r="N45" i="75"/>
  <c r="N46" i="75"/>
  <c r="N47" i="75"/>
  <c r="N48" i="75"/>
  <c r="N49" i="75"/>
  <c r="N50" i="75"/>
  <c r="N51" i="75"/>
  <c r="N52" i="75"/>
  <c r="N53" i="75"/>
  <c r="N54" i="75"/>
  <c r="N55" i="75"/>
  <c r="N56" i="75"/>
  <c r="N57" i="75"/>
  <c r="N58" i="75"/>
  <c r="N59" i="75"/>
  <c r="N60" i="75"/>
  <c r="N61" i="75"/>
  <c r="N62" i="75"/>
  <c r="N63" i="75"/>
  <c r="N64" i="75"/>
  <c r="N65" i="75"/>
  <c r="N66" i="75"/>
  <c r="N67" i="75"/>
  <c r="N68" i="75"/>
  <c r="N69" i="75"/>
  <c r="N70" i="75"/>
  <c r="N71" i="75"/>
  <c r="N72" i="75"/>
  <c r="N73" i="75"/>
  <c r="N74" i="75"/>
  <c r="N75" i="75"/>
  <c r="N76" i="75"/>
  <c r="N77" i="75"/>
  <c r="N78" i="75"/>
  <c r="N79" i="75"/>
  <c r="N80" i="75"/>
  <c r="N81" i="75"/>
  <c r="N82" i="75"/>
  <c r="N83" i="75"/>
  <c r="N84" i="75"/>
  <c r="N85" i="75"/>
  <c r="N86" i="75"/>
  <c r="N87" i="75"/>
  <c r="N88" i="75"/>
  <c r="N89" i="75"/>
  <c r="N90" i="75"/>
  <c r="N91" i="75"/>
  <c r="N92" i="75"/>
  <c r="N93" i="75"/>
  <c r="N94" i="75"/>
  <c r="N95" i="75"/>
  <c r="N2" i="75"/>
  <c r="M3" i="75"/>
  <c r="M4" i="75"/>
  <c r="M5" i="75"/>
  <c r="M6" i="75"/>
  <c r="M7" i="75"/>
  <c r="M8" i="75"/>
  <c r="M9" i="75"/>
  <c r="M10" i="75"/>
  <c r="M11" i="75"/>
  <c r="M12" i="75"/>
  <c r="M13" i="75"/>
  <c r="M14" i="75"/>
  <c r="M15" i="75"/>
  <c r="M16" i="75"/>
  <c r="M17" i="75"/>
  <c r="M18" i="75"/>
  <c r="M19" i="75"/>
  <c r="M20" i="75"/>
  <c r="M21" i="75"/>
  <c r="M22" i="75"/>
  <c r="M23" i="75"/>
  <c r="M24" i="75"/>
  <c r="M25" i="75"/>
  <c r="M26" i="75"/>
  <c r="M27" i="75"/>
  <c r="M28" i="75"/>
  <c r="M29" i="75"/>
  <c r="M30" i="75"/>
  <c r="M31" i="75"/>
  <c r="M32" i="75"/>
  <c r="M33" i="75"/>
  <c r="M34" i="75"/>
  <c r="M35" i="75"/>
  <c r="M36" i="75"/>
  <c r="M37" i="75"/>
  <c r="M38" i="75"/>
  <c r="M39" i="75"/>
  <c r="M40" i="75"/>
  <c r="M41" i="75"/>
  <c r="M42" i="75"/>
  <c r="M43" i="75"/>
  <c r="M44" i="75"/>
  <c r="M45" i="75"/>
  <c r="M46" i="75"/>
  <c r="M47" i="75"/>
  <c r="M48" i="75"/>
  <c r="M49" i="75"/>
  <c r="M50" i="75"/>
  <c r="M51" i="75"/>
  <c r="M52" i="75"/>
  <c r="M53" i="75"/>
  <c r="M54" i="75"/>
  <c r="M55" i="75"/>
  <c r="M56" i="75"/>
  <c r="M57" i="75"/>
  <c r="M58" i="75"/>
  <c r="M59" i="75"/>
  <c r="M60" i="75"/>
  <c r="M61" i="75"/>
  <c r="M62" i="75"/>
  <c r="M63" i="75"/>
  <c r="M64" i="75"/>
  <c r="M65" i="75"/>
  <c r="M66" i="75"/>
  <c r="M67" i="75"/>
  <c r="M68" i="75"/>
  <c r="M69" i="75"/>
  <c r="M70" i="75"/>
  <c r="M71" i="75"/>
  <c r="M72" i="75"/>
  <c r="M73" i="75"/>
  <c r="M74" i="75"/>
  <c r="M75" i="75"/>
  <c r="M76" i="75"/>
  <c r="M77" i="75"/>
  <c r="M78" i="75"/>
  <c r="M79" i="75"/>
  <c r="M80" i="75"/>
  <c r="M81" i="75"/>
  <c r="M82" i="75"/>
  <c r="M83" i="75"/>
  <c r="M84" i="75"/>
  <c r="M85" i="75"/>
  <c r="M86" i="75"/>
  <c r="M87" i="75"/>
  <c r="M88" i="75"/>
  <c r="M89" i="75"/>
  <c r="M90" i="75"/>
  <c r="M91" i="75"/>
  <c r="M92" i="75"/>
  <c r="M93" i="75"/>
  <c r="M94" i="75"/>
  <c r="M95" i="75"/>
  <c r="M2" i="75"/>
  <c r="L3" i="75"/>
  <c r="L4" i="75"/>
  <c r="L5" i="75"/>
  <c r="L6" i="75"/>
  <c r="L7" i="75"/>
  <c r="L8" i="75"/>
  <c r="L9" i="75"/>
  <c r="L10" i="75"/>
  <c r="L11" i="75"/>
  <c r="L12" i="75"/>
  <c r="L13" i="75"/>
  <c r="L14" i="75"/>
  <c r="L15" i="75"/>
  <c r="L16" i="75"/>
  <c r="L17" i="75"/>
  <c r="L18" i="75"/>
  <c r="L19" i="75"/>
  <c r="L20" i="75"/>
  <c r="L21" i="75"/>
  <c r="L22" i="75"/>
  <c r="L23" i="75"/>
  <c r="L24" i="75"/>
  <c r="L25" i="75"/>
  <c r="L26" i="75"/>
  <c r="L27" i="75"/>
  <c r="L28" i="75"/>
  <c r="L29" i="75"/>
  <c r="L30" i="75"/>
  <c r="L31" i="75"/>
  <c r="L32" i="75"/>
  <c r="L33" i="75"/>
  <c r="L34" i="75"/>
  <c r="L35" i="75"/>
  <c r="L36" i="75"/>
  <c r="L37" i="75"/>
  <c r="L38" i="75"/>
  <c r="L39" i="75"/>
  <c r="L40" i="75"/>
  <c r="L41" i="75"/>
  <c r="L42" i="75"/>
  <c r="L43" i="75"/>
  <c r="L44" i="75"/>
  <c r="L45" i="75"/>
  <c r="L46" i="75"/>
  <c r="L47" i="75"/>
  <c r="L48" i="75"/>
  <c r="L49" i="75"/>
  <c r="L50" i="75"/>
  <c r="L51" i="75"/>
  <c r="L52" i="75"/>
  <c r="L53" i="75"/>
  <c r="L54" i="75"/>
  <c r="L55" i="75"/>
  <c r="L56" i="75"/>
  <c r="L57" i="75"/>
  <c r="L58" i="75"/>
  <c r="L59" i="75"/>
  <c r="L60" i="75"/>
  <c r="L61" i="75"/>
  <c r="L62" i="75"/>
  <c r="L63" i="75"/>
  <c r="L64" i="75"/>
  <c r="L65" i="75"/>
  <c r="L66" i="75"/>
  <c r="L67" i="75"/>
  <c r="L68" i="75"/>
  <c r="L69" i="75"/>
  <c r="L70" i="75"/>
  <c r="L71" i="75"/>
  <c r="L72" i="75"/>
  <c r="L73" i="75"/>
  <c r="L74" i="75"/>
  <c r="L75" i="75"/>
  <c r="L76" i="75"/>
  <c r="L77" i="75"/>
  <c r="L78" i="75"/>
  <c r="L79" i="75"/>
  <c r="L80" i="75"/>
  <c r="L81" i="75"/>
  <c r="L82" i="75"/>
  <c r="L83" i="75"/>
  <c r="L84" i="75"/>
  <c r="L85" i="75"/>
  <c r="L86" i="75"/>
  <c r="L87" i="75"/>
  <c r="L88" i="75"/>
  <c r="L89" i="75"/>
  <c r="L90" i="75"/>
  <c r="L91" i="75"/>
  <c r="L92" i="75"/>
  <c r="L93" i="75"/>
  <c r="L94" i="75"/>
  <c r="L95" i="75"/>
  <c r="L2" i="75"/>
  <c r="D3" i="75"/>
  <c r="D4" i="75"/>
  <c r="D5" i="75"/>
  <c r="D6" i="75"/>
  <c r="D7" i="75"/>
  <c r="D8" i="75"/>
  <c r="D9" i="75"/>
  <c r="D10" i="75"/>
  <c r="D11" i="75"/>
  <c r="D12" i="75"/>
  <c r="D13" i="75"/>
  <c r="D14" i="75"/>
  <c r="D15" i="75"/>
  <c r="D16" i="75"/>
  <c r="D17" i="75"/>
  <c r="D18" i="75"/>
  <c r="D19" i="75"/>
  <c r="D20" i="75"/>
  <c r="D21" i="75"/>
  <c r="D22" i="75"/>
  <c r="D23" i="75"/>
  <c r="D24" i="75"/>
  <c r="D25" i="75"/>
  <c r="D26" i="75"/>
  <c r="D27" i="75"/>
  <c r="D28" i="75"/>
  <c r="D29" i="75"/>
  <c r="D30" i="75"/>
  <c r="D31" i="75"/>
  <c r="D32" i="75"/>
  <c r="D33" i="75"/>
  <c r="D34" i="75"/>
  <c r="D35" i="75"/>
  <c r="D36" i="75"/>
  <c r="D37" i="75"/>
  <c r="D38" i="75"/>
  <c r="D39" i="75"/>
  <c r="D40" i="75"/>
  <c r="D41" i="75"/>
  <c r="D42" i="75"/>
  <c r="D43" i="75"/>
  <c r="D44" i="75"/>
  <c r="D45" i="75"/>
  <c r="D46" i="75"/>
  <c r="D47" i="75"/>
  <c r="D48" i="75"/>
  <c r="D49" i="75"/>
  <c r="D50" i="75"/>
  <c r="D51" i="75"/>
  <c r="D52" i="75"/>
  <c r="D53" i="75"/>
  <c r="D54" i="75"/>
  <c r="D55" i="75"/>
  <c r="D56" i="75"/>
  <c r="D57" i="75"/>
  <c r="D58" i="75"/>
  <c r="D59" i="75"/>
  <c r="D60" i="75"/>
  <c r="D61" i="75"/>
  <c r="D62" i="75"/>
  <c r="D63" i="75"/>
  <c r="D64" i="75"/>
  <c r="D65" i="75"/>
  <c r="D66" i="75"/>
  <c r="D67" i="75"/>
  <c r="D68" i="75"/>
  <c r="D69" i="75"/>
  <c r="D70" i="75"/>
  <c r="D71" i="75"/>
  <c r="D72" i="75"/>
  <c r="D73" i="75"/>
  <c r="D74" i="75"/>
  <c r="D75" i="75"/>
  <c r="D76" i="75"/>
  <c r="D77" i="75"/>
  <c r="D78" i="75"/>
  <c r="D79" i="75"/>
  <c r="D80" i="75"/>
  <c r="D81" i="75"/>
  <c r="D82" i="75"/>
  <c r="D83" i="75"/>
  <c r="D84" i="75"/>
  <c r="D85" i="75"/>
  <c r="D86" i="75"/>
  <c r="D87" i="75"/>
  <c r="D88" i="75"/>
  <c r="D89" i="75"/>
  <c r="D90" i="75"/>
  <c r="D91" i="75"/>
  <c r="D92" i="75"/>
  <c r="D93" i="75"/>
  <c r="D94" i="75"/>
  <c r="D95" i="75"/>
  <c r="D2" i="75"/>
  <c r="E8" i="84"/>
  <c r="E7" i="84"/>
  <c r="E6" i="84"/>
  <c r="E5" i="84"/>
  <c r="E4" i="84"/>
  <c r="E3" i="84"/>
  <c r="E2" i="84"/>
  <c r="F6" i="89"/>
  <c r="F7" i="89"/>
  <c r="F8" i="89"/>
  <c r="F9" i="89"/>
  <c r="F5" i="89"/>
  <c r="M5" i="89"/>
  <c r="M6" i="89"/>
  <c r="M7" i="89"/>
  <c r="M8" i="89"/>
  <c r="M9" i="89"/>
  <c r="C3" i="89"/>
  <c r="C4" i="89"/>
  <c r="C5" i="89"/>
  <c r="C6" i="89"/>
  <c r="C7" i="89"/>
  <c r="C8" i="89"/>
  <c r="C9" i="89"/>
  <c r="C10" i="89"/>
  <c r="C11" i="89"/>
  <c r="C2" i="89"/>
  <c r="A2" i="89"/>
  <c r="B3" i="89"/>
  <c r="B4" i="89"/>
  <c r="B5" i="89"/>
  <c r="B6" i="89"/>
  <c r="B7" i="89"/>
  <c r="B8" i="89"/>
  <c r="B9" i="89"/>
  <c r="B10" i="89"/>
  <c r="B11" i="89"/>
  <c r="B2" i="89"/>
  <c r="A3" i="89"/>
  <c r="A4" i="89"/>
  <c r="A5" i="89"/>
  <c r="A6" i="89"/>
  <c r="A7" i="89"/>
  <c r="A8" i="89"/>
  <c r="A9" i="89"/>
  <c r="A10" i="89"/>
  <c r="A11" i="89"/>
  <c r="B22" i="67"/>
  <c r="B22" i="66"/>
  <c r="B21" i="66"/>
  <c r="E3" i="74"/>
  <c r="E4" i="74"/>
  <c r="E5" i="74"/>
  <c r="E6" i="74"/>
  <c r="E2" i="74"/>
  <c r="D3" i="74"/>
  <c r="D4" i="74"/>
  <c r="D5" i="74"/>
  <c r="D6" i="74"/>
  <c r="D2" i="74"/>
  <c r="I13" i="72"/>
  <c r="H13" i="72"/>
  <c r="G13" i="72"/>
  <c r="G3" i="72"/>
  <c r="G2" i="72"/>
  <c r="G5" i="72" s="1"/>
  <c r="D9" i="72"/>
  <c r="D10" i="72"/>
  <c r="D8" i="72"/>
  <c r="C9" i="72"/>
  <c r="C10" i="72"/>
  <c r="C8" i="72"/>
  <c r="B9" i="72"/>
  <c r="B10" i="72"/>
  <c r="B8" i="72"/>
  <c r="D4" i="72"/>
  <c r="D3" i="72"/>
  <c r="D23" i="72"/>
  <c r="D14" i="72"/>
  <c r="D24" i="72" s="1"/>
  <c r="C21" i="88"/>
  <c r="D21" i="88"/>
  <c r="E21" i="88"/>
  <c r="B21" i="88"/>
  <c r="C12" i="88"/>
  <c r="D12" i="88"/>
  <c r="E12" i="88"/>
  <c r="B12" i="88"/>
  <c r="I10" i="82" l="1"/>
  <c r="G10" i="82"/>
  <c r="H10" i="82"/>
  <c r="G4" i="82"/>
  <c r="D21" i="23"/>
  <c r="D5" i="23"/>
  <c r="D20" i="23"/>
  <c r="D16" i="23"/>
  <c r="D12" i="23"/>
  <c r="D8" i="23"/>
  <c r="D4" i="23"/>
  <c r="D13" i="23"/>
  <c r="D19" i="23"/>
  <c r="D15" i="23"/>
  <c r="D11" i="23"/>
  <c r="D7" i="23"/>
  <c r="D3" i="23"/>
  <c r="D17" i="23"/>
  <c r="D9" i="23"/>
  <c r="D18" i="23"/>
  <c r="D14" i="23"/>
  <c r="D10" i="23"/>
  <c r="D6" i="23"/>
  <c r="G14" i="72"/>
  <c r="G9" i="72"/>
  <c r="G10" i="72"/>
  <c r="G8" i="72"/>
  <c r="G7" i="72"/>
  <c r="G6" i="72"/>
  <c r="D15" i="72"/>
  <c r="D16" i="72"/>
  <c r="D25" i="72"/>
  <c r="D17" i="72"/>
  <c r="K17" i="24"/>
  <c r="K12" i="24"/>
  <c r="K13" i="24"/>
  <c r="G10" i="20"/>
  <c r="C2" i="80"/>
  <c r="D2" i="80"/>
  <c r="E2" i="80"/>
  <c r="F2" i="80"/>
  <c r="G2" i="80"/>
  <c r="H2" i="80"/>
  <c r="C3" i="80"/>
  <c r="D3" i="80"/>
  <c r="E3" i="80"/>
  <c r="F3" i="80"/>
  <c r="G3" i="80"/>
  <c r="H3" i="80"/>
  <c r="C4" i="80"/>
  <c r="D4" i="80"/>
  <c r="E4" i="80"/>
  <c r="F4" i="80"/>
  <c r="G4" i="80"/>
  <c r="H4" i="80"/>
  <c r="C5" i="80"/>
  <c r="D5" i="80"/>
  <c r="E5" i="80"/>
  <c r="F5" i="80"/>
  <c r="G5" i="80"/>
  <c r="H5" i="80"/>
  <c r="C6" i="80"/>
  <c r="D6" i="80"/>
  <c r="E6" i="80"/>
  <c r="F6" i="80"/>
  <c r="G6" i="80"/>
  <c r="H6" i="80"/>
  <c r="C7" i="80"/>
  <c r="D7" i="80"/>
  <c r="E7" i="80"/>
  <c r="F7" i="80"/>
  <c r="G7" i="80"/>
  <c r="H7" i="80"/>
  <c r="C8" i="80"/>
  <c r="D8" i="80"/>
  <c r="E8" i="80"/>
  <c r="F8" i="80"/>
  <c r="G8" i="80"/>
  <c r="H8" i="80"/>
  <c r="C9" i="80"/>
  <c r="D9" i="80"/>
  <c r="E9" i="80"/>
  <c r="F9" i="80"/>
  <c r="G9" i="80"/>
  <c r="H9" i="80"/>
  <c r="C10" i="80"/>
  <c r="D10" i="80"/>
  <c r="E10" i="80"/>
  <c r="F10" i="80"/>
  <c r="G10" i="80"/>
  <c r="H10" i="80"/>
  <c r="C11" i="80"/>
  <c r="D11" i="80"/>
  <c r="E11" i="80"/>
  <c r="F11" i="80"/>
  <c r="G11" i="80"/>
  <c r="H11" i="80"/>
  <c r="C12" i="80"/>
  <c r="D12" i="80"/>
  <c r="E12" i="80"/>
  <c r="F12" i="80"/>
  <c r="G12" i="80"/>
  <c r="H12" i="80"/>
  <c r="C13" i="80"/>
  <c r="D13" i="80"/>
  <c r="E13" i="80"/>
  <c r="F13" i="80"/>
  <c r="G13" i="80"/>
  <c r="H13" i="80"/>
  <c r="C14" i="80"/>
  <c r="D14" i="80"/>
  <c r="E14" i="80"/>
  <c r="F14" i="80"/>
  <c r="G14" i="80"/>
  <c r="H14" i="80"/>
  <c r="C15" i="80"/>
  <c r="D15" i="80"/>
  <c r="E15" i="80"/>
  <c r="F15" i="80"/>
  <c r="G15" i="80"/>
  <c r="H15" i="80"/>
  <c r="C16" i="80"/>
  <c r="D16" i="80"/>
  <c r="E16" i="80"/>
  <c r="F16" i="80"/>
  <c r="G16" i="80"/>
  <c r="H16" i="80"/>
  <c r="C17" i="80"/>
  <c r="D17" i="80"/>
  <c r="E17" i="80"/>
  <c r="F17" i="80"/>
  <c r="G17" i="80"/>
  <c r="H17" i="80"/>
  <c r="C18" i="80"/>
  <c r="D18" i="80"/>
  <c r="E18" i="80"/>
  <c r="F18" i="80"/>
  <c r="G18" i="80"/>
  <c r="H18" i="80"/>
  <c r="C19" i="80"/>
  <c r="D19" i="80"/>
  <c r="E19" i="80"/>
  <c r="F19" i="80"/>
  <c r="G19" i="80"/>
  <c r="H19" i="80"/>
  <c r="C20" i="80"/>
  <c r="D20" i="80"/>
  <c r="E20" i="80"/>
  <c r="F20" i="80"/>
  <c r="G20" i="80"/>
  <c r="H20" i="80"/>
  <c r="C21" i="80"/>
  <c r="D21" i="80"/>
  <c r="E21" i="80"/>
  <c r="F21" i="80"/>
  <c r="G21" i="80"/>
  <c r="H21" i="80"/>
  <c r="C22" i="80"/>
  <c r="D22" i="80"/>
  <c r="E22" i="80"/>
  <c r="F22" i="80"/>
  <c r="G22" i="80"/>
  <c r="H22" i="80"/>
  <c r="C23" i="80"/>
  <c r="D23" i="80"/>
  <c r="E23" i="80"/>
  <c r="F23" i="80"/>
  <c r="G23" i="80"/>
  <c r="H23" i="80"/>
  <c r="C24" i="80"/>
  <c r="D24" i="80"/>
  <c r="E24" i="80"/>
  <c r="F24" i="80"/>
  <c r="G24" i="80"/>
  <c r="H24" i="80"/>
  <c r="C25" i="80"/>
  <c r="D25" i="80"/>
  <c r="E25" i="80"/>
  <c r="F25" i="80"/>
  <c r="G25" i="80"/>
  <c r="H25" i="80"/>
  <c r="B3" i="80"/>
  <c r="B4" i="80"/>
  <c r="B5" i="80"/>
  <c r="B6" i="80"/>
  <c r="B7" i="80"/>
  <c r="B8" i="80"/>
  <c r="B9" i="80"/>
  <c r="B10" i="80"/>
  <c r="B11" i="80"/>
  <c r="B12" i="80"/>
  <c r="B13" i="80"/>
  <c r="B14" i="80"/>
  <c r="B15" i="80"/>
  <c r="B16" i="80"/>
  <c r="B17" i="80"/>
  <c r="B18" i="80"/>
  <c r="B19" i="80"/>
  <c r="B20" i="80"/>
  <c r="B21" i="80"/>
  <c r="B22" i="80"/>
  <c r="B23" i="80"/>
  <c r="B24" i="80"/>
  <c r="B25" i="80"/>
  <c r="B2" i="80"/>
  <c r="C23" i="93"/>
  <c r="C24" i="93"/>
  <c r="C25" i="93"/>
  <c r="C26" i="93"/>
  <c r="B24" i="93"/>
  <c r="B25" i="93"/>
  <c r="B26" i="93"/>
  <c r="B23" i="93"/>
  <c r="O19" i="93"/>
  <c r="O20" i="93"/>
  <c r="P20" i="93"/>
  <c r="Q20" i="93"/>
  <c r="R20" i="93"/>
  <c r="O21" i="93"/>
  <c r="P21" i="93"/>
  <c r="Q21" i="93"/>
  <c r="R21" i="93"/>
  <c r="O22" i="93"/>
  <c r="P22" i="93"/>
  <c r="Q22" i="93"/>
  <c r="R22" i="93"/>
  <c r="P19" i="93"/>
  <c r="Q19" i="93"/>
  <c r="R19" i="93"/>
  <c r="C16" i="93"/>
  <c r="D16" i="93"/>
  <c r="E16" i="93"/>
  <c r="B16" i="93"/>
  <c r="C15" i="93"/>
  <c r="D15" i="93"/>
  <c r="E15" i="93"/>
  <c r="B15" i="93"/>
  <c r="B14" i="93"/>
  <c r="C14" i="93"/>
  <c r="D14" i="93"/>
  <c r="E14" i="93"/>
  <c r="C13" i="93"/>
  <c r="D13" i="93"/>
  <c r="E13" i="93"/>
  <c r="B13" i="93"/>
  <c r="F14" i="93"/>
  <c r="F15" i="93"/>
  <c r="F16" i="93"/>
  <c r="F13" i="93"/>
  <c r="O14" i="93"/>
  <c r="P14" i="93"/>
  <c r="Q14" i="93"/>
  <c r="R14" i="93"/>
  <c r="O15" i="93"/>
  <c r="P15" i="93"/>
  <c r="Q15" i="93"/>
  <c r="R15" i="93"/>
  <c r="O16" i="93"/>
  <c r="P16" i="93"/>
  <c r="Q16" i="93"/>
  <c r="R16" i="93"/>
  <c r="P13" i="93"/>
  <c r="Q13" i="93"/>
  <c r="R13" i="93"/>
  <c r="O13" i="93"/>
  <c r="K33" i="19"/>
  <c r="L33" i="19"/>
  <c r="M33" i="19"/>
  <c r="N33" i="19"/>
  <c r="L32" i="19"/>
  <c r="M32" i="19"/>
  <c r="N32" i="19"/>
  <c r="K32" i="19"/>
  <c r="K18" i="19"/>
  <c r="L24" i="19"/>
  <c r="M24" i="19"/>
  <c r="N24" i="19"/>
  <c r="L25" i="19"/>
  <c r="M25" i="19"/>
  <c r="N25" i="19"/>
  <c r="L26" i="19"/>
  <c r="M26" i="19"/>
  <c r="N26" i="19"/>
  <c r="L27" i="19"/>
  <c r="M27" i="19"/>
  <c r="N27" i="19"/>
  <c r="K25" i="19"/>
  <c r="K26" i="19"/>
  <c r="K27" i="19"/>
  <c r="K24" i="19"/>
  <c r="L18" i="19"/>
  <c r="M18" i="19"/>
  <c r="N18" i="19"/>
  <c r="L19" i="19"/>
  <c r="M19" i="19"/>
  <c r="N19" i="19"/>
  <c r="L20" i="19"/>
  <c r="M20" i="19"/>
  <c r="N20" i="19"/>
  <c r="L21" i="19"/>
  <c r="M21" i="19"/>
  <c r="N21" i="19"/>
  <c r="K19" i="19"/>
  <c r="K20" i="19"/>
  <c r="K21" i="19"/>
  <c r="N7" i="19"/>
  <c r="N4" i="19"/>
  <c r="N5" i="19"/>
  <c r="N6" i="19"/>
  <c r="N3" i="19"/>
  <c r="M7" i="19"/>
  <c r="M4" i="19"/>
  <c r="M5" i="19"/>
  <c r="M6" i="19"/>
  <c r="M3" i="19"/>
  <c r="K7" i="19"/>
  <c r="L7" i="19"/>
  <c r="L4" i="19"/>
  <c r="L5" i="19"/>
  <c r="L6" i="19"/>
  <c r="L3" i="19"/>
  <c r="K3" i="19"/>
  <c r="K4" i="19"/>
  <c r="K5" i="19"/>
  <c r="K6" i="19"/>
  <c r="I2" i="92"/>
  <c r="D3" i="92"/>
  <c r="D4" i="92"/>
  <c r="D5" i="92"/>
  <c r="D6" i="92"/>
  <c r="D7" i="92"/>
  <c r="D8" i="92"/>
  <c r="D9" i="92"/>
  <c r="D10" i="92"/>
  <c r="D11" i="92"/>
  <c r="D2" i="92"/>
  <c r="E3" i="92" l="1"/>
  <c r="E4" i="92"/>
  <c r="E5" i="92"/>
  <c r="E6" i="92"/>
  <c r="E7" i="92"/>
  <c r="E8" i="92"/>
  <c r="E9" i="92"/>
  <c r="E10" i="92"/>
  <c r="E11" i="92"/>
  <c r="E2" i="92"/>
  <c r="I3" i="92"/>
  <c r="I4" i="92"/>
  <c r="I5" i="92"/>
  <c r="I6" i="92"/>
  <c r="I7" i="92"/>
  <c r="I8" i="92"/>
  <c r="I9" i="92"/>
  <c r="I10" i="92"/>
  <c r="I11" i="92"/>
  <c r="H3" i="92"/>
  <c r="H4" i="92"/>
  <c r="H5" i="92"/>
  <c r="H6" i="92"/>
  <c r="H7" i="92"/>
  <c r="H8" i="92"/>
  <c r="H9" i="92"/>
  <c r="H10" i="92"/>
  <c r="H11" i="92"/>
  <c r="H2" i="92"/>
  <c r="F3" i="92"/>
  <c r="F4" i="92"/>
  <c r="F5" i="92"/>
  <c r="F6" i="92"/>
  <c r="F7" i="92"/>
  <c r="F8" i="92"/>
  <c r="F9" i="92"/>
  <c r="F10" i="92"/>
  <c r="F11" i="92"/>
  <c r="F2" i="92"/>
  <c r="G3" i="92"/>
  <c r="G4" i="92"/>
  <c r="G5" i="92"/>
  <c r="G6" i="92"/>
  <c r="G7" i="92"/>
  <c r="G8" i="92"/>
  <c r="G9" i="92"/>
  <c r="G10" i="92"/>
  <c r="G11" i="92"/>
  <c r="G2" i="92"/>
  <c r="L12" i="48"/>
  <c r="M12" i="48"/>
  <c r="N12" i="48"/>
  <c r="L13" i="48"/>
  <c r="M13" i="48"/>
  <c r="N13" i="48"/>
  <c r="M11" i="48"/>
  <c r="N11" i="48"/>
  <c r="L11" i="48"/>
  <c r="J4" i="48"/>
  <c r="J5" i="48"/>
  <c r="J3" i="48"/>
  <c r="L4" i="48"/>
  <c r="L5" i="48"/>
  <c r="L3" i="48"/>
  <c r="K4" i="48"/>
  <c r="K5" i="48"/>
  <c r="K3" i="48"/>
  <c r="M3" i="48"/>
  <c r="I4" i="48"/>
  <c r="I5" i="48"/>
  <c r="I3" i="48"/>
  <c r="C16" i="69"/>
  <c r="D16" i="69"/>
  <c r="E16" i="69"/>
  <c r="F16" i="69"/>
  <c r="G16" i="69"/>
  <c r="H16" i="69"/>
  <c r="I16" i="69"/>
  <c r="J16" i="69"/>
  <c r="K16" i="69"/>
  <c r="L16" i="69"/>
  <c r="C17" i="69"/>
  <c r="D17" i="69"/>
  <c r="E17" i="69"/>
  <c r="F17" i="69"/>
  <c r="G17" i="69"/>
  <c r="H17" i="69"/>
  <c r="I17" i="69"/>
  <c r="J17" i="69"/>
  <c r="K17" i="69"/>
  <c r="L17" i="69"/>
  <c r="C18" i="69"/>
  <c r="D18" i="69"/>
  <c r="E18" i="69"/>
  <c r="F18" i="69"/>
  <c r="G18" i="69"/>
  <c r="H18" i="69"/>
  <c r="I18" i="69"/>
  <c r="J18" i="69"/>
  <c r="K18" i="69"/>
  <c r="L18" i="69"/>
  <c r="C19" i="69"/>
  <c r="D19" i="69"/>
  <c r="E19" i="69"/>
  <c r="F19" i="69"/>
  <c r="G19" i="69"/>
  <c r="H19" i="69"/>
  <c r="I19" i="69"/>
  <c r="J19" i="69"/>
  <c r="K19" i="69"/>
  <c r="L19" i="69"/>
  <c r="C20" i="69"/>
  <c r="D20" i="69"/>
  <c r="E20" i="69"/>
  <c r="F20" i="69"/>
  <c r="G20" i="69"/>
  <c r="H20" i="69"/>
  <c r="I20" i="69"/>
  <c r="J20" i="69"/>
  <c r="K20" i="69"/>
  <c r="L20" i="69"/>
  <c r="C21" i="69"/>
  <c r="D21" i="69"/>
  <c r="E21" i="69"/>
  <c r="F21" i="69"/>
  <c r="G21" i="69"/>
  <c r="H21" i="69"/>
  <c r="I21" i="69"/>
  <c r="J21" i="69"/>
  <c r="K21" i="69"/>
  <c r="L21" i="69"/>
  <c r="C22" i="69"/>
  <c r="D22" i="69"/>
  <c r="E22" i="69"/>
  <c r="F22" i="69"/>
  <c r="G22" i="69"/>
  <c r="H22" i="69"/>
  <c r="I22" i="69"/>
  <c r="J22" i="69"/>
  <c r="K22" i="69"/>
  <c r="L22" i="69"/>
  <c r="C23" i="69"/>
  <c r="D23" i="69"/>
  <c r="E23" i="69"/>
  <c r="F23" i="69"/>
  <c r="G23" i="69"/>
  <c r="H23" i="69"/>
  <c r="I23" i="69"/>
  <c r="J23" i="69"/>
  <c r="K23" i="69"/>
  <c r="L23" i="69"/>
  <c r="D15" i="69"/>
  <c r="E15" i="69"/>
  <c r="F15" i="69"/>
  <c r="G15" i="69"/>
  <c r="H15" i="69"/>
  <c r="I15" i="69"/>
  <c r="J15" i="69"/>
  <c r="K15" i="69"/>
  <c r="L15" i="69"/>
  <c r="C15" i="69"/>
  <c r="E3" i="69"/>
  <c r="F3" i="69"/>
  <c r="G3" i="69"/>
  <c r="H3" i="69"/>
  <c r="I3" i="69"/>
  <c r="J3" i="69"/>
  <c r="K3" i="69"/>
  <c r="E4" i="69"/>
  <c r="F4" i="69"/>
  <c r="G4" i="69"/>
  <c r="H4" i="69"/>
  <c r="I4" i="69"/>
  <c r="J4" i="69"/>
  <c r="K4" i="69"/>
  <c r="E5" i="69"/>
  <c r="F5" i="69"/>
  <c r="G5" i="69"/>
  <c r="H5" i="69"/>
  <c r="I5" i="69"/>
  <c r="J5" i="69"/>
  <c r="K5" i="69"/>
  <c r="E6" i="69"/>
  <c r="F6" i="69"/>
  <c r="G6" i="69"/>
  <c r="H6" i="69"/>
  <c r="I6" i="69"/>
  <c r="J6" i="69"/>
  <c r="K6" i="69"/>
  <c r="E7" i="69"/>
  <c r="F7" i="69"/>
  <c r="G7" i="69"/>
  <c r="H7" i="69"/>
  <c r="I7" i="69"/>
  <c r="J7" i="69"/>
  <c r="K7" i="69"/>
  <c r="E8" i="69"/>
  <c r="F8" i="69"/>
  <c r="G8" i="69"/>
  <c r="H8" i="69"/>
  <c r="I8" i="69"/>
  <c r="J8" i="69"/>
  <c r="K8" i="69"/>
  <c r="E9" i="69"/>
  <c r="F9" i="69"/>
  <c r="G9" i="69"/>
  <c r="H9" i="69"/>
  <c r="I9" i="69"/>
  <c r="J9" i="69"/>
  <c r="K9" i="69"/>
  <c r="E10" i="69"/>
  <c r="F10" i="69"/>
  <c r="G10" i="69"/>
  <c r="H10" i="69"/>
  <c r="I10" i="69"/>
  <c r="J10" i="69"/>
  <c r="K10" i="69"/>
  <c r="E11" i="69"/>
  <c r="F11" i="69"/>
  <c r="G11" i="69"/>
  <c r="H11" i="69"/>
  <c r="I11" i="69"/>
  <c r="J11" i="69"/>
  <c r="K11" i="69"/>
  <c r="D3" i="69"/>
  <c r="D4" i="69"/>
  <c r="D5" i="69"/>
  <c r="D6" i="69"/>
  <c r="D7" i="69"/>
  <c r="D8" i="69"/>
  <c r="D9" i="69"/>
  <c r="D10" i="69"/>
  <c r="D11" i="69"/>
  <c r="C4" i="69"/>
  <c r="C5" i="69"/>
  <c r="C6" i="69"/>
  <c r="C7" i="69"/>
  <c r="C8" i="69"/>
  <c r="C9" i="69"/>
  <c r="C10" i="69"/>
  <c r="C11" i="69"/>
  <c r="C3" i="69"/>
  <c r="B19" i="16"/>
  <c r="B18" i="16"/>
  <c r="B17" i="16"/>
  <c r="B16" i="16"/>
  <c r="B15" i="16"/>
  <c r="B14" i="16"/>
  <c r="B13" i="16"/>
  <c r="F3" i="16"/>
  <c r="F4" i="16"/>
  <c r="F5" i="16"/>
  <c r="F6" i="16"/>
  <c r="F7" i="16"/>
  <c r="F8" i="16"/>
  <c r="F9" i="16"/>
  <c r="F10" i="16"/>
  <c r="F11" i="16"/>
  <c r="F12" i="16"/>
  <c r="F2" i="16"/>
  <c r="E3" i="16"/>
  <c r="E4" i="16"/>
  <c r="E5" i="16"/>
  <c r="E6" i="16"/>
  <c r="E7" i="16"/>
  <c r="E8" i="16"/>
  <c r="E9" i="16"/>
  <c r="E10" i="16"/>
  <c r="E11" i="16"/>
  <c r="E12" i="16"/>
  <c r="E2" i="16"/>
  <c r="D3" i="16"/>
  <c r="D4" i="16"/>
  <c r="D5" i="16"/>
  <c r="D6" i="16"/>
  <c r="D7" i="16"/>
  <c r="D8" i="16"/>
  <c r="D9" i="16"/>
  <c r="D10" i="16"/>
  <c r="D11" i="16"/>
  <c r="D12" i="16"/>
  <c r="D2" i="16"/>
  <c r="H3" i="15"/>
  <c r="H4" i="15"/>
  <c r="H5" i="15"/>
  <c r="H6" i="15"/>
  <c r="H7" i="15"/>
  <c r="H8" i="15"/>
  <c r="H9" i="15"/>
  <c r="H2" i="15"/>
  <c r="E3" i="15"/>
  <c r="E4" i="15"/>
  <c r="E5" i="15"/>
  <c r="E6" i="15"/>
  <c r="E7" i="15"/>
  <c r="E8" i="15"/>
  <c r="E9" i="15"/>
  <c r="E2" i="15"/>
  <c r="D3" i="15"/>
  <c r="D4" i="15"/>
  <c r="D5" i="15"/>
  <c r="D6" i="15"/>
  <c r="D7" i="15"/>
  <c r="D8" i="15"/>
  <c r="D9" i="15"/>
  <c r="D2" i="15"/>
  <c r="C3" i="15"/>
  <c r="C4" i="15"/>
  <c r="C5" i="15"/>
  <c r="F5" i="15" s="1"/>
  <c r="C6" i="15"/>
  <c r="C7" i="15"/>
  <c r="F7" i="15" s="1"/>
  <c r="C8" i="15"/>
  <c r="C9" i="15"/>
  <c r="F9" i="15" s="1"/>
  <c r="C2" i="15"/>
  <c r="F3" i="15"/>
  <c r="F4" i="15"/>
  <c r="F8" i="15"/>
  <c r="E3" i="14"/>
  <c r="E4" i="14"/>
  <c r="E2" i="14"/>
  <c r="D3" i="14"/>
  <c r="D4" i="14"/>
  <c r="D2" i="14"/>
  <c r="B32" i="13"/>
  <c r="B31" i="13"/>
  <c r="K21" i="13"/>
  <c r="K20" i="13"/>
  <c r="H21" i="13"/>
  <c r="H20" i="13"/>
  <c r="E20" i="13"/>
  <c r="B20" i="13"/>
  <c r="M9" i="13"/>
  <c r="J9" i="13"/>
  <c r="G5" i="13"/>
  <c r="G6" i="13"/>
  <c r="G7" i="13"/>
  <c r="G8" i="13"/>
  <c r="G4" i="13"/>
  <c r="B9" i="13"/>
  <c r="H2" i="24"/>
  <c r="H3" i="24"/>
  <c r="H4" i="24"/>
  <c r="H5" i="24"/>
  <c r="H6" i="24"/>
  <c r="H7" i="24"/>
  <c r="H8" i="24"/>
  <c r="H9" i="24"/>
  <c r="H10" i="24"/>
  <c r="H11" i="24"/>
  <c r="H12" i="24"/>
  <c r="H13" i="24"/>
  <c r="H14" i="24"/>
  <c r="H15" i="24"/>
  <c r="H16" i="24"/>
  <c r="H17" i="24"/>
  <c r="H18" i="24"/>
  <c r="H19" i="24"/>
  <c r="H20" i="24"/>
  <c r="H21" i="24"/>
  <c r="A4" i="84"/>
  <c r="A3" i="84"/>
  <c r="G7" i="15" l="1"/>
  <c r="I7" i="15" s="1"/>
  <c r="G9" i="15"/>
  <c r="I9" i="15" s="1"/>
  <c r="G5" i="15"/>
  <c r="I5" i="15" s="1"/>
  <c r="F2" i="15"/>
  <c r="G8" i="15"/>
  <c r="I8" i="15" s="1"/>
  <c r="G4" i="15"/>
  <c r="I4" i="15" s="1"/>
  <c r="G3" i="15"/>
  <c r="I3" i="15" s="1"/>
  <c r="F6" i="15"/>
  <c r="H38" i="79"/>
  <c r="H37" i="79"/>
  <c r="H36" i="79"/>
  <c r="H35" i="79"/>
  <c r="H34" i="79"/>
  <c r="H33" i="79"/>
  <c r="H32" i="79"/>
  <c r="H31" i="79"/>
  <c r="H30" i="79"/>
  <c r="H29" i="79"/>
  <c r="H28" i="79"/>
  <c r="H27" i="79"/>
  <c r="H26" i="79"/>
  <c r="H25" i="79"/>
  <c r="H24" i="79"/>
  <c r="H23" i="79"/>
  <c r="H22" i="79"/>
  <c r="H21" i="79"/>
  <c r="H20" i="79"/>
  <c r="H19" i="79"/>
  <c r="H18" i="79"/>
  <c r="H17" i="79"/>
  <c r="H16" i="79"/>
  <c r="H15" i="79"/>
  <c r="H14" i="79"/>
  <c r="H13" i="79"/>
  <c r="H12" i="79"/>
  <c r="H11" i="79"/>
  <c r="H10" i="79"/>
  <c r="H9" i="79"/>
  <c r="H8" i="79"/>
  <c r="H7" i="79"/>
  <c r="H6" i="79"/>
  <c r="H5" i="79"/>
  <c r="H4" i="79"/>
  <c r="H3" i="79"/>
  <c r="H2" i="79"/>
  <c r="H30" i="78"/>
  <c r="H29" i="78"/>
  <c r="H28" i="78"/>
  <c r="H27" i="78"/>
  <c r="H26" i="78"/>
  <c r="H25" i="78"/>
  <c r="H24" i="78"/>
  <c r="H23" i="78"/>
  <c r="H22" i="78"/>
  <c r="H21" i="78"/>
  <c r="H20" i="78"/>
  <c r="H19" i="78"/>
  <c r="H18" i="78"/>
  <c r="H17" i="78"/>
  <c r="H16" i="78"/>
  <c r="H15" i="78"/>
  <c r="H14" i="78"/>
  <c r="H13" i="78"/>
  <c r="H12" i="78"/>
  <c r="H11" i="78"/>
  <c r="H10" i="78"/>
  <c r="H9" i="78"/>
  <c r="H8" i="78"/>
  <c r="H7" i="78"/>
  <c r="H6" i="78"/>
  <c r="H5" i="78"/>
  <c r="H4" i="78"/>
  <c r="H3" i="78"/>
  <c r="H2" i="78"/>
  <c r="H29" i="77"/>
  <c r="H28" i="77"/>
  <c r="H27" i="77"/>
  <c r="H26" i="77"/>
  <c r="H25" i="77"/>
  <c r="H24" i="77"/>
  <c r="H23" i="77"/>
  <c r="H22" i="77"/>
  <c r="H21" i="77"/>
  <c r="H20" i="77"/>
  <c r="H19" i="77"/>
  <c r="H18" i="77"/>
  <c r="H17" i="77"/>
  <c r="H16" i="77"/>
  <c r="H15" i="77"/>
  <c r="H14" i="77"/>
  <c r="H13" i="77"/>
  <c r="H12" i="77"/>
  <c r="H11" i="77"/>
  <c r="H10" i="77"/>
  <c r="H9" i="77"/>
  <c r="H8" i="77"/>
  <c r="H7" i="77"/>
  <c r="H6" i="77"/>
  <c r="H5" i="77"/>
  <c r="H4" i="77"/>
  <c r="H3" i="77"/>
  <c r="H2" i="77"/>
  <c r="G6" i="15" l="1"/>
  <c r="I6" i="15" s="1"/>
  <c r="G2" i="15"/>
  <c r="I2" i="15"/>
  <c r="J95" i="75"/>
  <c r="J94" i="75"/>
  <c r="J93" i="75"/>
  <c r="J92" i="75"/>
  <c r="J91" i="75"/>
  <c r="J90" i="75"/>
  <c r="J89" i="75"/>
  <c r="J88" i="75"/>
  <c r="J87" i="75"/>
  <c r="J86" i="75"/>
  <c r="J85" i="75"/>
  <c r="J84" i="75"/>
  <c r="J83" i="75"/>
  <c r="J82" i="75"/>
  <c r="J81" i="75"/>
  <c r="J80" i="75"/>
  <c r="J79" i="75"/>
  <c r="J78" i="75"/>
  <c r="J77" i="75"/>
  <c r="J76" i="75"/>
  <c r="J75" i="75"/>
  <c r="J74" i="75"/>
  <c r="J73" i="75"/>
  <c r="J72" i="75"/>
  <c r="J71" i="75"/>
  <c r="J70" i="75"/>
  <c r="J69" i="75"/>
  <c r="J68" i="75"/>
  <c r="J67" i="75"/>
  <c r="J66" i="75"/>
  <c r="J65" i="75"/>
  <c r="J64" i="75"/>
  <c r="J63" i="75"/>
  <c r="J62" i="75"/>
  <c r="J61" i="75"/>
  <c r="J60" i="75"/>
  <c r="J59" i="75"/>
  <c r="J58" i="75"/>
  <c r="J57" i="75"/>
  <c r="J56" i="75"/>
  <c r="J55" i="75"/>
  <c r="J54" i="75"/>
  <c r="J53" i="75"/>
  <c r="J52" i="75"/>
  <c r="J51" i="75"/>
  <c r="J50" i="75"/>
  <c r="J49" i="75"/>
  <c r="J48" i="75"/>
  <c r="J47" i="75"/>
  <c r="J46" i="75"/>
  <c r="J45" i="75"/>
  <c r="J44" i="75"/>
  <c r="J43" i="75"/>
  <c r="J42" i="75"/>
  <c r="J41" i="75"/>
  <c r="J40" i="75"/>
  <c r="J39" i="75"/>
  <c r="J38" i="75"/>
  <c r="J37" i="75"/>
  <c r="J36" i="75"/>
  <c r="J35" i="75"/>
  <c r="J34" i="75"/>
  <c r="J33" i="75"/>
  <c r="J32" i="75"/>
  <c r="J31" i="75"/>
  <c r="J30" i="75"/>
  <c r="J29" i="75"/>
  <c r="J28" i="75"/>
  <c r="J27" i="75"/>
  <c r="J26" i="75"/>
  <c r="J25" i="75"/>
  <c r="J24" i="75"/>
  <c r="J23" i="75"/>
  <c r="J22" i="75"/>
  <c r="J21" i="75"/>
  <c r="J20" i="75"/>
  <c r="J19" i="75"/>
  <c r="J18" i="75"/>
  <c r="J17" i="75"/>
  <c r="J16" i="75"/>
  <c r="J15" i="75"/>
  <c r="J14" i="75"/>
  <c r="J13" i="75"/>
  <c r="J12" i="75"/>
  <c r="J11" i="75"/>
  <c r="J10" i="75"/>
  <c r="J9" i="75"/>
  <c r="J8" i="75"/>
  <c r="J7" i="75"/>
  <c r="J6" i="75"/>
  <c r="J5" i="75"/>
  <c r="J4" i="75"/>
  <c r="J3" i="75"/>
  <c r="J2" i="75"/>
  <c r="L3" i="32" l="1"/>
  <c r="L4" i="32"/>
  <c r="L5" i="32"/>
  <c r="L6" i="32"/>
  <c r="L7" i="32"/>
  <c r="L8" i="32"/>
  <c r="L9" i="32"/>
  <c r="L10" i="32"/>
  <c r="L11" i="32"/>
  <c r="L12" i="32"/>
  <c r="L13" i="32"/>
  <c r="L14" i="32"/>
  <c r="L15" i="32"/>
  <c r="L16" i="32"/>
  <c r="L17" i="32"/>
  <c r="L18" i="32"/>
  <c r="L19" i="32"/>
  <c r="L20" i="32"/>
  <c r="L21" i="32"/>
  <c r="L22" i="32"/>
  <c r="L23" i="32"/>
  <c r="L24" i="32"/>
  <c r="L25" i="32"/>
  <c r="L26" i="32"/>
  <c r="L27" i="32"/>
  <c r="L28" i="32"/>
  <c r="L29" i="32"/>
  <c r="L30" i="32"/>
  <c r="L31" i="32"/>
  <c r="L2" i="32"/>
  <c r="M31" i="32" l="1"/>
  <c r="N31" i="32" s="1"/>
  <c r="M30" i="32"/>
  <c r="N30" i="32" s="1"/>
  <c r="M27" i="32"/>
  <c r="N27" i="32" s="1"/>
  <c r="M26" i="32"/>
  <c r="N26" i="32" s="1"/>
  <c r="M23" i="32"/>
  <c r="N23" i="32" s="1"/>
  <c r="M22" i="32"/>
  <c r="N22" i="32" s="1"/>
  <c r="M19" i="32"/>
  <c r="N19" i="32" s="1"/>
  <c r="M18" i="32"/>
  <c r="N18" i="32" s="1"/>
  <c r="M15" i="32"/>
  <c r="N15" i="32" s="1"/>
  <c r="M14" i="32"/>
  <c r="N14" i="32" s="1"/>
  <c r="M11" i="32"/>
  <c r="N11" i="32" s="1"/>
  <c r="M10" i="32"/>
  <c r="N10" i="32" s="1"/>
  <c r="M7" i="32"/>
  <c r="N7" i="32" s="1"/>
  <c r="M6" i="32"/>
  <c r="N6" i="32" s="1"/>
  <c r="M3" i="32"/>
  <c r="N3" i="32" s="1"/>
  <c r="M2" i="32"/>
  <c r="N2" i="32" s="1"/>
  <c r="D572" i="48"/>
  <c r="D571" i="48"/>
  <c r="D570" i="48"/>
  <c r="D569" i="48"/>
  <c r="D568" i="48"/>
  <c r="D567" i="48"/>
  <c r="D566" i="48"/>
  <c r="D565" i="48"/>
  <c r="D564" i="48"/>
  <c r="D563" i="48"/>
  <c r="D562" i="48"/>
  <c r="D561" i="48"/>
  <c r="D560" i="48"/>
  <c r="D559" i="48"/>
  <c r="D558" i="48"/>
  <c r="D557" i="48"/>
  <c r="D556" i="48"/>
  <c r="D555" i="48"/>
  <c r="D554" i="48"/>
  <c r="D553" i="48"/>
  <c r="D552" i="48"/>
  <c r="D551" i="48"/>
  <c r="D550" i="48"/>
  <c r="D549" i="48"/>
  <c r="D548" i="48"/>
  <c r="D547" i="48"/>
  <c r="D546" i="48"/>
  <c r="D545" i="48"/>
  <c r="D544" i="48"/>
  <c r="D543" i="48"/>
  <c r="D542" i="48"/>
  <c r="D541" i="48"/>
  <c r="D540" i="48"/>
  <c r="D539" i="48"/>
  <c r="D538" i="48"/>
  <c r="D537" i="48"/>
  <c r="D536" i="48"/>
  <c r="D535" i="48"/>
  <c r="D534" i="48"/>
  <c r="D533" i="48"/>
  <c r="D532" i="48"/>
  <c r="D531" i="48"/>
  <c r="D530" i="48"/>
  <c r="D529" i="48"/>
  <c r="D528" i="48"/>
  <c r="D527" i="48"/>
  <c r="D526" i="48"/>
  <c r="D525" i="48"/>
  <c r="D524" i="48"/>
  <c r="D523" i="48"/>
  <c r="D522" i="48"/>
  <c r="D521" i="48"/>
  <c r="D520" i="48"/>
  <c r="D519" i="48"/>
  <c r="D518" i="48"/>
  <c r="D517" i="48"/>
  <c r="D516" i="48"/>
  <c r="D515" i="48"/>
  <c r="D514" i="48"/>
  <c r="D513" i="48"/>
  <c r="D512" i="48"/>
  <c r="D511" i="48"/>
  <c r="D510" i="48"/>
  <c r="D509" i="48"/>
  <c r="D508" i="48"/>
  <c r="D507" i="48"/>
  <c r="D506" i="48"/>
  <c r="D505" i="48"/>
  <c r="D504" i="48"/>
  <c r="D503" i="48"/>
  <c r="D502" i="48"/>
  <c r="D501" i="48"/>
  <c r="D500" i="48"/>
  <c r="D499" i="48"/>
  <c r="D498" i="48"/>
  <c r="D497" i="48"/>
  <c r="D496" i="48"/>
  <c r="D495" i="48"/>
  <c r="D494" i="48"/>
  <c r="D493" i="48"/>
  <c r="D492" i="48"/>
  <c r="D491" i="48"/>
  <c r="D490" i="48"/>
  <c r="D489" i="48"/>
  <c r="D488" i="48"/>
  <c r="D487" i="48"/>
  <c r="D486" i="48"/>
  <c r="D485" i="48"/>
  <c r="D484" i="48"/>
  <c r="D483" i="48"/>
  <c r="D482" i="48"/>
  <c r="D481" i="48"/>
  <c r="D480" i="48"/>
  <c r="D479" i="48"/>
  <c r="D478" i="48"/>
  <c r="D477" i="48"/>
  <c r="D476" i="48"/>
  <c r="D475" i="48"/>
  <c r="D474" i="48"/>
  <c r="D473" i="48"/>
  <c r="D472" i="48"/>
  <c r="D471" i="48"/>
  <c r="D470" i="48"/>
  <c r="D469" i="48"/>
  <c r="D468" i="48"/>
  <c r="D467" i="48"/>
  <c r="D466" i="48"/>
  <c r="D465" i="48"/>
  <c r="D464" i="48"/>
  <c r="D463" i="48"/>
  <c r="D462" i="48"/>
  <c r="D461" i="48"/>
  <c r="D460" i="48"/>
  <c r="D459" i="48"/>
  <c r="D458" i="48"/>
  <c r="D457" i="48"/>
  <c r="D456" i="48"/>
  <c r="D455" i="48"/>
  <c r="D454" i="48"/>
  <c r="D453" i="48"/>
  <c r="D452" i="48"/>
  <c r="D451" i="48"/>
  <c r="D450" i="48"/>
  <c r="D449" i="48"/>
  <c r="D448" i="48"/>
  <c r="D447" i="48"/>
  <c r="D446" i="48"/>
  <c r="D445" i="48"/>
  <c r="D444" i="48"/>
  <c r="D443" i="48"/>
  <c r="D442" i="48"/>
  <c r="D441" i="48"/>
  <c r="D440" i="48"/>
  <c r="D439" i="48"/>
  <c r="D438" i="48"/>
  <c r="D437" i="48"/>
  <c r="D436" i="48"/>
  <c r="D435" i="48"/>
  <c r="D434" i="48"/>
  <c r="D433" i="48"/>
  <c r="D432" i="48"/>
  <c r="D431" i="48"/>
  <c r="D430" i="48"/>
  <c r="D429" i="48"/>
  <c r="D428" i="48"/>
  <c r="D427" i="48"/>
  <c r="D426" i="48"/>
  <c r="D425" i="48"/>
  <c r="D424" i="48"/>
  <c r="D423" i="48"/>
  <c r="D422" i="48"/>
  <c r="D421" i="48"/>
  <c r="D420" i="48"/>
  <c r="D419" i="48"/>
  <c r="D418" i="48"/>
  <c r="D417" i="48"/>
  <c r="D416" i="48"/>
  <c r="D415" i="48"/>
  <c r="D414" i="48"/>
  <c r="D413" i="48"/>
  <c r="D412" i="48"/>
  <c r="D411" i="48"/>
  <c r="D410" i="48"/>
  <c r="D409" i="48"/>
  <c r="D408" i="48"/>
  <c r="D407" i="48"/>
  <c r="D406" i="48"/>
  <c r="D405" i="48"/>
  <c r="D404" i="48"/>
  <c r="D403" i="48"/>
  <c r="D402" i="48"/>
  <c r="D401" i="48"/>
  <c r="D400" i="48"/>
  <c r="D399" i="48"/>
  <c r="D398" i="48"/>
  <c r="D397" i="48"/>
  <c r="D396" i="48"/>
  <c r="D395" i="48"/>
  <c r="D394" i="48"/>
  <c r="D393" i="48"/>
  <c r="D392" i="48"/>
  <c r="D391" i="48"/>
  <c r="D390" i="48"/>
  <c r="D389" i="48"/>
  <c r="D388" i="48"/>
  <c r="D387" i="48"/>
  <c r="D386" i="48"/>
  <c r="D385" i="48"/>
  <c r="D384" i="48"/>
  <c r="D383" i="48"/>
  <c r="D382" i="48"/>
  <c r="D381" i="48"/>
  <c r="D380" i="48"/>
  <c r="D379" i="48"/>
  <c r="D378" i="48"/>
  <c r="D377" i="48"/>
  <c r="D376" i="48"/>
  <c r="D375" i="48"/>
  <c r="D374" i="48"/>
  <c r="D373" i="48"/>
  <c r="D372" i="48"/>
  <c r="D371" i="48"/>
  <c r="D370" i="48"/>
  <c r="D369" i="48"/>
  <c r="D368" i="48"/>
  <c r="D367" i="48"/>
  <c r="D366" i="48"/>
  <c r="D365" i="48"/>
  <c r="D364" i="48"/>
  <c r="D363" i="48"/>
  <c r="D362" i="48"/>
  <c r="D361" i="48"/>
  <c r="D360" i="48"/>
  <c r="D359" i="48"/>
  <c r="D358" i="48"/>
  <c r="D357" i="48"/>
  <c r="D356" i="48"/>
  <c r="D355" i="48"/>
  <c r="D354" i="48"/>
  <c r="D353" i="48"/>
  <c r="D352" i="48"/>
  <c r="D351" i="48"/>
  <c r="D350" i="48"/>
  <c r="D349" i="48"/>
  <c r="D348" i="48"/>
  <c r="D347" i="48"/>
  <c r="D346" i="48"/>
  <c r="D345" i="48"/>
  <c r="D344" i="48"/>
  <c r="D343" i="48"/>
  <c r="D342" i="48"/>
  <c r="D341" i="48"/>
  <c r="D340" i="48"/>
  <c r="D339" i="48"/>
  <c r="D338" i="48"/>
  <c r="D337" i="48"/>
  <c r="D336" i="48"/>
  <c r="D335" i="48"/>
  <c r="D334" i="48"/>
  <c r="D333" i="48"/>
  <c r="D332" i="48"/>
  <c r="D331" i="48"/>
  <c r="D330" i="48"/>
  <c r="D329" i="48"/>
  <c r="D328" i="48"/>
  <c r="D327" i="48"/>
  <c r="D326" i="48"/>
  <c r="D325" i="48"/>
  <c r="D324" i="48"/>
  <c r="D323" i="48"/>
  <c r="D322" i="48"/>
  <c r="D321" i="48"/>
  <c r="D320" i="48"/>
  <c r="D319" i="48"/>
  <c r="D318" i="48"/>
  <c r="D317" i="48"/>
  <c r="D316" i="48"/>
  <c r="D315" i="48"/>
  <c r="D314" i="48"/>
  <c r="D313" i="48"/>
  <c r="D312" i="48"/>
  <c r="D311" i="48"/>
  <c r="D310" i="48"/>
  <c r="D309" i="48"/>
  <c r="D308" i="48"/>
  <c r="D307" i="48"/>
  <c r="D306" i="48"/>
  <c r="D305" i="48"/>
  <c r="D304" i="48"/>
  <c r="D303" i="48"/>
  <c r="D302" i="48"/>
  <c r="D301" i="48"/>
  <c r="D300" i="48"/>
  <c r="D299" i="48"/>
  <c r="D298" i="48"/>
  <c r="D297" i="48"/>
  <c r="D296" i="48"/>
  <c r="D295" i="48"/>
  <c r="D294" i="48"/>
  <c r="D293" i="48"/>
  <c r="D292" i="48"/>
  <c r="D291" i="48"/>
  <c r="D290" i="48"/>
  <c r="D289" i="48"/>
  <c r="D288" i="48"/>
  <c r="D287" i="48"/>
  <c r="D286" i="48"/>
  <c r="D285" i="48"/>
  <c r="D284" i="48"/>
  <c r="D283" i="48"/>
  <c r="D282" i="48"/>
  <c r="D281" i="48"/>
  <c r="D280" i="48"/>
  <c r="D279" i="48"/>
  <c r="D278" i="48"/>
  <c r="D277" i="48"/>
  <c r="D276" i="48"/>
  <c r="D275" i="48"/>
  <c r="D274" i="48"/>
  <c r="D273" i="48"/>
  <c r="D272" i="48"/>
  <c r="D271" i="48"/>
  <c r="D270" i="48"/>
  <c r="D269" i="48"/>
  <c r="D268" i="48"/>
  <c r="D267" i="48"/>
  <c r="D266" i="48"/>
  <c r="D265" i="48"/>
  <c r="D264" i="48"/>
  <c r="D263" i="48"/>
  <c r="D262" i="48"/>
  <c r="D261" i="48"/>
  <c r="D260" i="48"/>
  <c r="D259" i="48"/>
  <c r="D258" i="48"/>
  <c r="D257" i="48"/>
  <c r="D256" i="48"/>
  <c r="D255" i="48"/>
  <c r="D254" i="48"/>
  <c r="D253" i="48"/>
  <c r="D252" i="48"/>
  <c r="D251" i="48"/>
  <c r="D250" i="48"/>
  <c r="D249" i="48"/>
  <c r="D248" i="48"/>
  <c r="D247" i="48"/>
  <c r="D246" i="48"/>
  <c r="D245" i="48"/>
  <c r="D244" i="48"/>
  <c r="D243" i="48"/>
  <c r="D242" i="48"/>
  <c r="D241" i="48"/>
  <c r="D240" i="48"/>
  <c r="D239" i="48"/>
  <c r="D238" i="48"/>
  <c r="D237" i="48"/>
  <c r="D236" i="48"/>
  <c r="D235" i="48"/>
  <c r="D234" i="48"/>
  <c r="D233" i="48"/>
  <c r="D232" i="48"/>
  <c r="D231" i="48"/>
  <c r="D230" i="48"/>
  <c r="D229" i="48"/>
  <c r="D228" i="48"/>
  <c r="D227" i="48"/>
  <c r="D226" i="48"/>
  <c r="D225" i="48"/>
  <c r="D224" i="48"/>
  <c r="D223" i="48"/>
  <c r="D222" i="48"/>
  <c r="D221" i="48"/>
  <c r="D220" i="48"/>
  <c r="D219" i="48"/>
  <c r="D218" i="48"/>
  <c r="D217" i="48"/>
  <c r="D216" i="48"/>
  <c r="D215" i="48"/>
  <c r="D214" i="48"/>
  <c r="D213" i="48"/>
  <c r="D212" i="48"/>
  <c r="D211" i="48"/>
  <c r="D210" i="48"/>
  <c r="D209" i="48"/>
  <c r="D208" i="48"/>
  <c r="D207" i="48"/>
  <c r="D206" i="48"/>
  <c r="D205" i="48"/>
  <c r="D204" i="48"/>
  <c r="D203" i="48"/>
  <c r="D202" i="48"/>
  <c r="D201" i="48"/>
  <c r="D200" i="48"/>
  <c r="D199" i="48"/>
  <c r="D198" i="48"/>
  <c r="D197" i="48"/>
  <c r="D196" i="48"/>
  <c r="D195" i="48"/>
  <c r="D194" i="48"/>
  <c r="D193" i="48"/>
  <c r="D192" i="48"/>
  <c r="D191" i="48"/>
  <c r="D190" i="48"/>
  <c r="D189" i="48"/>
  <c r="D188" i="48"/>
  <c r="D187" i="48"/>
  <c r="D186" i="48"/>
  <c r="D185" i="48"/>
  <c r="D184" i="48"/>
  <c r="D183" i="48"/>
  <c r="D182" i="48"/>
  <c r="D181" i="48"/>
  <c r="D180" i="48"/>
  <c r="D179" i="48"/>
  <c r="D178" i="48"/>
  <c r="D177" i="48"/>
  <c r="D176" i="48"/>
  <c r="D175" i="48"/>
  <c r="D174" i="48"/>
  <c r="D173" i="48"/>
  <c r="D172" i="48"/>
  <c r="D171" i="48"/>
  <c r="D170" i="48"/>
  <c r="D169" i="48"/>
  <c r="D168" i="48"/>
  <c r="D167" i="48"/>
  <c r="D166" i="48"/>
  <c r="D165" i="48"/>
  <c r="D164" i="48"/>
  <c r="D163" i="48"/>
  <c r="D162" i="48"/>
  <c r="D161" i="48"/>
  <c r="D160" i="48"/>
  <c r="D159" i="48"/>
  <c r="D158" i="48"/>
  <c r="D157" i="48"/>
  <c r="D156" i="48"/>
  <c r="D155" i="48"/>
  <c r="D154" i="48"/>
  <c r="D153" i="48"/>
  <c r="D152" i="48"/>
  <c r="D151" i="48"/>
  <c r="D150" i="48"/>
  <c r="D149" i="48"/>
  <c r="D148" i="48"/>
  <c r="D147" i="48"/>
  <c r="D146" i="48"/>
  <c r="D145" i="48"/>
  <c r="D144" i="48"/>
  <c r="D143" i="48"/>
  <c r="D142" i="48"/>
  <c r="D141" i="48"/>
  <c r="D140" i="48"/>
  <c r="D139" i="48"/>
  <c r="D138" i="48"/>
  <c r="D137" i="48"/>
  <c r="D136" i="48"/>
  <c r="D135" i="48"/>
  <c r="D134" i="48"/>
  <c r="D133" i="48"/>
  <c r="D132" i="48"/>
  <c r="D131" i="48"/>
  <c r="D130" i="48"/>
  <c r="D129" i="48"/>
  <c r="D128" i="48"/>
  <c r="D127" i="48"/>
  <c r="D126" i="48"/>
  <c r="D125" i="48"/>
  <c r="D124" i="48"/>
  <c r="D123" i="48"/>
  <c r="D122" i="48"/>
  <c r="D121" i="48"/>
  <c r="D120" i="48"/>
  <c r="D119" i="48"/>
  <c r="D118" i="48"/>
  <c r="D117" i="48"/>
  <c r="D116" i="48"/>
  <c r="D115" i="48"/>
  <c r="D114" i="48"/>
  <c r="D113" i="48"/>
  <c r="D112" i="48"/>
  <c r="D111" i="48"/>
  <c r="D110" i="48"/>
  <c r="D109" i="48"/>
  <c r="D108" i="48"/>
  <c r="D107" i="48"/>
  <c r="D106" i="48"/>
  <c r="D105" i="48"/>
  <c r="D104" i="48"/>
  <c r="D103" i="48"/>
  <c r="D102" i="48"/>
  <c r="D101" i="48"/>
  <c r="D100" i="48"/>
  <c r="D99" i="48"/>
  <c r="D98" i="48"/>
  <c r="D97" i="48"/>
  <c r="D96" i="48"/>
  <c r="D95" i="48"/>
  <c r="D94" i="48"/>
  <c r="D93" i="48"/>
  <c r="D92" i="48"/>
  <c r="D91" i="48"/>
  <c r="D90" i="48"/>
  <c r="D89" i="48"/>
  <c r="D88" i="48"/>
  <c r="D87" i="48"/>
  <c r="D86" i="48"/>
  <c r="D85" i="48"/>
  <c r="D84" i="48"/>
  <c r="D83" i="48"/>
  <c r="D82" i="48"/>
  <c r="D81" i="48"/>
  <c r="D80" i="48"/>
  <c r="D79" i="48"/>
  <c r="D78" i="48"/>
  <c r="D77" i="48"/>
  <c r="D76" i="48"/>
  <c r="D75" i="48"/>
  <c r="D74" i="48"/>
  <c r="D73" i="48"/>
  <c r="D72" i="48"/>
  <c r="D71" i="48"/>
  <c r="D70" i="48"/>
  <c r="D69" i="48"/>
  <c r="D68" i="48"/>
  <c r="D67" i="48"/>
  <c r="D66" i="48"/>
  <c r="D65" i="48"/>
  <c r="D64" i="48"/>
  <c r="D63" i="48"/>
  <c r="D62" i="48"/>
  <c r="D61" i="48"/>
  <c r="D60" i="48"/>
  <c r="D59" i="48"/>
  <c r="D58" i="48"/>
  <c r="D57" i="48"/>
  <c r="D56" i="48"/>
  <c r="D55" i="48"/>
  <c r="D54" i="48"/>
  <c r="D53" i="48"/>
  <c r="D52" i="48"/>
  <c r="D51" i="48"/>
  <c r="D50" i="48"/>
  <c r="D49" i="48"/>
  <c r="D48" i="48"/>
  <c r="D47" i="48"/>
  <c r="D46" i="48"/>
  <c r="D45" i="48"/>
  <c r="D44" i="48"/>
  <c r="D43" i="48"/>
  <c r="D42" i="48"/>
  <c r="D41" i="48"/>
  <c r="D40" i="48"/>
  <c r="D39" i="48"/>
  <c r="D38" i="48"/>
  <c r="D37" i="48" l="1"/>
  <c r="D36" i="48"/>
  <c r="D35" i="48"/>
  <c r="D34" i="48"/>
  <c r="D33" i="48"/>
  <c r="D32" i="48"/>
  <c r="D31" i="48"/>
  <c r="D30" i="48"/>
  <c r="D29" i="48"/>
  <c r="D28" i="48"/>
  <c r="D27" i="48"/>
  <c r="D26" i="48"/>
  <c r="D25" i="48"/>
  <c r="D24" i="48"/>
  <c r="D23" i="48"/>
  <c r="D22" i="48"/>
  <c r="D21" i="48"/>
  <c r="D20" i="48"/>
  <c r="D19" i="48"/>
  <c r="D18" i="48"/>
  <c r="D17" i="48"/>
  <c r="D16" i="48"/>
  <c r="D15" i="48"/>
  <c r="D14" i="48"/>
  <c r="D13" i="48"/>
  <c r="D12" i="48"/>
  <c r="D11" i="48"/>
  <c r="D10" i="48"/>
  <c r="I95" i="21"/>
  <c r="I94" i="21"/>
  <c r="I93" i="21"/>
  <c r="I92" i="21"/>
  <c r="I91" i="21"/>
  <c r="I90" i="21"/>
  <c r="I89" i="21"/>
  <c r="I88" i="21"/>
  <c r="I87" i="21"/>
  <c r="I86" i="21"/>
  <c r="I85" i="21"/>
  <c r="I84" i="21"/>
  <c r="I83" i="21"/>
  <c r="I82" i="21"/>
  <c r="I81" i="21"/>
  <c r="I80" i="21"/>
  <c r="I79" i="21"/>
  <c r="I78" i="21"/>
  <c r="I77" i="21"/>
  <c r="I76" i="21"/>
  <c r="I75" i="21"/>
  <c r="I74" i="21"/>
  <c r="I73" i="21"/>
  <c r="I72" i="21"/>
  <c r="I71" i="21"/>
  <c r="I70" i="21"/>
  <c r="I69" i="21"/>
  <c r="I68" i="21"/>
  <c r="I67" i="21"/>
  <c r="I66" i="21"/>
  <c r="I65" i="21"/>
  <c r="I64" i="21"/>
  <c r="I63" i="21"/>
  <c r="I62" i="21"/>
  <c r="I61" i="21"/>
  <c r="I60" i="21"/>
  <c r="I59" i="21"/>
  <c r="I58" i="21"/>
  <c r="I57" i="21"/>
  <c r="I56" i="21"/>
  <c r="I55" i="21"/>
  <c r="I54" i="21"/>
  <c r="I53" i="21"/>
  <c r="I52" i="21"/>
  <c r="I51" i="21"/>
  <c r="I50" i="21"/>
  <c r="I49" i="21"/>
  <c r="I48" i="21"/>
  <c r="I47" i="21"/>
  <c r="I46" i="21"/>
  <c r="I45" i="21"/>
  <c r="I44" i="21"/>
  <c r="I43" i="21"/>
  <c r="I42" i="21"/>
  <c r="I41" i="21"/>
  <c r="I40" i="21"/>
  <c r="I39" i="21"/>
  <c r="I38" i="21"/>
  <c r="I37" i="21"/>
  <c r="I36" i="21"/>
  <c r="I35" i="21"/>
  <c r="I34" i="21"/>
  <c r="I33" i="21"/>
  <c r="I32" i="21"/>
  <c r="I31" i="21"/>
  <c r="I30" i="21"/>
  <c r="I29" i="21"/>
  <c r="I28" i="21"/>
  <c r="I27" i="21"/>
  <c r="I26" i="21"/>
  <c r="I25" i="21"/>
  <c r="I24" i="21"/>
  <c r="I23" i="21"/>
  <c r="I22" i="21"/>
  <c r="I21" i="21"/>
  <c r="I20" i="21"/>
  <c r="I19" i="21"/>
  <c r="I18" i="21"/>
  <c r="I17" i="21"/>
  <c r="I16" i="21"/>
  <c r="I15" i="21"/>
  <c r="I14" i="21"/>
  <c r="I13" i="21"/>
  <c r="I12" i="21"/>
  <c r="I11" i="21"/>
  <c r="I10" i="21"/>
  <c r="I9" i="21"/>
  <c r="I8" i="21"/>
  <c r="I7" i="21"/>
  <c r="I6" i="21"/>
  <c r="I5" i="21"/>
  <c r="I4" i="21"/>
  <c r="I3" i="21"/>
  <c r="I2" i="21"/>
  <c r="C4" i="48" l="1"/>
  <c r="E4" i="48"/>
  <c r="D4" i="48"/>
  <c r="C5" i="48"/>
  <c r="E5" i="48"/>
  <c r="D5" i="48"/>
  <c r="L19" i="48"/>
  <c r="M19" i="48"/>
  <c r="N20" i="48"/>
  <c r="N19" i="48"/>
  <c r="M18" i="48"/>
  <c r="C3" i="48"/>
  <c r="M20" i="48"/>
  <c r="L18" i="48"/>
  <c r="E3" i="48"/>
  <c r="L20" i="48"/>
  <c r="N18" i="48"/>
  <c r="D3" i="48"/>
  <c r="M9" i="32" l="1"/>
  <c r="N9" i="32" s="1"/>
  <c r="M25" i="32"/>
  <c r="N25" i="32"/>
  <c r="M8" i="32"/>
  <c r="N8" i="32" s="1"/>
  <c r="M16" i="32"/>
  <c r="N16" i="32"/>
  <c r="M24" i="32"/>
  <c r="N24" i="32"/>
  <c r="M5" i="32"/>
  <c r="N5" i="32"/>
  <c r="M13" i="32"/>
  <c r="N13" i="32"/>
  <c r="M21" i="32"/>
  <c r="N21" i="32" s="1"/>
  <c r="M29" i="32"/>
  <c r="N29" i="32" s="1"/>
  <c r="M17" i="32"/>
  <c r="N17" i="32" s="1"/>
  <c r="M4" i="32"/>
  <c r="N4" i="32" s="1"/>
  <c r="M12" i="32"/>
  <c r="N12" i="32" s="1"/>
  <c r="M20" i="32"/>
  <c r="N20" i="32" s="1"/>
  <c r="M28" i="32"/>
  <c r="N28" i="32" s="1"/>
</calcChain>
</file>

<file path=xl/sharedStrings.xml><?xml version="1.0" encoding="utf-8"?>
<sst xmlns="http://schemas.openxmlformats.org/spreadsheetml/2006/main" count="4519" uniqueCount="1023">
  <si>
    <t>No of Male</t>
  </si>
  <si>
    <t>No of Female</t>
  </si>
  <si>
    <t>M</t>
  </si>
  <si>
    <t>Sunil</t>
  </si>
  <si>
    <t>F</t>
  </si>
  <si>
    <t>Shilpa</t>
  </si>
  <si>
    <t>Binil</t>
  </si>
  <si>
    <t>Deepa</t>
  </si>
  <si>
    <t>GENDER</t>
  </si>
  <si>
    <t>STUDENT NAME</t>
  </si>
  <si>
    <t>COUNTIF</t>
  </si>
  <si>
    <t>COUNT</t>
  </si>
  <si>
    <t>COUNTBLANK</t>
  </si>
  <si>
    <t>COUNTA</t>
  </si>
  <si>
    <t>MAX</t>
  </si>
  <si>
    <t>GF</t>
  </si>
  <si>
    <t>MARKS</t>
  </si>
  <si>
    <t>MIN</t>
  </si>
  <si>
    <t>Average</t>
  </si>
  <si>
    <t>SUM</t>
  </si>
  <si>
    <t>P5</t>
  </si>
  <si>
    <t>P4</t>
  </si>
  <si>
    <t>P3</t>
  </si>
  <si>
    <t>P2</t>
  </si>
  <si>
    <t>P1</t>
  </si>
  <si>
    <t>TOTAL</t>
  </si>
  <si>
    <t>COST</t>
  </si>
  <si>
    <t>QTY</t>
  </si>
  <si>
    <t>PRODUCTS</t>
  </si>
  <si>
    <t>AVERAGE</t>
  </si>
  <si>
    <t>PRODUCT</t>
  </si>
  <si>
    <t>Ken</t>
  </si>
  <si>
    <t>Karen</t>
  </si>
  <si>
    <t>Jasmin</t>
  </si>
  <si>
    <t>Bonus</t>
  </si>
  <si>
    <t>Target</t>
  </si>
  <si>
    <t>Sales</t>
  </si>
  <si>
    <t>Name</t>
  </si>
  <si>
    <t>Net Income</t>
  </si>
  <si>
    <t>PF(Basic*12%)</t>
  </si>
  <si>
    <t>Income Tax</t>
  </si>
  <si>
    <t>Taxable Income(Basic+DA+HRA+Conv)</t>
  </si>
  <si>
    <t>Conveyance(10%*Basic)</t>
  </si>
  <si>
    <t>HRA(35%*Basic)</t>
  </si>
  <si>
    <t>DA(50%*Basic)</t>
  </si>
  <si>
    <t>Basic Salary</t>
  </si>
  <si>
    <t>COUNT OF POOR</t>
  </si>
  <si>
    <t>COUNT OF GOOD</t>
  </si>
  <si>
    <t>COUNT OF EXCELLENT</t>
  </si>
  <si>
    <t xml:space="preserve">AVERAGE SALE VALUE </t>
  </si>
  <si>
    <t>LOWEST SALE VALUE</t>
  </si>
  <si>
    <t xml:space="preserve">HIGHEST SALE VALUE </t>
  </si>
  <si>
    <t>TOTAL SALES</t>
  </si>
  <si>
    <t>EXCELLENT</t>
  </si>
  <si>
    <t>Above 5000</t>
  </si>
  <si>
    <t>GOOD</t>
  </si>
  <si>
    <t>1000 to 5000</t>
  </si>
  <si>
    <t>POOR</t>
  </si>
  <si>
    <t>Less than 1000</t>
  </si>
  <si>
    <t xml:space="preserve">Grade </t>
  </si>
  <si>
    <t xml:space="preserve">Sales </t>
  </si>
  <si>
    <t>5% of sales</t>
  </si>
  <si>
    <t>2% of sales</t>
  </si>
  <si>
    <t>No commission</t>
  </si>
  <si>
    <t>Commission</t>
  </si>
  <si>
    <t>GRADE</t>
  </si>
  <si>
    <t>COMMISSION</t>
  </si>
  <si>
    <t xml:space="preserve">SALES </t>
  </si>
  <si>
    <t>PRICE</t>
  </si>
  <si>
    <t xml:space="preserve">UNITS </t>
  </si>
  <si>
    <t>ITEM CODE</t>
  </si>
  <si>
    <t>Arun</t>
  </si>
  <si>
    <t>Prashanth</t>
  </si>
  <si>
    <t>Praveen</t>
  </si>
  <si>
    <t>Ajay</t>
  </si>
  <si>
    <t>Naveen</t>
  </si>
  <si>
    <t>Vineeth</t>
  </si>
  <si>
    <t>Suresh</t>
  </si>
  <si>
    <t>Amith</t>
  </si>
  <si>
    <t>Rakesh</t>
  </si>
  <si>
    <t>Suman</t>
  </si>
  <si>
    <t>Reg No</t>
  </si>
  <si>
    <t>Roopa</t>
  </si>
  <si>
    <t>Lakshmi</t>
  </si>
  <si>
    <t>Sheeja</t>
  </si>
  <si>
    <t>Ravi</t>
  </si>
  <si>
    <t>Anand</t>
  </si>
  <si>
    <t>Sriram</t>
  </si>
  <si>
    <t>Shanoj</t>
  </si>
  <si>
    <t>Veena</t>
  </si>
  <si>
    <t>Adithya</t>
  </si>
  <si>
    <t>Ram</t>
  </si>
  <si>
    <t>Computer</t>
  </si>
  <si>
    <t>Maths</t>
  </si>
  <si>
    <t>Science</t>
  </si>
  <si>
    <t>Hindi</t>
  </si>
  <si>
    <t>English</t>
  </si>
  <si>
    <t>The Tax Rate is:</t>
  </si>
  <si>
    <t>Enter Income</t>
  </si>
  <si>
    <t xml:space="preserve">Tax Rate
</t>
  </si>
  <si>
    <t xml:space="preserve">But less than or equal to….
</t>
  </si>
  <si>
    <t xml:space="preserve">Income is greater than or equal to…
</t>
  </si>
  <si>
    <t>Tooley</t>
  </si>
  <si>
    <t>Amy</t>
  </si>
  <si>
    <t>AW59</t>
  </si>
  <si>
    <t>RH</t>
  </si>
  <si>
    <t>Binga</t>
  </si>
  <si>
    <t>Erin</t>
  </si>
  <si>
    <t>AA70</t>
  </si>
  <si>
    <t>R</t>
  </si>
  <si>
    <t>Whitney</t>
  </si>
  <si>
    <t>Sam</t>
  </si>
  <si>
    <t>GS09</t>
  </si>
  <si>
    <t>DR</t>
  </si>
  <si>
    <t>Thomas</t>
  </si>
  <si>
    <t>Greg</t>
  </si>
  <si>
    <t>AC53</t>
  </si>
  <si>
    <t>Owens</t>
  </si>
  <si>
    <t>Alice</t>
  </si>
  <si>
    <t>AW48</t>
  </si>
  <si>
    <t>D</t>
  </si>
  <si>
    <t>Brown</t>
  </si>
  <si>
    <t>Geoff</t>
  </si>
  <si>
    <t>GBA48</t>
  </si>
  <si>
    <t>DRH</t>
  </si>
  <si>
    <t>Martin</t>
  </si>
  <si>
    <t>Paul</t>
  </si>
  <si>
    <t>GC02</t>
  </si>
  <si>
    <t>DH</t>
  </si>
  <si>
    <t>Winters</t>
  </si>
  <si>
    <t>Jane</t>
  </si>
  <si>
    <t>GBA23</t>
  </si>
  <si>
    <t>Smith</t>
  </si>
  <si>
    <t>Katie</t>
  </si>
  <si>
    <t>CS32</t>
  </si>
  <si>
    <t>Stewart</t>
  </si>
  <si>
    <t>Helen</t>
  </si>
  <si>
    <t>GA57</t>
  </si>
  <si>
    <t>Hayes</t>
  </si>
  <si>
    <t>Ted</t>
  </si>
  <si>
    <t>GBA33</t>
  </si>
  <si>
    <t>Sullivan</t>
  </si>
  <si>
    <t>Lorrie</t>
  </si>
  <si>
    <t>AW04</t>
  </si>
  <si>
    <t>Gibbs</t>
  </si>
  <si>
    <t>Richard</t>
  </si>
  <si>
    <t>GC24</t>
  </si>
  <si>
    <t>Sloan</t>
  </si>
  <si>
    <t>Grace</t>
  </si>
  <si>
    <t>AS12</t>
  </si>
  <si>
    <t>GW11</t>
  </si>
  <si>
    <t>Calvin</t>
  </si>
  <si>
    <t>Marianne</t>
  </si>
  <si>
    <t>AS23</t>
  </si>
  <si>
    <t>H</t>
  </si>
  <si>
    <t>Miller</t>
  </si>
  <si>
    <t>Theresa</t>
  </si>
  <si>
    <t>CS79</t>
  </si>
  <si>
    <t>Williams</t>
  </si>
  <si>
    <t>Esther</t>
  </si>
  <si>
    <t>AW39</t>
  </si>
  <si>
    <t>Barthoff</t>
  </si>
  <si>
    <t>Tim</t>
  </si>
  <si>
    <t>GW47</t>
  </si>
  <si>
    <t>Taylor</t>
  </si>
  <si>
    <t>Holly</t>
  </si>
  <si>
    <t>GC07</t>
  </si>
  <si>
    <t>Frieda</t>
  </si>
  <si>
    <t>AA02</t>
  </si>
  <si>
    <t>Howard</t>
  </si>
  <si>
    <t>Bradley</t>
  </si>
  <si>
    <t>GBW12</t>
  </si>
  <si>
    <t>Jacobs</t>
  </si>
  <si>
    <t>John</t>
  </si>
  <si>
    <t>GA27</t>
  </si>
  <si>
    <t>Switzer</t>
  </si>
  <si>
    <t>Maria</t>
  </si>
  <si>
    <t>GC26</t>
  </si>
  <si>
    <t>Kim</t>
  </si>
  <si>
    <t>GS54</t>
  </si>
  <si>
    <t>Dandrow</t>
  </si>
  <si>
    <t>Shirley</t>
  </si>
  <si>
    <t>CC45</t>
  </si>
  <si>
    <t>Abel</t>
  </si>
  <si>
    <t>William</t>
  </si>
  <si>
    <t>GBW66</t>
  </si>
  <si>
    <t>Robinson</t>
  </si>
  <si>
    <t>Paula</t>
  </si>
  <si>
    <t>GA23</t>
  </si>
  <si>
    <t>Reed</t>
  </si>
  <si>
    <t>Chris</t>
  </si>
  <si>
    <t>CW03</t>
  </si>
  <si>
    <t>Winger</t>
  </si>
  <si>
    <t>Lindsey</t>
  </si>
  <si>
    <t>AA25</t>
  </si>
  <si>
    <t>Simmons</t>
  </si>
  <si>
    <t>Lynne</t>
  </si>
  <si>
    <t>AC17</t>
  </si>
  <si>
    <t>McDonald</t>
  </si>
  <si>
    <t>Jerry</t>
  </si>
  <si>
    <t>GA08</t>
  </si>
  <si>
    <t>Lewis</t>
  </si>
  <si>
    <t>Michael</t>
  </si>
  <si>
    <t>AW58</t>
  </si>
  <si>
    <t>Lillie</t>
  </si>
  <si>
    <t>Christina</t>
  </si>
  <si>
    <t>GBA24</t>
  </si>
  <si>
    <t>Trelly</t>
  </si>
  <si>
    <t>Edward</t>
  </si>
  <si>
    <t>AC27</t>
  </si>
  <si>
    <t>Karina</t>
  </si>
  <si>
    <t>GW30</t>
  </si>
  <si>
    <t>Masters</t>
  </si>
  <si>
    <t>Todd</t>
  </si>
  <si>
    <t>GBS69</t>
  </si>
  <si>
    <t>Wheeler</t>
  </si>
  <si>
    <t>Bill</t>
  </si>
  <si>
    <t>GBW05</t>
  </si>
  <si>
    <t>Maccaluso</t>
  </si>
  <si>
    <t>Joshua</t>
  </si>
  <si>
    <t>AW69</t>
  </si>
  <si>
    <t>Snyder</t>
  </si>
  <si>
    <t>Jennifer</t>
  </si>
  <si>
    <t>CW30</t>
  </si>
  <si>
    <t>Mazza</t>
  </si>
  <si>
    <t>Dominick</t>
  </si>
  <si>
    <t>GBC09</t>
  </si>
  <si>
    <t>Hillen</t>
  </si>
  <si>
    <t>Brooks</t>
  </si>
  <si>
    <t>GBA21</t>
  </si>
  <si>
    <t>Paterson</t>
  </si>
  <si>
    <t>Henry</t>
  </si>
  <si>
    <t>GC20</t>
  </si>
  <si>
    <t>Tucker</t>
  </si>
  <si>
    <t>Carol</t>
  </si>
  <si>
    <t>GBA14</t>
  </si>
  <si>
    <t>Singer</t>
  </si>
  <si>
    <t>Steve</t>
  </si>
  <si>
    <t>AS29</t>
  </si>
  <si>
    <t>Feldsott</t>
  </si>
  <si>
    <t>George</t>
  </si>
  <si>
    <t>GW37</t>
  </si>
  <si>
    <t>Briscoll</t>
  </si>
  <si>
    <t>Doug</t>
  </si>
  <si>
    <t>CA40</t>
  </si>
  <si>
    <t>Davidson</t>
  </si>
  <si>
    <t>Anne</t>
  </si>
  <si>
    <t>CC23</t>
  </si>
  <si>
    <t>Davies</t>
  </si>
  <si>
    <t>Lance</t>
  </si>
  <si>
    <t>GBC64</t>
  </si>
  <si>
    <t>Earnhart</t>
  </si>
  <si>
    <t>Kyle</t>
  </si>
  <si>
    <t>GBS16</t>
  </si>
  <si>
    <t>Bowers</t>
  </si>
  <si>
    <t>Melanie</t>
  </si>
  <si>
    <t>AA35</t>
  </si>
  <si>
    <t>Richardson</t>
  </si>
  <si>
    <t>GBA28</t>
  </si>
  <si>
    <t>Simpson</t>
  </si>
  <si>
    <t>GS07</t>
  </si>
  <si>
    <t>Mayron</t>
  </si>
  <si>
    <t>Kathy</t>
  </si>
  <si>
    <t>GBA29</t>
  </si>
  <si>
    <t>Connors</t>
  </si>
  <si>
    <t>GBC49</t>
  </si>
  <si>
    <t>Steadman</t>
  </si>
  <si>
    <t>Molly</t>
  </si>
  <si>
    <t>GBC65</t>
  </si>
  <si>
    <t>Mallory</t>
  </si>
  <si>
    <t>Fred</t>
  </si>
  <si>
    <t>CA06</t>
  </si>
  <si>
    <t>Altman</t>
  </si>
  <si>
    <t>Mary</t>
  </si>
  <si>
    <t>GC12</t>
  </si>
  <si>
    <t>Allen</t>
  </si>
  <si>
    <t>Peter</t>
  </si>
  <si>
    <t>AW24</t>
  </si>
  <si>
    <t>Barber</t>
  </si>
  <si>
    <t>GW32</t>
  </si>
  <si>
    <t>Brian</t>
  </si>
  <si>
    <t>GS40</t>
  </si>
  <si>
    <t>Reagan</t>
  </si>
  <si>
    <t>Laura</t>
  </si>
  <si>
    <t>GBW77</t>
  </si>
  <si>
    <t>James</t>
  </si>
  <si>
    <t>GBC29</t>
  </si>
  <si>
    <t>Drake</t>
  </si>
  <si>
    <t>Susan</t>
  </si>
  <si>
    <t>GBA34</t>
  </si>
  <si>
    <t>Parker</t>
  </si>
  <si>
    <t>Joanne</t>
  </si>
  <si>
    <t>AW09</t>
  </si>
  <si>
    <t>Reese</t>
  </si>
  <si>
    <t>Donald</t>
  </si>
  <si>
    <t>CS15</t>
  </si>
  <si>
    <t>Cuffaro</t>
  </si>
  <si>
    <t>Robert</t>
  </si>
  <si>
    <t>GBC08</t>
  </si>
  <si>
    <t>Hinkelman</t>
  </si>
  <si>
    <t>Brad</t>
  </si>
  <si>
    <t>GW15</t>
  </si>
  <si>
    <t>Ness</t>
  </si>
  <si>
    <t>Theodore</t>
  </si>
  <si>
    <t>CA80</t>
  </si>
  <si>
    <t>Sung</t>
  </si>
  <si>
    <t>GA49</t>
  </si>
  <si>
    <t>MacFall</t>
  </si>
  <si>
    <t>Jeri Lynn</t>
  </si>
  <si>
    <t>AW07</t>
  </si>
  <si>
    <t>Strong</t>
  </si>
  <si>
    <t>Jeffrey</t>
  </si>
  <si>
    <t>GW04</t>
  </si>
  <si>
    <t>Banks</t>
  </si>
  <si>
    <t>Jacqueline</t>
  </si>
  <si>
    <t>AS03</t>
  </si>
  <si>
    <t>Julia</t>
  </si>
  <si>
    <t>GBA19</t>
  </si>
  <si>
    <t>Hill</t>
  </si>
  <si>
    <t>GW18</t>
  </si>
  <si>
    <t>Kramer</t>
  </si>
  <si>
    <t>Dean</t>
  </si>
  <si>
    <t>AC49</t>
  </si>
  <si>
    <t>Hoffman</t>
  </si>
  <si>
    <t>GBS57</t>
  </si>
  <si>
    <t>Gorski</t>
  </si>
  <si>
    <t>CA18</t>
  </si>
  <si>
    <t>Rich</t>
  </si>
  <si>
    <t>GBC11</t>
  </si>
  <si>
    <t>Murray</t>
  </si>
  <si>
    <t>GBW47</t>
  </si>
  <si>
    <t>Hume</t>
  </si>
  <si>
    <t>GBS59</t>
  </si>
  <si>
    <t>Ambrose</t>
  </si>
  <si>
    <t>Bob</t>
  </si>
  <si>
    <t>GW14</t>
  </si>
  <si>
    <t>Rose</t>
  </si>
  <si>
    <t>Seth</t>
  </si>
  <si>
    <t>CC76</t>
  </si>
  <si>
    <t>Chen</t>
  </si>
  <si>
    <t>Shing</t>
  </si>
  <si>
    <t>GBC05</t>
  </si>
  <si>
    <t>Swayne</t>
  </si>
  <si>
    <t>Harry</t>
  </si>
  <si>
    <t>GC25</t>
  </si>
  <si>
    <t>Halal</t>
  </si>
  <si>
    <t>Cheryl</t>
  </si>
  <si>
    <t>CA26</t>
  </si>
  <si>
    <t>Bally</t>
  </si>
  <si>
    <t>Barry</t>
  </si>
  <si>
    <t>GC04</t>
  </si>
  <si>
    <t>Califano</t>
  </si>
  <si>
    <t>CW19</t>
  </si>
  <si>
    <t>DeVinney</t>
  </si>
  <si>
    <t>Kristen</t>
  </si>
  <si>
    <t>GBS45</t>
  </si>
  <si>
    <t>Culbert</t>
  </si>
  <si>
    <t>Frank</t>
  </si>
  <si>
    <t>GBC07</t>
  </si>
  <si>
    <t>Teri</t>
  </si>
  <si>
    <t>AW55</t>
  </si>
  <si>
    <t>Colleen</t>
  </si>
  <si>
    <t>CW58</t>
  </si>
  <si>
    <t>Willis</t>
  </si>
  <si>
    <t>Sean</t>
  </si>
  <si>
    <t>GBW09</t>
  </si>
  <si>
    <t>Kling</t>
  </si>
  <si>
    <t>Sara</t>
  </si>
  <si>
    <t>GW29</t>
  </si>
  <si>
    <t>GROSS PAY</t>
  </si>
  <si>
    <t>HOURLY RATE</t>
  </si>
  <si>
    <t>HRS</t>
  </si>
  <si>
    <t>DEPT</t>
  </si>
  <si>
    <t>DATE of HIRE</t>
  </si>
  <si>
    <t>LAST</t>
  </si>
  <si>
    <t>FIRST</t>
  </si>
  <si>
    <t>EMP ID</t>
  </si>
  <si>
    <t>NUM</t>
  </si>
  <si>
    <t>Monthly Payment</t>
  </si>
  <si>
    <t>Term in Months:</t>
  </si>
  <si>
    <t>Interest Rate:</t>
  </si>
  <si>
    <t>Principal Amount:</t>
  </si>
  <si>
    <t>Total</t>
  </si>
  <si>
    <t>364H780</t>
  </si>
  <si>
    <t>764S890</t>
  </si>
  <si>
    <t>394T870</t>
  </si>
  <si>
    <t>609D942</t>
  </si>
  <si>
    <t>409S799</t>
  </si>
  <si>
    <t>265T775</t>
  </si>
  <si>
    <t>342G756</t>
  </si>
  <si>
    <t>813T930</t>
  </si>
  <si>
    <t>344D695</t>
  </si>
  <si>
    <t>Jun</t>
  </si>
  <si>
    <t>May</t>
  </si>
  <si>
    <t>Apr</t>
  </si>
  <si>
    <t>Mar</t>
  </si>
  <si>
    <t>Feb</t>
  </si>
  <si>
    <t>Jan</t>
  </si>
  <si>
    <t>Unit Price</t>
  </si>
  <si>
    <t>Units Sold</t>
  </si>
  <si>
    <t>Product</t>
  </si>
  <si>
    <t>Amount</t>
  </si>
  <si>
    <t>Price</t>
  </si>
  <si>
    <t>Qty</t>
  </si>
  <si>
    <t>Item Code</t>
  </si>
  <si>
    <t>Student Name</t>
  </si>
  <si>
    <t>Loan Amount</t>
  </si>
  <si>
    <t>Term (months)</t>
  </si>
  <si>
    <t>Interest rate</t>
  </si>
  <si>
    <t>Interest Rate</t>
  </si>
  <si>
    <t>South</t>
  </si>
  <si>
    <t>North</t>
  </si>
  <si>
    <t>Jul</t>
  </si>
  <si>
    <t>Aug</t>
  </si>
  <si>
    <t>Region</t>
  </si>
  <si>
    <t>Agent</t>
  </si>
  <si>
    <t>Revenue</t>
  </si>
  <si>
    <t>Month</t>
  </si>
  <si>
    <t>Year</t>
  </si>
  <si>
    <t>RTC</t>
  </si>
  <si>
    <t>Jaipur</t>
  </si>
  <si>
    <t>Rajesthan</t>
  </si>
  <si>
    <t>West</t>
  </si>
  <si>
    <t>Pepsodent</t>
  </si>
  <si>
    <t>PC021</t>
  </si>
  <si>
    <t>MATC</t>
  </si>
  <si>
    <t>Bishnupur</t>
  </si>
  <si>
    <t>Manipur</t>
  </si>
  <si>
    <t>East</t>
  </si>
  <si>
    <t>Print Paper</t>
  </si>
  <si>
    <t>PC043</t>
  </si>
  <si>
    <t>KETC</t>
  </si>
  <si>
    <t>Kollam</t>
  </si>
  <si>
    <t>Kerala</t>
  </si>
  <si>
    <t>Cello Pen</t>
  </si>
  <si>
    <t>PC003</t>
  </si>
  <si>
    <t>HPTC</t>
  </si>
  <si>
    <t>Manali</t>
  </si>
  <si>
    <t>HP</t>
  </si>
  <si>
    <t>Lux</t>
  </si>
  <si>
    <t>PC001</t>
  </si>
  <si>
    <t>Dettol</t>
  </si>
  <si>
    <t>PC019</t>
  </si>
  <si>
    <t>ARTC</t>
  </si>
  <si>
    <t>Itanagar</t>
  </si>
  <si>
    <t>Arunachal Pradesh</t>
  </si>
  <si>
    <t>APTC</t>
  </si>
  <si>
    <t>Warangal</t>
  </si>
  <si>
    <t>AP</t>
  </si>
  <si>
    <t>PTC</t>
  </si>
  <si>
    <t>Kapurthala</t>
  </si>
  <si>
    <t>Punjab</t>
  </si>
  <si>
    <t>MHTC</t>
  </si>
  <si>
    <t>Nasik</t>
  </si>
  <si>
    <t>Maharastra</t>
  </si>
  <si>
    <t>TRTC</t>
  </si>
  <si>
    <t>Agarthala</t>
  </si>
  <si>
    <t>Tripura</t>
  </si>
  <si>
    <t>TNTC</t>
  </si>
  <si>
    <t>Trichy</t>
  </si>
  <si>
    <t>TN</t>
  </si>
  <si>
    <t>DTC</t>
  </si>
  <si>
    <t>Delhi</t>
  </si>
  <si>
    <t>Mumbai</t>
  </si>
  <si>
    <t>TTC</t>
  </si>
  <si>
    <t>Hyderabad</t>
  </si>
  <si>
    <t>UTC</t>
  </si>
  <si>
    <t>Nanital</t>
  </si>
  <si>
    <t>Uttaranchal</t>
  </si>
  <si>
    <t>GTC</t>
  </si>
  <si>
    <t>Ahmedabad</t>
  </si>
  <si>
    <t>Gujarat</t>
  </si>
  <si>
    <t>NTC</t>
  </si>
  <si>
    <t>Kohima</t>
  </si>
  <si>
    <t>Nagaland</t>
  </si>
  <si>
    <t>Chennai</t>
  </si>
  <si>
    <t>Amrithsar</t>
  </si>
  <si>
    <t>Ajmer</t>
  </si>
  <si>
    <t>Imphal</t>
  </si>
  <si>
    <t>Kochi</t>
  </si>
  <si>
    <t>Simla</t>
  </si>
  <si>
    <t>Bikaner</t>
  </si>
  <si>
    <t>MTC</t>
  </si>
  <si>
    <t>Shillong</t>
  </si>
  <si>
    <t>Meghalaya</t>
  </si>
  <si>
    <t>KATC</t>
  </si>
  <si>
    <t>Bangalore</t>
  </si>
  <si>
    <t>Karnataka</t>
  </si>
  <si>
    <t>JKTC</t>
  </si>
  <si>
    <t>Jammu</t>
  </si>
  <si>
    <t>J&amp;K</t>
  </si>
  <si>
    <t>Vadodara</t>
  </si>
  <si>
    <t>ABC</t>
  </si>
  <si>
    <t>Dispur</t>
  </si>
  <si>
    <t>Assam</t>
  </si>
  <si>
    <t>Profit</t>
  </si>
  <si>
    <t>Sales Value</t>
  </si>
  <si>
    <t>Territory</t>
  </si>
  <si>
    <t>Area</t>
  </si>
  <si>
    <t>Basic Price</t>
  </si>
  <si>
    <t>Price/Unit</t>
  </si>
  <si>
    <t>Product Name</t>
  </si>
  <si>
    <t>Product Code</t>
  </si>
  <si>
    <t>New Jersey</t>
  </si>
  <si>
    <t>New York</t>
  </si>
  <si>
    <t>Oregon</t>
  </si>
  <si>
    <t>Washington</t>
  </si>
  <si>
    <t>California</t>
  </si>
  <si>
    <t>State</t>
  </si>
  <si>
    <t>Contacts</t>
  </si>
  <si>
    <t>Grades</t>
  </si>
  <si>
    <t>C</t>
  </si>
  <si>
    <t>B</t>
  </si>
  <si>
    <t>A</t>
  </si>
  <si>
    <t>A+</t>
  </si>
  <si>
    <t>B447</t>
  </si>
  <si>
    <t>Y972</t>
  </si>
  <si>
    <t>Q122</t>
  </si>
  <si>
    <t>Date</t>
  </si>
  <si>
    <t>Customer</t>
  </si>
  <si>
    <t>Quantity</t>
  </si>
  <si>
    <t>COGS</t>
  </si>
  <si>
    <t>Safe Aerobic Inc.</t>
  </si>
  <si>
    <t>Innovative Paint Company</t>
  </si>
  <si>
    <t>Alluring Raft Corporation</t>
  </si>
  <si>
    <t>Paramount Necktie Inc.</t>
  </si>
  <si>
    <t>Powerful Utensil Traders</t>
  </si>
  <si>
    <t>Central</t>
  </si>
  <si>
    <t>Flexible Ink Corporation</t>
  </si>
  <si>
    <t>Best Scooter Corporation</t>
  </si>
  <si>
    <t>Superior Meter Company</t>
  </si>
  <si>
    <t>Remarkable Doghouse Supply</t>
  </si>
  <si>
    <t>Persuasive Shoe Inc.</t>
  </si>
  <si>
    <t>Vivid Yardstick Company</t>
  </si>
  <si>
    <t>First-Rate Radio Supply</t>
  </si>
  <si>
    <t>Tremendous Meter Partners</t>
  </si>
  <si>
    <t>Enhanced Barometer Corporation</t>
  </si>
  <si>
    <t>Honest Banister Company</t>
  </si>
  <si>
    <t>User-Friendly Luggage Company</t>
  </si>
  <si>
    <t>Hip Electronics Company</t>
  </si>
  <si>
    <t>Special Gadget Inc.</t>
  </si>
  <si>
    <t>Mouthwatering Furnace Supply</t>
  </si>
  <si>
    <t>Compelling Bottle Inc.</t>
  </si>
  <si>
    <t>Fully Vegetable Corporation</t>
  </si>
  <si>
    <t>Different Eggbeater Corporation</t>
  </si>
  <si>
    <t>Inventive Glass Company</t>
  </si>
  <si>
    <t>Paramount Vise Corporation</t>
  </si>
  <si>
    <t>Flexible Thermostat Company</t>
  </si>
  <si>
    <t>Guaranteed Freezer Company</t>
  </si>
  <si>
    <t>Enhanced Adhesive Company</t>
  </si>
  <si>
    <t xml:space="preserve"> </t>
  </si>
  <si>
    <t>Project Start Date</t>
  </si>
  <si>
    <t>No of Days</t>
  </si>
  <si>
    <t>Holidays</t>
  </si>
  <si>
    <t>Republic Day</t>
  </si>
  <si>
    <t>Mahashivratri</t>
  </si>
  <si>
    <t>Ugadi</t>
  </si>
  <si>
    <t>Good Friday</t>
  </si>
  <si>
    <t>May Day</t>
  </si>
  <si>
    <t>Independence Day</t>
  </si>
  <si>
    <t>Onam</t>
  </si>
  <si>
    <t>Ganesh Chaturthi</t>
  </si>
  <si>
    <t>Gandhi Jayanthi</t>
  </si>
  <si>
    <t>Mahalya Amavasya</t>
  </si>
  <si>
    <t>Ayudha Pooja</t>
  </si>
  <si>
    <t>Dasara</t>
  </si>
  <si>
    <t>Karnataka Rajyotsava</t>
  </si>
  <si>
    <t>Diwali</t>
  </si>
  <si>
    <t>Christmas</t>
  </si>
  <si>
    <t>Finish Date</t>
  </si>
  <si>
    <t>Project End Date</t>
  </si>
  <si>
    <t>No. of Working Days</t>
  </si>
  <si>
    <t>Day</t>
  </si>
  <si>
    <t>_x0007_Sara</t>
  </si>
  <si>
    <t>_x0008_Sean</t>
  </si>
  <si>
    <t>_x0006_Colleen</t>
  </si>
  <si>
    <t>_x0005_Teri</t>
  </si>
  <si>
    <t>_x0004_Frank</t>
  </si>
  <si>
    <t>_x0003_Kristen</t>
  </si>
  <si>
    <t>_x0007_Theresa</t>
  </si>
  <si>
    <t>_x0008_Barry</t>
  </si>
  <si>
    <t>_x0006_Cheryl</t>
  </si>
  <si>
    <t>_x0005_Harry</t>
  </si>
  <si>
    <t>_x0004_Shing</t>
  </si>
  <si>
    <t>_x0003_Seth</t>
  </si>
  <si>
    <t>_x0007_Bob</t>
  </si>
  <si>
    <t>_x0008_Chris</t>
  </si>
  <si>
    <t>_x0006_Robert</t>
  </si>
  <si>
    <t>_x0005_James</t>
  </si>
  <si>
    <t>_x0004_George</t>
  </si>
  <si>
    <t>_x0003_Paul</t>
  </si>
  <si>
    <t>_x0007_Dean</t>
  </si>
  <si>
    <t>_x0008_Carol</t>
  </si>
  <si>
    <t>_x0006_Julia</t>
  </si>
  <si>
    <t>_x0005_Jacqueline</t>
  </si>
  <si>
    <t>_x0004_Jeffrey</t>
  </si>
  <si>
    <t>_x0003_Jeri Lynn</t>
  </si>
  <si>
    <t>_x0007_Sung</t>
  </si>
  <si>
    <t>_x0008_Theodore</t>
  </si>
  <si>
    <t>_x0006_Brad</t>
  </si>
  <si>
    <t>_x0005_Robert</t>
  </si>
  <si>
    <t>_x0004_Donald</t>
  </si>
  <si>
    <t>_x0003_Joanne</t>
  </si>
  <si>
    <t>_x0007_Susan</t>
  </si>
  <si>
    <t>_x0008_James</t>
  </si>
  <si>
    <t>_x0006_Laura</t>
  </si>
  <si>
    <t>_x0005_Brian</t>
  </si>
  <si>
    <t>_x0004_Mary</t>
  </si>
  <si>
    <t>_x0003_Peter</t>
  </si>
  <si>
    <t>_x0007_Mary</t>
  </si>
  <si>
    <t>_x0008_Fred</t>
  </si>
  <si>
    <t>_x0006_Molly</t>
  </si>
  <si>
    <t>_x0005_Greg</t>
  </si>
  <si>
    <t>_x0004_Kathy</t>
  </si>
  <si>
    <t>_x0003_Bill</t>
  </si>
  <si>
    <t>_x0007_Michael</t>
  </si>
  <si>
    <t>_x0008_Melanie</t>
  </si>
  <si>
    <t>_x0006_Kyle</t>
  </si>
  <si>
    <t>_x0005_Lance</t>
  </si>
  <si>
    <t>_x0004_Anne</t>
  </si>
  <si>
    <t>_x0003_Doug</t>
  </si>
  <si>
    <t>_x0007_George</t>
  </si>
  <si>
    <t>_x0008_Steve</t>
  </si>
  <si>
    <t>_x0006_Carol</t>
  </si>
  <si>
    <t>_x0005_Henry</t>
  </si>
  <si>
    <t>_x0004_Brooks</t>
  </si>
  <si>
    <t>_x0003_Dominick</t>
  </si>
  <si>
    <t>_x0007_Jennifer</t>
  </si>
  <si>
    <t>_x0008_Joshua</t>
  </si>
  <si>
    <t>_x0006_Bill</t>
  </si>
  <si>
    <t>_x0005_Todd</t>
  </si>
  <si>
    <t>_x0004_Karina</t>
  </si>
  <si>
    <t>_x0003_Edward</t>
  </si>
  <si>
    <t>_x0007_Christina</t>
  </si>
  <si>
    <t>_x0008_Michael</t>
  </si>
  <si>
    <t>_x0006_Jerry</t>
  </si>
  <si>
    <t>_x0005_Lynne</t>
  </si>
  <si>
    <t>_x0004_Lindsey</t>
  </si>
  <si>
    <t>_x0003_Chris</t>
  </si>
  <si>
    <t>_x0007_Paula</t>
  </si>
  <si>
    <t>_x0008_William</t>
  </si>
  <si>
    <t>_x0006_Shirley</t>
  </si>
  <si>
    <t>_x0005_Kim</t>
  </si>
  <si>
    <t>_x0004_Maria</t>
  </si>
  <si>
    <t>_x0003_John</t>
  </si>
  <si>
    <t>_x0007_Bradley</t>
  </si>
  <si>
    <t>_x0008_Frieda</t>
  </si>
  <si>
    <t>_x0006_Holly</t>
  </si>
  <si>
    <t>_x0005_Tim</t>
  </si>
  <si>
    <t>_x0004_Esther</t>
  </si>
  <si>
    <t>_x0003_Theresa</t>
  </si>
  <si>
    <t>_x0007_Marianne</t>
  </si>
  <si>
    <t>_x0008_</t>
  </si>
  <si>
    <t>_x0006_Grace</t>
  </si>
  <si>
    <t>_x0005_Richard</t>
  </si>
  <si>
    <t>_x0004_Lorrie</t>
  </si>
  <si>
    <t>_x0003_Ted</t>
  </si>
  <si>
    <t>_x0007_Helen</t>
  </si>
  <si>
    <t>_x0008_Katie</t>
  </si>
  <si>
    <t>_x0006_Jane</t>
  </si>
  <si>
    <t>_x0005_Paul</t>
  </si>
  <si>
    <t>_x0004_Geoff</t>
  </si>
  <si>
    <t>_x0003_Alice</t>
  </si>
  <si>
    <t>_x0007_Greg</t>
  </si>
  <si>
    <t>_x0008_Sam</t>
  </si>
  <si>
    <t>_x0006_Erin</t>
  </si>
  <si>
    <t>_x0005_Amy</t>
  </si>
  <si>
    <t>Dean Kramer</t>
  </si>
  <si>
    <t>Carol Hill</t>
  </si>
  <si>
    <t>Julia Smith</t>
  </si>
  <si>
    <t>Jacqueline Banks</t>
  </si>
  <si>
    <t>Jeffrey Strong</t>
  </si>
  <si>
    <t>Jeri Lynn MacFall</t>
  </si>
  <si>
    <t>Sung Kim</t>
  </si>
  <si>
    <t>Theodore Ness</t>
  </si>
  <si>
    <t>DATE of BIRTH</t>
  </si>
  <si>
    <t>Age as of Today</t>
  </si>
  <si>
    <t>Age as on 31st March 2013</t>
  </si>
  <si>
    <t>Names</t>
  </si>
  <si>
    <t>Grade</t>
  </si>
  <si>
    <t>Value</t>
  </si>
  <si>
    <t>ExcelR</t>
  </si>
  <si>
    <t>ISBLANK</t>
  </si>
  <si>
    <t>ISERROR</t>
  </si>
  <si>
    <t>ISNA</t>
  </si>
  <si>
    <t>ISNUMBER</t>
  </si>
  <si>
    <t>ISEVEN</t>
  </si>
  <si>
    <t>ISODD</t>
  </si>
  <si>
    <t>ISTEXT</t>
  </si>
  <si>
    <t>Month Number</t>
  </si>
  <si>
    <t>Sept</t>
  </si>
  <si>
    <t>HR</t>
  </si>
  <si>
    <t>Marketing</t>
  </si>
  <si>
    <t>Finance</t>
  </si>
  <si>
    <t>Healthcare</t>
  </si>
  <si>
    <t>IT</t>
  </si>
  <si>
    <t>Minali</t>
  </si>
  <si>
    <t>Rahul</t>
  </si>
  <si>
    <t>Kavita</t>
  </si>
  <si>
    <t>Sumit</t>
  </si>
  <si>
    <t>Nilesh</t>
  </si>
  <si>
    <t>Pritesh</t>
  </si>
  <si>
    <t>Rohit</t>
  </si>
  <si>
    <t>Vipul</t>
  </si>
  <si>
    <t>Gopal</t>
  </si>
  <si>
    <t>Gautam</t>
  </si>
  <si>
    <t>Prashant</t>
  </si>
  <si>
    <t>Bhagyashree</t>
  </si>
  <si>
    <t>Gulam</t>
  </si>
  <si>
    <t>Devendra</t>
  </si>
  <si>
    <t>Amit</t>
  </si>
  <si>
    <t>Abhishek</t>
  </si>
  <si>
    <t>Bindu</t>
  </si>
  <si>
    <t>Department</t>
  </si>
  <si>
    <t>History</t>
  </si>
  <si>
    <t>Gita</t>
  </si>
  <si>
    <t>Seema</t>
  </si>
  <si>
    <t>Deepak</t>
  </si>
  <si>
    <t>Prabhas</t>
  </si>
  <si>
    <t>Anushree</t>
  </si>
  <si>
    <t>Geetika</t>
  </si>
  <si>
    <t>Geography</t>
  </si>
  <si>
    <t>&lt;35</t>
  </si>
  <si>
    <t>Red</t>
  </si>
  <si>
    <t>35-50</t>
  </si>
  <si>
    <t>Yellow</t>
  </si>
  <si>
    <t>51-75</t>
  </si>
  <si>
    <t>Orange</t>
  </si>
  <si>
    <t>&gt;75</t>
  </si>
  <si>
    <t>Green</t>
  </si>
  <si>
    <t>Conditions</t>
  </si>
  <si>
    <t>Products</t>
  </si>
  <si>
    <t>Spirit</t>
  </si>
  <si>
    <t>Utensils</t>
  </si>
  <si>
    <t>TV</t>
  </si>
  <si>
    <t>Loss</t>
  </si>
  <si>
    <t>Profit / Loss</t>
  </si>
  <si>
    <t>Order Date</t>
  </si>
  <si>
    <r>
      <t>v</t>
    </r>
    <r>
      <rPr>
        <sz val="7"/>
        <rFont val="Arial"/>
        <family val="2"/>
      </rPr>
      <t xml:space="preserve">    </t>
    </r>
    <r>
      <rPr>
        <sz val="14"/>
        <rFont val="Arial"/>
        <family val="2"/>
      </rPr>
      <t>No Tax is deductible if the taxable income is less than 3000 per month.</t>
    </r>
  </si>
  <si>
    <r>
      <t>v</t>
    </r>
    <r>
      <rPr>
        <sz val="7"/>
        <rFont val="Arial"/>
        <family val="2"/>
      </rPr>
      <t xml:space="preserve">    </t>
    </r>
    <r>
      <rPr>
        <sz val="14"/>
        <rFont val="Arial"/>
        <family val="2"/>
      </rPr>
      <t>10% tax if the taxable income is between 3000 and 6000 per month.</t>
    </r>
  </si>
  <si>
    <r>
      <t>v</t>
    </r>
    <r>
      <rPr>
        <sz val="7"/>
        <rFont val="Arial"/>
        <family val="2"/>
      </rPr>
      <t xml:space="preserve">    </t>
    </r>
    <r>
      <rPr>
        <sz val="14"/>
        <rFont val="Arial"/>
        <family val="2"/>
      </rPr>
      <t>20% tax if the taxable income is between 6001 and 9000 per month.</t>
    </r>
  </si>
  <si>
    <r>
      <t>v</t>
    </r>
    <r>
      <rPr>
        <sz val="7"/>
        <rFont val="Arial"/>
        <family val="2"/>
      </rPr>
      <t xml:space="preserve">    </t>
    </r>
    <r>
      <rPr>
        <sz val="14"/>
        <rFont val="Arial"/>
        <family val="2"/>
      </rPr>
      <t>30%tax if the taxable income is more than 9000 per month.</t>
    </r>
  </si>
  <si>
    <t>Products Name</t>
  </si>
  <si>
    <t>Country</t>
  </si>
  <si>
    <t>Product ID</t>
  </si>
  <si>
    <t>Samsung Galaxy</t>
  </si>
  <si>
    <t>Brand</t>
  </si>
  <si>
    <t>Apple iPhone</t>
  </si>
  <si>
    <t>Dell Lattitude</t>
  </si>
  <si>
    <t>HP Pavillion</t>
  </si>
  <si>
    <t>Lloyd AC</t>
  </si>
  <si>
    <t>250K</t>
  </si>
  <si>
    <t>400K</t>
  </si>
  <si>
    <t>350K</t>
  </si>
  <si>
    <t>150K</t>
  </si>
  <si>
    <t>180K</t>
  </si>
  <si>
    <t>Samsung</t>
  </si>
  <si>
    <t>Apple</t>
  </si>
  <si>
    <t>Dell</t>
  </si>
  <si>
    <t>Lloyd</t>
  </si>
  <si>
    <t>India</t>
  </si>
  <si>
    <t>USA</t>
  </si>
  <si>
    <t>Korea</t>
  </si>
  <si>
    <t>Japan</t>
  </si>
  <si>
    <t>Students</t>
  </si>
  <si>
    <t>Rank</t>
  </si>
  <si>
    <t>Employee</t>
  </si>
  <si>
    <t>Sr. No.</t>
  </si>
  <si>
    <t>E</t>
  </si>
  <si>
    <t>Today's Date</t>
  </si>
  <si>
    <t>Current Date &amp; Time</t>
  </si>
  <si>
    <t>Hour</t>
  </si>
  <si>
    <t>Minute</t>
  </si>
  <si>
    <t>Second</t>
  </si>
  <si>
    <t>Achieved / Not Achieved</t>
  </si>
  <si>
    <t>Types of Referencing:</t>
  </si>
  <si>
    <t>1) Absolute Referencing</t>
  </si>
  <si>
    <t>2) Relative Referencing</t>
  </si>
  <si>
    <t>3) Mixed Referencing</t>
  </si>
  <si>
    <t>Income Tax is deducted as per the following rules:</t>
  </si>
  <si>
    <r>
      <rPr>
        <b/>
        <sz val="12"/>
        <color theme="1"/>
        <rFont val="Arial"/>
        <family val="2"/>
      </rPr>
      <t>Net Income</t>
    </r>
    <r>
      <rPr>
        <sz val="12"/>
        <color theme="1"/>
        <rFont val="Arial"/>
        <family val="2"/>
      </rPr>
      <t xml:space="preserve"> = (Taxable Income) - (Income Tax) - (PF)</t>
    </r>
  </si>
  <si>
    <t>Sum</t>
  </si>
  <si>
    <t>Max.</t>
  </si>
  <si>
    <t>Min.</t>
  </si>
  <si>
    <r>
      <rPr>
        <b/>
        <sz val="11"/>
        <rFont val="Arial"/>
        <family val="2"/>
      </rPr>
      <t>Note:</t>
    </r>
    <r>
      <rPr>
        <sz val="11"/>
        <rFont val="Arial"/>
        <family val="2"/>
      </rPr>
      <t xml:space="preserve"> To use Name Range firstly "Define Name" which is available in "Formulas" tab.</t>
    </r>
  </si>
  <si>
    <t>Qu.Find the following for Revenue</t>
  </si>
  <si>
    <t xml:space="preserve">Product </t>
  </si>
  <si>
    <t>Total Revenue</t>
  </si>
  <si>
    <t>Function Name</t>
  </si>
  <si>
    <t>SUMIF</t>
  </si>
  <si>
    <t>AVERAGEIF</t>
  </si>
  <si>
    <t>MAXIFS</t>
  </si>
  <si>
    <t>MINIFS</t>
  </si>
  <si>
    <t>Qu.Find the Sum of Revenue for following.</t>
  </si>
  <si>
    <t>Qu.Find the Sum of Profit for following.</t>
  </si>
  <si>
    <t>Qu.Create Dropdown list for the Year and Find the Sum of Revenue for following.</t>
  </si>
  <si>
    <r>
      <rPr>
        <b/>
        <sz val="11"/>
        <rFont val="Arial"/>
        <family val="2"/>
      </rPr>
      <t xml:space="preserve">Note: </t>
    </r>
    <r>
      <rPr>
        <sz val="11"/>
        <rFont val="Arial"/>
        <family val="2"/>
      </rPr>
      <t>To create Dropdown list click on Data tab there is option called Data Validation.</t>
    </r>
  </si>
  <si>
    <t>In Stock</t>
  </si>
  <si>
    <t>Sold</t>
  </si>
  <si>
    <t>Not</t>
  </si>
  <si>
    <t>Dettol and Lux Sold out</t>
  </si>
  <si>
    <t>Sold Items</t>
  </si>
  <si>
    <t>AND</t>
  </si>
  <si>
    <t>OR</t>
  </si>
  <si>
    <t xml:space="preserve">1st No </t>
  </si>
  <si>
    <t>2nd No</t>
  </si>
  <si>
    <t>And</t>
  </si>
  <si>
    <t>Extension</t>
  </si>
  <si>
    <t>97-2003</t>
  </si>
  <si>
    <t>.xls</t>
  </si>
  <si>
    <t>New Version</t>
  </si>
  <si>
    <t>.xlsx</t>
  </si>
  <si>
    <t>Advaned Excel Macro or VBA</t>
  </si>
  <si>
    <t>.xlsm</t>
  </si>
  <si>
    <t>Csv</t>
  </si>
  <si>
    <t>.csv</t>
  </si>
  <si>
    <t>Check the Product Dettol is Sold or not by using "AND" Function.</t>
  </si>
  <si>
    <t>Vlookup Function Rules:</t>
  </si>
  <si>
    <t>1) Data should be Vertical</t>
  </si>
  <si>
    <t>2) Lookup value must be present in the first column</t>
  </si>
  <si>
    <t>3) Extract right side values</t>
  </si>
  <si>
    <r>
      <t xml:space="preserve">Position(col_ind_num) of Specified Subject using </t>
    </r>
    <r>
      <rPr>
        <b/>
        <sz val="11"/>
        <color rgb="FFFFFF00"/>
        <rFont val="Arial"/>
        <family val="2"/>
      </rPr>
      <t>"Match"</t>
    </r>
    <r>
      <rPr>
        <b/>
        <sz val="11"/>
        <color theme="0"/>
        <rFont val="Arial"/>
        <family val="2"/>
      </rPr>
      <t xml:space="preserve"> Function</t>
    </r>
  </si>
  <si>
    <r>
      <t xml:space="preserve">VLOOKUP </t>
    </r>
    <r>
      <rPr>
        <b/>
        <sz val="16"/>
        <color theme="0"/>
        <rFont val="Arial"/>
        <family val="2"/>
      </rPr>
      <t>Function</t>
    </r>
  </si>
  <si>
    <r>
      <t>VLOOKUP</t>
    </r>
    <r>
      <rPr>
        <b/>
        <sz val="16"/>
        <color theme="0"/>
        <rFont val="Arial"/>
        <family val="2"/>
      </rPr>
      <t xml:space="preserve"> Function with </t>
    </r>
    <r>
      <rPr>
        <b/>
        <sz val="16"/>
        <color rgb="FFFFFF00"/>
        <rFont val="Arial"/>
        <family val="2"/>
      </rPr>
      <t>MATCH</t>
    </r>
    <r>
      <rPr>
        <b/>
        <sz val="16"/>
        <color theme="0"/>
        <rFont val="Arial"/>
        <family val="2"/>
      </rPr>
      <t xml:space="preserve"> Function</t>
    </r>
  </si>
  <si>
    <r>
      <t xml:space="preserve">IFERROR </t>
    </r>
    <r>
      <rPr>
        <b/>
        <sz val="16"/>
        <color theme="0"/>
        <rFont val="Arial"/>
        <family val="2"/>
      </rPr>
      <t>(</t>
    </r>
    <r>
      <rPr>
        <b/>
        <sz val="16"/>
        <color rgb="FFFFFF00"/>
        <rFont val="Arial"/>
        <family val="2"/>
      </rPr>
      <t xml:space="preserve">VLOOKUP </t>
    </r>
    <r>
      <rPr>
        <b/>
        <sz val="16"/>
        <color theme="0"/>
        <rFont val="Arial"/>
        <family val="2"/>
      </rPr>
      <t>Function with</t>
    </r>
    <r>
      <rPr>
        <b/>
        <sz val="16"/>
        <color rgb="FFFFFF00"/>
        <rFont val="Arial"/>
        <family val="2"/>
      </rPr>
      <t xml:space="preserve"> MATCH </t>
    </r>
    <r>
      <rPr>
        <b/>
        <sz val="16"/>
        <color theme="0"/>
        <rFont val="Arial"/>
        <family val="2"/>
      </rPr>
      <t>Function)</t>
    </r>
  </si>
  <si>
    <t>Abc</t>
  </si>
  <si>
    <t>Xyz</t>
  </si>
  <si>
    <r>
      <t xml:space="preserve">HLOOKUP </t>
    </r>
    <r>
      <rPr>
        <b/>
        <sz val="16"/>
        <color theme="0"/>
        <rFont val="Arial"/>
        <family val="2"/>
      </rPr>
      <t>Function</t>
    </r>
  </si>
  <si>
    <r>
      <t xml:space="preserve">IFERROR </t>
    </r>
    <r>
      <rPr>
        <b/>
        <sz val="14"/>
        <color theme="0"/>
        <rFont val="Arial"/>
        <family val="2"/>
      </rPr>
      <t>(</t>
    </r>
    <r>
      <rPr>
        <b/>
        <sz val="14"/>
        <color rgb="FFFFFF00"/>
        <rFont val="Arial"/>
        <family val="2"/>
      </rPr>
      <t xml:space="preserve">HLOOKUP </t>
    </r>
    <r>
      <rPr>
        <b/>
        <sz val="14"/>
        <color theme="0"/>
        <rFont val="Arial"/>
        <family val="2"/>
      </rPr>
      <t>Function with</t>
    </r>
    <r>
      <rPr>
        <b/>
        <sz val="14"/>
        <color rgb="FFFFFF00"/>
        <rFont val="Arial"/>
        <family val="2"/>
      </rPr>
      <t xml:space="preserve"> MATCH </t>
    </r>
    <r>
      <rPr>
        <b/>
        <sz val="14"/>
        <color theme="0"/>
        <rFont val="Arial"/>
        <family val="2"/>
      </rPr>
      <t>Function)</t>
    </r>
  </si>
  <si>
    <r>
      <t>HLOOKUP</t>
    </r>
    <r>
      <rPr>
        <b/>
        <sz val="14"/>
        <color theme="0"/>
        <rFont val="Arial"/>
        <family val="2"/>
      </rPr>
      <t xml:space="preserve"> Function with </t>
    </r>
    <r>
      <rPr>
        <b/>
        <sz val="14"/>
        <color rgb="FFFFFF00"/>
        <rFont val="Arial"/>
        <family val="2"/>
      </rPr>
      <t>MATCH</t>
    </r>
    <r>
      <rPr>
        <b/>
        <sz val="14"/>
        <color theme="0"/>
        <rFont val="Arial"/>
        <family val="2"/>
      </rPr>
      <t xml:space="preserve"> Function</t>
    </r>
  </si>
  <si>
    <t>Hlookup Function Rules:</t>
  </si>
  <si>
    <t>1) Data should be Horizontal</t>
  </si>
  <si>
    <t>2) Lookup value must be present in the first row</t>
  </si>
  <si>
    <t>3) Extract only the records which are below the first row</t>
  </si>
  <si>
    <r>
      <t xml:space="preserve">Position(row_ind_num) of Specified Subject using </t>
    </r>
    <r>
      <rPr>
        <b/>
        <sz val="11"/>
        <color rgb="FFFFFF00"/>
        <rFont val="Arial"/>
        <family val="2"/>
      </rPr>
      <t>"Match"</t>
    </r>
    <r>
      <rPr>
        <b/>
        <sz val="11"/>
        <color theme="0"/>
        <rFont val="Arial"/>
        <family val="2"/>
      </rPr>
      <t xml:space="preserve"> Function</t>
    </r>
  </si>
  <si>
    <t>Function Used:</t>
  </si>
  <si>
    <t>Vlookup with Approximate Match</t>
  </si>
  <si>
    <t>VLOOKUP for finding Total Marks</t>
  </si>
  <si>
    <t>VLOOKUP for finding Grade</t>
  </si>
  <si>
    <t>Nested VLOOKUP: Vlookup inside Vlookup (2 times Vlookup is used)</t>
  </si>
  <si>
    <t xml:space="preserve"> --&gt;</t>
  </si>
  <si>
    <t>Functions Used:</t>
  </si>
  <si>
    <t>IF</t>
  </si>
  <si>
    <t>IFS</t>
  </si>
  <si>
    <t>NOT</t>
  </si>
  <si>
    <t>AND(OR())</t>
  </si>
  <si>
    <t>INDEX(______,MATCH(___))</t>
  </si>
  <si>
    <t>Rules for Index Function</t>
  </si>
  <si>
    <t>Select data(array) without headers</t>
  </si>
  <si>
    <t>Date Functions</t>
  </si>
  <si>
    <t>1) Date</t>
  </si>
  <si>
    <t>2) Day</t>
  </si>
  <si>
    <t>3) Month</t>
  </si>
  <si>
    <t>4) Year</t>
  </si>
  <si>
    <t>5) Hour</t>
  </si>
  <si>
    <t>6) Minute</t>
  </si>
  <si>
    <t>8) Today</t>
  </si>
  <si>
    <t>9) Now</t>
  </si>
  <si>
    <t>10) Datedif</t>
  </si>
  <si>
    <t>11) Text</t>
  </si>
  <si>
    <t>7) Second</t>
  </si>
  <si>
    <t xml:space="preserve"> =TODAY()</t>
  </si>
  <si>
    <t xml:space="preserve"> =NOW()</t>
  </si>
  <si>
    <t xml:space="preserve"> =DATE(Year, month, day)</t>
  </si>
  <si>
    <t xml:space="preserve"> =DAY(serial_number)</t>
  </si>
  <si>
    <t xml:space="preserve"> =MONTH(serial_number)</t>
  </si>
  <si>
    <t xml:space="preserve"> =YEAR(serial_number)</t>
  </si>
  <si>
    <t xml:space="preserve"> =HOUR(serial_number)</t>
  </si>
  <si>
    <t xml:space="preserve"> =MINUTE(serial_number)</t>
  </si>
  <si>
    <t xml:space="preserve"> =SECOND(serial_number)</t>
  </si>
  <si>
    <t>Syntax</t>
  </si>
  <si>
    <t>Format</t>
  </si>
  <si>
    <t>dd-mm-yyyy hhmmss</t>
  </si>
  <si>
    <t xml:space="preserve"> =TEXT(value, format_text)</t>
  </si>
  <si>
    <t>Formats</t>
  </si>
  <si>
    <t>Full month name</t>
  </si>
  <si>
    <t>Short month name</t>
  </si>
  <si>
    <t>Full day name</t>
  </si>
  <si>
    <t>Short day name</t>
  </si>
  <si>
    <t>Use when to see</t>
  </si>
  <si>
    <t xml:space="preserve"> =DATEDIF(old_date,new_date,"Y/M/D")</t>
  </si>
  <si>
    <t>YYYY</t>
  </si>
  <si>
    <t>YY</t>
  </si>
  <si>
    <t>MMMM</t>
  </si>
  <si>
    <t>MMM</t>
  </si>
  <si>
    <t>MM</t>
  </si>
  <si>
    <t>DDDD</t>
  </si>
  <si>
    <t>DDD</t>
  </si>
  <si>
    <t>DD</t>
  </si>
  <si>
    <t>HH</t>
  </si>
  <si>
    <t>SS</t>
  </si>
  <si>
    <t>Full day num</t>
  </si>
  <si>
    <t>Full month num</t>
  </si>
  <si>
    <t>Short year num</t>
  </si>
  <si>
    <t>Full year num</t>
  </si>
  <si>
    <t>Y</t>
  </si>
  <si>
    <t>YM</t>
  </si>
  <si>
    <t>Month passed in the year</t>
  </si>
  <si>
    <t>MD</t>
  </si>
  <si>
    <t>DOB</t>
  </si>
  <si>
    <r>
      <rPr>
        <b/>
        <sz val="12"/>
        <color theme="1"/>
        <rFont val="Arial"/>
        <family val="2"/>
      </rPr>
      <t xml:space="preserve">Note: </t>
    </r>
    <r>
      <rPr>
        <sz val="12"/>
        <color theme="1"/>
        <rFont val="Arial"/>
        <family val="2"/>
      </rPr>
      <t>Use &amp; to combine multiple rows</t>
    </r>
  </si>
  <si>
    <t>Last Modified Date</t>
  </si>
  <si>
    <t>Last Modified Time</t>
  </si>
  <si>
    <t>Shortcut</t>
  </si>
  <si>
    <t>Ctrl + ;</t>
  </si>
  <si>
    <t>Ctrl + Shift + ;</t>
  </si>
  <si>
    <t>Y    --&gt; Year</t>
  </si>
  <si>
    <t>YM  --&gt; Month passed in the year</t>
  </si>
  <si>
    <t>For DatedIf Use Only</t>
  </si>
  <si>
    <t>Implementation</t>
  </si>
  <si>
    <t>Use</t>
  </si>
  <si>
    <t>MD --&gt; Days passed in the month</t>
  </si>
  <si>
    <t>Days passed in the month</t>
  </si>
  <si>
    <t>Age as on</t>
  </si>
  <si>
    <t xml:space="preserve"> --&gt; =NETWORKDAYS.INTL(start_date, end_date, [weekend], [holidays])</t>
  </si>
  <si>
    <t xml:space="preserve"> --&gt; =WORKDAY.INTL(start_date, days, [weekend], [holidays])</t>
  </si>
  <si>
    <t xml:space="preserve"> --&gt; =WORKDAY(start_date, days, [holidays])</t>
  </si>
  <si>
    <t xml:space="preserve">  =Rand()</t>
  </si>
  <si>
    <t xml:space="preserve"> =RAND()*10</t>
  </si>
  <si>
    <t xml:space="preserve"> =RANDBETWEEN(bottom, top)</t>
  </si>
  <si>
    <r>
      <rPr>
        <b/>
        <u/>
        <sz val="12"/>
        <color theme="1"/>
        <rFont val="Arial"/>
        <family val="2"/>
      </rPr>
      <t>Note</t>
    </r>
    <r>
      <rPr>
        <sz val="12"/>
        <color theme="1"/>
        <rFont val="Arial"/>
        <family val="2"/>
      </rPr>
      <t>: Every time values are changing</t>
    </r>
  </si>
  <si>
    <r>
      <rPr>
        <b/>
        <u/>
        <sz val="12"/>
        <color theme="1"/>
        <rFont val="Arial"/>
        <family val="2"/>
      </rPr>
      <t>Note</t>
    </r>
    <r>
      <rPr>
        <sz val="12"/>
        <color theme="1"/>
        <rFont val="Arial"/>
        <family val="2"/>
      </rPr>
      <t>: To fix the values copy &amp; paste_special &amp; Values</t>
    </r>
  </si>
  <si>
    <t xml:space="preserve"> =RANDBETWEEN(bottom, top) Fix:Paste_special &amp; Values</t>
  </si>
  <si>
    <t>Use randbetween func. for marks of all sub. &amp; Copy, paste_special &amp; values</t>
  </si>
  <si>
    <t>Use Alt + = to do the summation</t>
  </si>
  <si>
    <t>Cleaned First Name (=CLEAN(text))</t>
  </si>
  <si>
    <t>Text Functions --&gt;</t>
  </si>
  <si>
    <t xml:space="preserve"> =Lower()</t>
  </si>
  <si>
    <t xml:space="preserve"> =Upper()</t>
  </si>
  <si>
    <t xml:space="preserve"> =Proper()</t>
  </si>
  <si>
    <t xml:space="preserve"> =Replace()</t>
  </si>
  <si>
    <t xml:space="preserve"> =Substitute()</t>
  </si>
  <si>
    <t xml:space="preserve"> =Concat/Concatinate/&amp;</t>
  </si>
  <si>
    <t xml:space="preserve"> =Trim()</t>
  </si>
  <si>
    <t>Virat Kolhi</t>
  </si>
  <si>
    <t>Rohit Sharma</t>
  </si>
  <si>
    <t>Sachin Tendulkar</t>
  </si>
  <si>
    <t>Mahendra Singh Dhoni</t>
  </si>
  <si>
    <t>Kapil Dev</t>
  </si>
  <si>
    <t xml:space="preserve">Functions --&gt; </t>
  </si>
  <si>
    <t xml:space="preserve"> =Left()</t>
  </si>
  <si>
    <t xml:space="preserve"> =Right()</t>
  </si>
  <si>
    <t xml:space="preserve"> =Find()</t>
  </si>
  <si>
    <r>
      <t xml:space="preserve"> =Len() </t>
    </r>
    <r>
      <rPr>
        <sz val="11"/>
        <color theme="1"/>
        <rFont val="Arial"/>
        <family val="2"/>
      </rPr>
      <t>--Length</t>
    </r>
  </si>
  <si>
    <t xml:space="preserve"> =Mid()</t>
  </si>
  <si>
    <t>Kapil</t>
  </si>
  <si>
    <t>Dev</t>
  </si>
  <si>
    <t>Virat</t>
  </si>
  <si>
    <t>Kolhi</t>
  </si>
  <si>
    <t>Sharma</t>
  </si>
  <si>
    <t>Sachin</t>
  </si>
  <si>
    <t>Tendulkar</t>
  </si>
  <si>
    <t>Mahendra</t>
  </si>
  <si>
    <t>Singh</t>
  </si>
  <si>
    <t>Dhoni</t>
  </si>
  <si>
    <t>Data Tab --&gt; Text_to_column --&gt; Delimited --&gt; Space --&gt; Destination(Choose Cell) --&gt; Finish.</t>
  </si>
  <si>
    <t>First_Name</t>
  </si>
  <si>
    <t>Last_Name</t>
  </si>
  <si>
    <t>Text</t>
  </si>
  <si>
    <t>Numerical</t>
  </si>
  <si>
    <t>Filters --&gt; Home Tab --&gt; Sort &amp; Filter option --&gt; Filter</t>
  </si>
  <si>
    <t xml:space="preserve"> --&gt; Shortcut --&gt; Ctrl + Shift + L</t>
  </si>
  <si>
    <t>Sort</t>
  </si>
  <si>
    <t>Ascending</t>
  </si>
  <si>
    <t>Descending</t>
  </si>
  <si>
    <t>Function --&gt;</t>
  </si>
  <si>
    <t xml:space="preserve"> =PMT(rate, nper, pv, [fv], [type])</t>
  </si>
  <si>
    <t>nper --&gt; for how many months</t>
  </si>
  <si>
    <t>pv(principle value) --&gt; amount</t>
  </si>
  <si>
    <t>Inerest rate --&gt; rate/12(months) for yearly rate of interest</t>
  </si>
  <si>
    <t>Inerest rate --&gt; rate/4(months) for quarterly rate of interest</t>
  </si>
  <si>
    <r>
      <t xml:space="preserve"> --&gt;Data Tab --&gt; What If Analysis --&gt; </t>
    </r>
    <r>
      <rPr>
        <b/>
        <u/>
        <sz val="12"/>
        <color rgb="FFFF0000"/>
        <rFont val="Arial"/>
        <family val="2"/>
      </rPr>
      <t>Use</t>
    </r>
    <r>
      <rPr>
        <b/>
        <sz val="12"/>
        <color rgb="FFFF0000"/>
        <rFont val="Arial"/>
        <family val="2"/>
      </rPr>
      <t>:</t>
    </r>
    <r>
      <rPr>
        <sz val="12"/>
        <rFont val="Arial"/>
        <family val="2"/>
      </rPr>
      <t xml:space="preserve"> So that no one can do the changes</t>
    </r>
    <r>
      <rPr>
        <b/>
        <sz val="12"/>
        <rFont val="Arial"/>
        <family val="2"/>
      </rPr>
      <t xml:space="preserve"> </t>
    </r>
  </si>
  <si>
    <t>Inerest rate --&gt; rate/6(months) for half-yearly rate of interest</t>
  </si>
  <si>
    <t xml:space="preserve"> --&gt; =(firstly select all cells of amount column which you want to find the ans) --&gt; Select complete range of Qty column --&gt; *(multiply) --&gt;  select all range of price column --&gt; Ctrl+Shift+Enter</t>
  </si>
  <si>
    <t>Function--&gt;</t>
  </si>
  <si>
    <t xml:space="preserve"> =SUMPRODUCT(array1, [array2], [array3],…)</t>
  </si>
  <si>
    <t>XYZ</t>
  </si>
  <si>
    <t>by using =--</t>
  </si>
  <si>
    <t xml:space="preserve"> =SUMPRODUCT(--(Product_Name=Dettol), Price_Unit, Unit_Sold)</t>
  </si>
  <si>
    <t xml:space="preserve"> --&gt; Data tab --&gt; Data Valiadation--&gt; List--&gt; source = (function) indirect(select cell)</t>
  </si>
  <si>
    <t xml:space="preserve"> --&gt; Home tab--&gt; conditional formatting--&gt; new rule--&gt; format only cell that contain--&gt; choose greater than or between or equal to or more--&gt; format--&gt; fill--&gt; color--&gt; ok</t>
  </si>
  <si>
    <t>Conditional Formatting --&gt; Data Bars</t>
  </si>
  <si>
    <t>Conditional Formatting --&gt; Color Scales</t>
  </si>
  <si>
    <t>Conditional Formatting --&gt; Icon Sets</t>
  </si>
  <si>
    <t>Condition</t>
  </si>
  <si>
    <t>1) All Saturday in Bold Orange color</t>
  </si>
  <si>
    <t>2) All Sunday in Bold Red color</t>
  </si>
  <si>
    <t>Reference Cell</t>
  </si>
  <si>
    <t xml:space="preserve"> =OFFSET(reference, rows, cols, [height], [width])</t>
  </si>
  <si>
    <t xml:space="preserve"> =OFFSET(reference, rows, MATCH())</t>
  </si>
  <si>
    <t xml:space="preserve"> --&gt; Select data--&gt; Right click--&gt; Sort--&gt; Custom Sort--&gt; </t>
  </si>
  <si>
    <t>Jan Total</t>
  </si>
  <si>
    <t>Feb Total</t>
  </si>
  <si>
    <t>Mar Total</t>
  </si>
  <si>
    <t>Grand Total</t>
  </si>
  <si>
    <t xml:space="preserve"> --&gt; Data teb--&gt; 1.Group--&gt; Rows--&gt; ok--&gt; Subtotal--&gt; choose At each change in:--&gt; Use function:--&gt; Add subtotal to:--&gt; ok.</t>
  </si>
  <si>
    <t>Sorting on the basis of months</t>
  </si>
  <si>
    <t>Subtotal on the basis of month</t>
  </si>
  <si>
    <t>Subtotal Max on the basis of month</t>
  </si>
  <si>
    <t>Jan Max</t>
  </si>
  <si>
    <t>Feb Max</t>
  </si>
  <si>
    <t>Mar Max</t>
  </si>
  <si>
    <t>Grand Max</t>
  </si>
  <si>
    <t xml:space="preserve"> --&gt; Circle invalid data--&gt; If invalid entry is happen then that value is marked by red circle</t>
  </si>
  <si>
    <r>
      <t xml:space="preserve"> --&gt; Data tab--&gt; Data Validation--&gt; </t>
    </r>
    <r>
      <rPr>
        <b/>
        <sz val="12"/>
        <color rgb="FFC00000"/>
        <rFont val="Arial"/>
        <family val="2"/>
      </rPr>
      <t>Settings</t>
    </r>
    <r>
      <rPr>
        <b/>
        <sz val="12"/>
        <color theme="1"/>
        <rFont val="Arial"/>
        <family val="2"/>
      </rPr>
      <t xml:space="preserve">(validation criteria)--&gt; Allow(whole number):--&gt; Data:--&gt; Minimum:--&gt; Maximum:--&gt; </t>
    </r>
    <r>
      <rPr>
        <b/>
        <sz val="12"/>
        <color rgb="FFC00000"/>
        <rFont val="Arial"/>
        <family val="2"/>
      </rPr>
      <t>Input Message</t>
    </r>
    <r>
      <rPr>
        <b/>
        <sz val="12"/>
        <color theme="1"/>
        <rFont val="Arial"/>
        <family val="2"/>
      </rPr>
      <t xml:space="preserve">--&gt; Text:--&gt; Input message(that can appeared on cell while entering the data)--&gt; ok--&gt; </t>
    </r>
    <r>
      <rPr>
        <b/>
        <sz val="12"/>
        <color rgb="FFC00000"/>
        <rFont val="Arial"/>
        <family val="2"/>
      </rPr>
      <t>Error alert</t>
    </r>
    <r>
      <rPr>
        <b/>
        <sz val="12"/>
        <color theme="1"/>
        <rFont val="Arial"/>
        <family val="2"/>
      </rPr>
      <t>--&gt; choose style(stop, warning, information)--&gt; Title--&gt; Error message--&gt; ok.</t>
    </r>
  </si>
  <si>
    <t>Data Validation Restriction on</t>
  </si>
  <si>
    <t>Number</t>
  </si>
  <si>
    <t>Time</t>
  </si>
  <si>
    <t>Row Labels</t>
  </si>
  <si>
    <t>Sum of Sales Value</t>
  </si>
  <si>
    <t>Sales Value as per Region</t>
  </si>
  <si>
    <t>Column Labels</t>
  </si>
  <si>
    <t>(All)</t>
  </si>
  <si>
    <t xml:space="preserve"> --&gt; Click inside pivot table data--&gt; PivotTable Analyze Tab--&gt;  Fields,Items &amp; Sets--&gt; Calculated Fields--&gt; (For design our own formula) --&gt; Name(on that name new column is created)--&gt; Formula--&gt; Select Fields--&gt; Insert Field--&gt; Add--&gt; ok.</t>
  </si>
  <si>
    <t xml:space="preserve"> --&gt; Inside pivot table fields new column is added in this example the Amount column is added to the fields</t>
  </si>
  <si>
    <t>Amount_cal</t>
  </si>
  <si>
    <t>Sales_Value</t>
  </si>
  <si>
    <t xml:space="preserve"> --&gt; PivotTable Analyze tab--&gt; Click inside pivot table--&gt; Insert Timeline</t>
  </si>
  <si>
    <t>To apply same filter on other pivot table --&gt; click on filter--&gt; Pivot Table Analyze tab--&gt; Filter connection--&gt; on which pivot table you want appy same filter choose those tables</t>
  </si>
  <si>
    <t>To apply same slicer on other pivot table --&gt; click on slicer--&gt; Slicer tab--&gt; Report connection--&gt; on which pivot table you want appy same slicer choose those tables</t>
  </si>
  <si>
    <t>Note: To Insert Map chart on pivot table excel is not allowing to insert map chart. so we need to copy the pivot table data and paste it --&gt; Insert tab--&gt; Recom. Charts--&gt; Map--&gt; ok</t>
  </si>
  <si>
    <r>
      <t xml:space="preserve"> --&gt; How to eneble </t>
    </r>
    <r>
      <rPr>
        <b/>
        <sz val="14"/>
        <color rgb="FFFF0000"/>
        <rFont val="Calibri"/>
        <family val="2"/>
        <scheme val="minor"/>
      </rPr>
      <t>Developer</t>
    </r>
    <r>
      <rPr>
        <b/>
        <sz val="14"/>
        <color theme="1"/>
        <rFont val="Calibri"/>
        <family val="2"/>
        <scheme val="minor"/>
      </rPr>
      <t xml:space="preserve"> tab option--&gt; File tab--&gt; Options--&gt; Customize Ribbon--&gt; Select the developer option</t>
    </r>
  </si>
  <si>
    <r>
      <t xml:space="preserve"> --&gt; How to enable </t>
    </r>
    <r>
      <rPr>
        <b/>
        <sz val="14"/>
        <color rgb="FFFF0000"/>
        <rFont val="Calibri"/>
        <family val="2"/>
        <scheme val="minor"/>
      </rPr>
      <t>Power Pivot</t>
    </r>
    <r>
      <rPr>
        <b/>
        <sz val="14"/>
        <color theme="1"/>
        <rFont val="Calibri"/>
        <family val="2"/>
        <scheme val="minor"/>
      </rPr>
      <t xml:space="preserve"> tab option--&gt; File tab--&gt; option--&gt; Add-ins--&gt; Manage: (COM Add-ins)--&gt; Go--&gt; Select Power Pivot option--&gt; Ok.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</si>
</sst>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7" formatCode="&quot;$&quot;#,##0.00_);\(&quot;$&quot;#,##0.00\)"/>
    <numFmt numFmtId="8" formatCode="&quot;$&quot;#,##0.00_);[Red]\(&quot;$&quot;#,##0.00\)"/>
    <numFmt numFmtId="43" formatCode="_(* #,##0.00_);_(* \(#,##0.00\);_(* &quot;-&quot;??_);_(@_)"/>
    <numFmt numFmtId="164" formatCode="&quot;₹&quot;#,##0.00_);[Red]\(&quot;₹&quot;#,##0.00\)"/>
    <numFmt numFmtId="165" formatCode="&quot;$&quot;#,##0.00"/>
    <numFmt numFmtId="166" formatCode="0.000%"/>
    <numFmt numFmtId="167" formatCode="&quot;£&quot;#,##0.00;[Red]\-&quot;£&quot;#,##0.00"/>
    <numFmt numFmtId="168" formatCode="&quot;£&quot;#,##0.00"/>
    <numFmt numFmtId="169" formatCode="[$-409]d\-mmm\-yy;@"/>
    <numFmt numFmtId="170" formatCode="&quot;$&quot;#,##0"/>
    <numFmt numFmtId="171" formatCode="#,##0,&quot;K&quot;"/>
    <numFmt numFmtId="172" formatCode="[$-409]d/mmm/yyyy;@"/>
    <numFmt numFmtId="173" formatCode="dd/mm/yy\ hh:mm:ss"/>
    <numFmt numFmtId="174" formatCode="[$₹-4009]\ #,##0"/>
  </numFmts>
  <fonts count="51" x14ac:knownFonts="1">
    <font>
      <sz val="12"/>
      <color theme="1"/>
      <name val="Arial"/>
      <family val="2"/>
    </font>
    <font>
      <sz val="11"/>
      <color theme="1"/>
      <name val="Calibri"/>
      <family val="2"/>
      <scheme val="minor"/>
    </font>
    <font>
      <sz val="11"/>
      <color theme="1"/>
      <name val="Calibri"/>
      <family val="2"/>
      <scheme val="minor"/>
    </font>
    <font>
      <sz val="12"/>
      <color theme="1"/>
      <name val="Times New Roman"/>
      <family val="2"/>
    </font>
    <font>
      <sz val="10"/>
      <name val="Arial"/>
      <family val="2"/>
    </font>
    <font>
      <b/>
      <i/>
      <sz val="16"/>
      <name val="Arial"/>
      <family val="2"/>
    </font>
    <font>
      <sz val="14"/>
      <name val="Arial"/>
      <family val="2"/>
    </font>
    <font>
      <b/>
      <sz val="10"/>
      <name val="Arial"/>
      <family val="2"/>
    </font>
    <font>
      <b/>
      <i/>
      <sz val="10"/>
      <name val="Arial"/>
      <family val="2"/>
    </font>
    <font>
      <sz val="10"/>
      <color indexed="12"/>
      <name val="Arial"/>
      <family val="2"/>
    </font>
    <font>
      <sz val="12"/>
      <name val="Arial"/>
      <family val="2"/>
    </font>
    <font>
      <b/>
      <sz val="12"/>
      <name val="Arial"/>
      <family val="2"/>
    </font>
    <font>
      <sz val="11"/>
      <name val="Arial"/>
      <family val="2"/>
    </font>
    <font>
      <sz val="26"/>
      <name val="Arial"/>
      <family val="2"/>
    </font>
    <font>
      <sz val="11"/>
      <color theme="1"/>
      <name val="Calibri"/>
      <family val="2"/>
      <scheme val="minor"/>
    </font>
    <font>
      <b/>
      <sz val="14"/>
      <name val="Arial"/>
      <family val="2"/>
    </font>
    <font>
      <b/>
      <sz val="11"/>
      <color theme="0"/>
      <name val="Arial"/>
      <family val="2"/>
    </font>
    <font>
      <b/>
      <sz val="11"/>
      <color theme="1"/>
      <name val="Arial"/>
      <family val="2"/>
    </font>
    <font>
      <sz val="12"/>
      <color theme="1"/>
      <name val="Arial"/>
      <family val="2"/>
    </font>
    <font>
      <b/>
      <sz val="11"/>
      <name val="Arial"/>
      <family val="2"/>
    </font>
    <font>
      <sz val="11"/>
      <color theme="1"/>
      <name val="Arial"/>
      <family val="2"/>
    </font>
    <font>
      <b/>
      <sz val="12"/>
      <color theme="1"/>
      <name val="Arial"/>
      <family val="2"/>
    </font>
    <font>
      <sz val="14"/>
      <color theme="1"/>
      <name val="Arial"/>
      <family val="2"/>
    </font>
    <font>
      <b/>
      <sz val="12"/>
      <color theme="0"/>
      <name val="Arial"/>
      <family val="2"/>
    </font>
    <font>
      <b/>
      <sz val="10"/>
      <color theme="0"/>
      <name val="Arial"/>
      <family val="2"/>
    </font>
    <font>
      <sz val="10"/>
      <color theme="1"/>
      <name val="Arial"/>
      <family val="2"/>
    </font>
    <font>
      <b/>
      <i/>
      <sz val="16"/>
      <color theme="1"/>
      <name val="Arial"/>
      <family val="2"/>
    </font>
    <font>
      <sz val="12"/>
      <color theme="0"/>
      <name val="Arial"/>
      <family val="2"/>
    </font>
    <font>
      <sz val="7"/>
      <name val="Arial"/>
      <family val="2"/>
    </font>
    <font>
      <b/>
      <sz val="10"/>
      <color theme="1"/>
      <name val="Arial"/>
      <family val="2"/>
    </font>
    <font>
      <b/>
      <i/>
      <sz val="12"/>
      <name val="Arial"/>
      <family val="2"/>
    </font>
    <font>
      <b/>
      <sz val="11"/>
      <color rgb="FFFF0000"/>
      <name val="Arial"/>
      <family val="2"/>
    </font>
    <font>
      <b/>
      <sz val="18"/>
      <color theme="0"/>
      <name val="Arial"/>
      <family val="2"/>
    </font>
    <font>
      <sz val="18"/>
      <color theme="1"/>
      <name val="Arial"/>
      <family val="2"/>
    </font>
    <font>
      <sz val="18"/>
      <name val="Arial"/>
      <family val="2"/>
    </font>
    <font>
      <sz val="20"/>
      <color theme="1"/>
      <name val="Arial"/>
      <family val="2"/>
    </font>
    <font>
      <b/>
      <sz val="11"/>
      <color rgb="FFFFFF00"/>
      <name val="Arial"/>
      <family val="2"/>
    </font>
    <font>
      <b/>
      <sz val="16"/>
      <color rgb="FFFFFF00"/>
      <name val="Arial"/>
      <family val="2"/>
    </font>
    <font>
      <b/>
      <sz val="16"/>
      <color theme="0"/>
      <name val="Arial"/>
      <family val="2"/>
    </font>
    <font>
      <b/>
      <sz val="14"/>
      <color rgb="FFFFFF00"/>
      <name val="Arial"/>
      <family val="2"/>
    </font>
    <font>
      <b/>
      <sz val="14"/>
      <color theme="0"/>
      <name val="Arial"/>
      <family val="2"/>
    </font>
    <font>
      <b/>
      <i/>
      <sz val="12"/>
      <color rgb="FFFF0000"/>
      <name val="Arial"/>
      <family val="2"/>
    </font>
    <font>
      <b/>
      <u/>
      <sz val="12"/>
      <color theme="1"/>
      <name val="Arial"/>
      <family val="2"/>
    </font>
    <font>
      <b/>
      <sz val="16"/>
      <color theme="1"/>
      <name val="Arial"/>
      <family val="2"/>
    </font>
    <font>
      <b/>
      <sz val="14"/>
      <color theme="1"/>
      <name val="Arial"/>
      <family val="2"/>
    </font>
    <font>
      <b/>
      <u/>
      <sz val="12"/>
      <color rgb="FFFF0000"/>
      <name val="Arial"/>
      <family val="2"/>
    </font>
    <font>
      <b/>
      <sz val="12"/>
      <color rgb="FFFF0000"/>
      <name val="Arial"/>
      <family val="2"/>
    </font>
    <font>
      <b/>
      <sz val="14"/>
      <color theme="1"/>
      <name val="Arial Black"/>
      <family val="2"/>
    </font>
    <font>
      <b/>
      <sz val="12"/>
      <color rgb="FFC00000"/>
      <name val="Arial"/>
      <family val="2"/>
    </font>
    <font>
      <b/>
      <sz val="14"/>
      <color theme="1"/>
      <name val="Calibri"/>
      <family val="2"/>
      <scheme val="minor"/>
    </font>
    <font>
      <b/>
      <sz val="14"/>
      <color rgb="FFFF0000"/>
      <name val="Calibri"/>
      <family val="2"/>
      <scheme val="minor"/>
    </font>
  </fonts>
  <fills count="29">
    <fill>
      <patternFill patternType="none"/>
    </fill>
    <fill>
      <patternFill patternType="gray125"/>
    </fill>
    <fill>
      <patternFill patternType="solid">
        <fgColor indexed="42"/>
        <bgColor indexed="64"/>
      </patternFill>
    </fill>
    <fill>
      <patternFill patternType="solid">
        <fgColor indexed="22"/>
      </patternFill>
    </fill>
    <fill>
      <patternFill patternType="solid">
        <fgColor indexed="26"/>
      </patternFill>
    </fill>
    <fill>
      <patternFill patternType="solid">
        <fgColor indexed="43"/>
        <bgColor indexed="64"/>
      </patternFill>
    </fill>
    <fill>
      <patternFill patternType="solid">
        <fgColor theme="8"/>
        <bgColor theme="8"/>
      </patternFill>
    </fill>
    <fill>
      <patternFill patternType="solid">
        <fgColor theme="5"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1"/>
        <bgColor indexed="64"/>
      </patternFill>
    </fill>
    <fill>
      <patternFill patternType="solid">
        <fgColor theme="9" tint="0.39997558519241921"/>
        <bgColor indexed="64"/>
      </patternFill>
    </fill>
    <fill>
      <patternFill patternType="solid">
        <fgColor theme="4"/>
        <bgColor indexed="64"/>
      </patternFill>
    </fill>
    <fill>
      <patternFill patternType="solid">
        <fgColor theme="0"/>
        <bgColor indexed="64"/>
      </patternFill>
    </fill>
    <fill>
      <patternFill patternType="solid">
        <fgColor theme="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FFC000"/>
        <bgColor indexed="64"/>
      </patternFill>
    </fill>
    <fill>
      <patternFill patternType="solid">
        <fgColor theme="6"/>
        <bgColor indexed="64"/>
      </patternFill>
    </fill>
    <fill>
      <patternFill patternType="solid">
        <fgColor theme="9" tint="-0.249977111117893"/>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tint="-0.249977111117893"/>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rgb="FFFFFF99"/>
        <bgColor rgb="FF000000"/>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theme="8"/>
      </left>
      <right/>
      <top style="thin">
        <color theme="8"/>
      </top>
      <bottom/>
      <diagonal/>
    </border>
    <border>
      <left/>
      <right style="thin">
        <color theme="8"/>
      </right>
      <top style="thin">
        <color theme="8"/>
      </top>
      <bottom/>
      <diagonal/>
    </border>
    <border>
      <left/>
      <right style="thin">
        <color theme="8"/>
      </right>
      <top/>
      <bottom/>
      <diagonal/>
    </border>
    <border>
      <left/>
      <right style="thin">
        <color theme="8"/>
      </right>
      <top/>
      <bottom style="thin">
        <color rgb="FF00B0F0"/>
      </bottom>
      <diagonal/>
    </border>
    <border>
      <left style="thin">
        <color theme="8"/>
      </left>
      <right style="thin">
        <color theme="8"/>
      </right>
      <top/>
      <bottom style="thin">
        <color rgb="FF00B0F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top style="thin">
        <color indexed="64"/>
      </top>
      <bottom style="thin">
        <color theme="1"/>
      </bottom>
      <diagonal/>
    </border>
    <border>
      <left/>
      <right style="thin">
        <color indexed="64"/>
      </right>
      <top style="thin">
        <color indexed="64"/>
      </top>
      <bottom style="thin">
        <color theme="1"/>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ck">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style="thick">
        <color indexed="64"/>
      </right>
      <top/>
      <bottom/>
      <diagonal/>
    </border>
    <border>
      <left style="thick">
        <color indexed="64"/>
      </left>
      <right style="thick">
        <color indexed="64"/>
      </right>
      <top style="thin">
        <color indexed="64"/>
      </top>
      <bottom/>
      <diagonal/>
    </border>
    <border>
      <left style="thick">
        <color indexed="64"/>
      </left>
      <right style="thick">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s>
  <cellStyleXfs count="13">
    <xf numFmtId="0" fontId="0" fillId="0" borderId="0"/>
    <xf numFmtId="0" fontId="3" fillId="0" borderId="0"/>
    <xf numFmtId="165" fontId="3"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7" fontId="4" fillId="0" borderId="0" applyFont="0" applyFill="0" applyBorder="0" applyAlignment="0" applyProtection="0"/>
    <xf numFmtId="0" fontId="4" fillId="3" borderId="0" applyNumberFormat="0" applyFont="0" applyBorder="0" applyAlignment="0" applyProtection="0"/>
    <xf numFmtId="0" fontId="4" fillId="4" borderId="0" applyNumberFormat="0" applyFont="0" applyBorder="0" applyAlignment="0" applyProtection="0"/>
    <xf numFmtId="7" fontId="4" fillId="0" borderId="0" applyFont="0" applyFill="0" applyBorder="0" applyAlignment="0" applyProtection="0"/>
    <xf numFmtId="0" fontId="14" fillId="0" borderId="0"/>
    <xf numFmtId="0" fontId="2" fillId="0" borderId="0"/>
    <xf numFmtId="0" fontId="1" fillId="0" borderId="0"/>
  </cellStyleXfs>
  <cellXfs count="464">
    <xf numFmtId="0" fontId="0" fillId="0" borderId="0" xfId="0"/>
    <xf numFmtId="0" fontId="4" fillId="0" borderId="0" xfId="1" applyFont="1"/>
    <xf numFmtId="0" fontId="4" fillId="0" borderId="1" xfId="1" applyFont="1" applyBorder="1"/>
    <xf numFmtId="0" fontId="9" fillId="0" borderId="0" xfId="1" applyFont="1"/>
    <xf numFmtId="0" fontId="10" fillId="0" borderId="0" xfId="1" applyFont="1"/>
    <xf numFmtId="0" fontId="11" fillId="0" borderId="0" xfId="1" applyFont="1"/>
    <xf numFmtId="0" fontId="10" fillId="0" borderId="0" xfId="1" applyFont="1" applyAlignment="1">
      <alignment wrapText="1"/>
    </xf>
    <xf numFmtId="0" fontId="11" fillId="0" borderId="0" xfId="1" applyFont="1" applyAlignment="1">
      <alignment wrapText="1"/>
    </xf>
    <xf numFmtId="0" fontId="12" fillId="0" borderId="0" xfId="1" applyFont="1"/>
    <xf numFmtId="165" fontId="4" fillId="0" borderId="0" xfId="1" applyNumberFormat="1" applyFont="1"/>
    <xf numFmtId="0" fontId="4" fillId="0" borderId="0" xfId="1" applyFont="1" applyProtection="1">
      <protection locked="0"/>
    </xf>
    <xf numFmtId="0" fontId="4" fillId="0" borderId="0" xfId="1" applyFont="1" applyAlignment="1">
      <alignment horizontal="center"/>
    </xf>
    <xf numFmtId="15" fontId="4" fillId="0" borderId="0" xfId="1" applyNumberFormat="1" applyFont="1" applyAlignment="1">
      <alignment horizontal="center"/>
    </xf>
    <xf numFmtId="0" fontId="4" fillId="0" borderId="0" xfId="4"/>
    <xf numFmtId="0" fontId="13" fillId="0" borderId="0" xfId="4" applyFont="1"/>
    <xf numFmtId="0" fontId="4" fillId="0" borderId="0" xfId="4" applyAlignment="1">
      <alignment horizontal="left"/>
    </xf>
    <xf numFmtId="0" fontId="4" fillId="0" borderId="16" xfId="4" applyBorder="1"/>
    <xf numFmtId="0" fontId="4" fillId="0" borderId="1" xfId="4" applyBorder="1"/>
    <xf numFmtId="0" fontId="6" fillId="0" borderId="0" xfId="4" applyFont="1"/>
    <xf numFmtId="9" fontId="12" fillId="0" borderId="0" xfId="1" applyNumberFormat="1" applyFont="1"/>
    <xf numFmtId="0" fontId="16" fillId="6" borderId="18" xfId="0" applyFont="1" applyFill="1" applyBorder="1" applyAlignment="1">
      <alignment horizontal="center" vertical="center"/>
    </xf>
    <xf numFmtId="0" fontId="17" fillId="0" borderId="1" xfId="0" applyFont="1" applyBorder="1" applyAlignment="1">
      <alignment horizontal="center" vertical="center"/>
    </xf>
    <xf numFmtId="0" fontId="18" fillId="0" borderId="0" xfId="1" applyFont="1" applyAlignment="1">
      <alignment horizontal="center" vertical="center"/>
    </xf>
    <xf numFmtId="0" fontId="18" fillId="0" borderId="1" xfId="1" applyFont="1" applyBorder="1" applyAlignment="1">
      <alignment horizontal="center" vertical="center"/>
    </xf>
    <xf numFmtId="0" fontId="19" fillId="0" borderId="0" xfId="1" applyFont="1" applyAlignment="1">
      <alignment horizontal="center" vertical="center"/>
    </xf>
    <xf numFmtId="0" fontId="20" fillId="0" borderId="1" xfId="0" applyFont="1" applyBorder="1"/>
    <xf numFmtId="0" fontId="16" fillId="6" borderId="17" xfId="0" applyFont="1" applyFill="1" applyBorder="1" applyAlignment="1">
      <alignment horizontal="center" vertical="center"/>
    </xf>
    <xf numFmtId="170" fontId="20" fillId="0" borderId="1" xfId="0" applyNumberFormat="1" applyFont="1" applyBorder="1" applyAlignment="1">
      <alignment horizontal="center" vertical="center"/>
    </xf>
    <xf numFmtId="0" fontId="20" fillId="0" borderId="0" xfId="0" applyFont="1"/>
    <xf numFmtId="0" fontId="17" fillId="0" borderId="0" xfId="0" applyFont="1" applyAlignment="1">
      <alignment horizontal="center" vertical="center"/>
    </xf>
    <xf numFmtId="0" fontId="20" fillId="0" borderId="0" xfId="0" applyFont="1" applyAlignment="1">
      <alignment horizontal="center" vertical="center"/>
    </xf>
    <xf numFmtId="0" fontId="20" fillId="0" borderId="1" xfId="0" applyFont="1" applyBorder="1" applyAlignment="1">
      <alignment horizontal="center" vertical="center"/>
    </xf>
    <xf numFmtId="170" fontId="20" fillId="0" borderId="19" xfId="0" applyNumberFormat="1" applyFont="1" applyBorder="1" applyAlignment="1">
      <alignment horizontal="center" vertical="center"/>
    </xf>
    <xf numFmtId="170" fontId="20" fillId="0" borderId="0" xfId="0" applyNumberFormat="1" applyFont="1" applyAlignment="1">
      <alignment horizontal="center" vertical="center"/>
    </xf>
    <xf numFmtId="170" fontId="17" fillId="0" borderId="0" xfId="0" applyNumberFormat="1" applyFont="1" applyAlignment="1">
      <alignment horizontal="center" vertical="center"/>
    </xf>
    <xf numFmtId="170" fontId="20" fillId="0" borderId="20" xfId="0" applyNumberFormat="1" applyFont="1" applyBorder="1" applyAlignment="1">
      <alignment horizontal="center" vertical="center"/>
    </xf>
    <xf numFmtId="0" fontId="11" fillId="0" borderId="0" xfId="4" applyFont="1" applyAlignment="1">
      <alignment horizontal="center" vertical="center"/>
    </xf>
    <xf numFmtId="0" fontId="4" fillId="0" borderId="0" xfId="4" applyAlignment="1">
      <alignment horizontal="center" vertical="center"/>
    </xf>
    <xf numFmtId="0" fontId="10" fillId="0" borderId="0" xfId="4" applyFont="1" applyAlignment="1">
      <alignment horizontal="center" vertical="center"/>
    </xf>
    <xf numFmtId="164" fontId="4" fillId="0" borderId="0" xfId="4" applyNumberFormat="1" applyAlignment="1">
      <alignment horizontal="center" vertical="center"/>
    </xf>
    <xf numFmtId="10" fontId="10" fillId="0" borderId="0" xfId="4" applyNumberFormat="1" applyFont="1" applyAlignment="1">
      <alignment horizontal="center" vertical="center"/>
    </xf>
    <xf numFmtId="167" fontId="10" fillId="0" borderId="0" xfId="4" applyNumberFormat="1" applyFont="1" applyAlignment="1">
      <alignment horizontal="center" vertical="center"/>
    </xf>
    <xf numFmtId="0" fontId="15" fillId="0" borderId="0" xfId="4" applyFont="1" applyAlignment="1">
      <alignment horizontal="center" vertical="center"/>
    </xf>
    <xf numFmtId="0" fontId="6" fillId="0" borderId="0" xfId="4" applyFont="1" applyAlignment="1">
      <alignment horizontal="center" vertical="center"/>
    </xf>
    <xf numFmtId="9" fontId="6" fillId="0" borderId="0" xfId="4" applyNumberFormat="1" applyFont="1" applyAlignment="1">
      <alignment horizontal="center" vertical="center"/>
    </xf>
    <xf numFmtId="2" fontId="6" fillId="0" borderId="0" xfId="4" applyNumberFormat="1" applyFont="1" applyAlignment="1">
      <alignment horizontal="center" vertical="center"/>
    </xf>
    <xf numFmtId="0" fontId="15" fillId="0" borderId="1" xfId="4" applyFont="1" applyBorder="1" applyAlignment="1">
      <alignment horizontal="center" vertical="center"/>
    </xf>
    <xf numFmtId="10" fontId="15" fillId="0" borderId="1" xfId="4" applyNumberFormat="1" applyFont="1" applyBorder="1" applyAlignment="1">
      <alignment horizontal="center" vertical="center"/>
    </xf>
    <xf numFmtId="2" fontId="6" fillId="0" borderId="1" xfId="4" applyNumberFormat="1" applyFont="1" applyBorder="1" applyAlignment="1">
      <alignment horizontal="center" vertical="center"/>
    </xf>
    <xf numFmtId="0" fontId="4" fillId="0" borderId="1" xfId="4" applyBorder="1" applyAlignment="1">
      <alignment horizontal="center" vertical="center"/>
    </xf>
    <xf numFmtId="0" fontId="21" fillId="0" borderId="0" xfId="0" applyFont="1"/>
    <xf numFmtId="0" fontId="21" fillId="0" borderId="0" xfId="0" applyFont="1" applyAlignment="1">
      <alignment horizontal="center" vertical="center"/>
    </xf>
    <xf numFmtId="0" fontId="0" fillId="0" borderId="0" xfId="0" applyAlignment="1">
      <alignment horizontal="center" vertical="center"/>
    </xf>
    <xf numFmtId="0" fontId="21" fillId="8" borderId="1" xfId="0" applyFont="1" applyFill="1" applyBorder="1" applyAlignment="1">
      <alignment horizontal="center" vertical="center"/>
    </xf>
    <xf numFmtId="0" fontId="0" fillId="0" borderId="1" xfId="0" applyBorder="1" applyAlignment="1">
      <alignment horizontal="center" vertical="center"/>
    </xf>
    <xf numFmtId="0" fontId="20" fillId="0" borderId="1" xfId="1" applyFont="1" applyBorder="1" applyAlignment="1">
      <alignment horizontal="center" vertical="center"/>
    </xf>
    <xf numFmtId="0" fontId="0" fillId="0" borderId="1" xfId="0" applyBorder="1"/>
    <xf numFmtId="0" fontId="23" fillId="10" borderId="24" xfId="0" applyFont="1" applyFill="1" applyBorder="1"/>
    <xf numFmtId="0" fontId="23" fillId="10" borderId="25" xfId="0" applyFont="1" applyFill="1" applyBorder="1" applyAlignment="1">
      <alignment horizontal="center" vertical="center"/>
    </xf>
    <xf numFmtId="0" fontId="23" fillId="10" borderId="26" xfId="0" applyFont="1" applyFill="1" applyBorder="1" applyAlignment="1">
      <alignment horizontal="center" vertical="center"/>
    </xf>
    <xf numFmtId="0" fontId="0" fillId="0" borderId="27" xfId="0" applyBorder="1" applyAlignment="1">
      <alignment horizontal="center" vertical="center"/>
    </xf>
    <xf numFmtId="0" fontId="0" fillId="0" borderId="27" xfId="0" applyBorder="1" applyAlignment="1">
      <alignment horizontal="left" vertical="center"/>
    </xf>
    <xf numFmtId="0" fontId="23" fillId="12" borderId="27" xfId="0" applyFont="1" applyFill="1" applyBorder="1" applyAlignment="1">
      <alignment horizontal="center" vertical="center"/>
    </xf>
    <xf numFmtId="0" fontId="21" fillId="13" borderId="27" xfId="0" applyFont="1" applyFill="1" applyBorder="1" applyAlignment="1">
      <alignment horizontal="center" vertical="center"/>
    </xf>
    <xf numFmtId="14" fontId="0" fillId="0" borderId="27" xfId="0" applyNumberFormat="1" applyBorder="1" applyAlignment="1">
      <alignment horizontal="center" vertical="center"/>
    </xf>
    <xf numFmtId="0" fontId="23" fillId="12" borderId="27" xfId="0" applyFont="1" applyFill="1" applyBorder="1" applyAlignment="1">
      <alignment horizontal="left" vertical="center"/>
    </xf>
    <xf numFmtId="14" fontId="4" fillId="0" borderId="1" xfId="4" applyNumberFormat="1" applyBorder="1" applyAlignment="1">
      <alignment horizontal="center" vertical="center"/>
    </xf>
    <xf numFmtId="0" fontId="24" fillId="14" borderId="1" xfId="1" applyFont="1" applyFill="1" applyBorder="1" applyAlignment="1">
      <alignment horizontal="center" vertical="center"/>
    </xf>
    <xf numFmtId="0" fontId="24" fillId="14" borderId="1" xfId="1" applyFont="1" applyFill="1" applyBorder="1" applyAlignment="1">
      <alignment horizontal="center" vertical="center" wrapText="1"/>
    </xf>
    <xf numFmtId="15" fontId="4" fillId="0" borderId="1" xfId="1" applyNumberFormat="1" applyFont="1" applyBorder="1" applyAlignment="1">
      <alignment horizontal="center"/>
    </xf>
    <xf numFmtId="0" fontId="4" fillId="0" borderId="1" xfId="1" applyFont="1" applyBorder="1" applyAlignment="1">
      <alignment horizontal="center"/>
    </xf>
    <xf numFmtId="0" fontId="4" fillId="0" borderId="1" xfId="1" applyFont="1" applyBorder="1" applyProtection="1">
      <protection locked="0"/>
    </xf>
    <xf numFmtId="165" fontId="4" fillId="0" borderId="1" xfId="1" applyNumberFormat="1" applyFont="1" applyBorder="1"/>
    <xf numFmtId="0" fontId="11" fillId="15" borderId="1" xfId="1" applyFont="1" applyFill="1" applyBorder="1" applyAlignment="1">
      <alignment vertical="center" wrapText="1"/>
    </xf>
    <xf numFmtId="0" fontId="11" fillId="15" borderId="1" xfId="1" applyFont="1" applyFill="1" applyBorder="1" applyAlignment="1">
      <alignment horizontal="center" vertical="center" wrapText="1"/>
    </xf>
    <xf numFmtId="0" fontId="25" fillId="0" borderId="1" xfId="2" applyNumberFormat="1" applyFont="1" applyBorder="1" applyAlignment="1">
      <alignment horizontal="center" vertical="center"/>
    </xf>
    <xf numFmtId="0" fontId="7" fillId="0" borderId="1" xfId="1" applyFont="1" applyBorder="1"/>
    <xf numFmtId="0" fontId="10" fillId="0" borderId="1" xfId="1" applyFont="1" applyBorder="1" applyAlignment="1">
      <alignment horizontal="center" vertical="center"/>
    </xf>
    <xf numFmtId="0" fontId="12" fillId="0" borderId="11" xfId="1" applyFont="1" applyBorder="1" applyAlignment="1">
      <alignment horizontal="justify" vertical="top"/>
    </xf>
    <xf numFmtId="0" fontId="12" fillId="0" borderId="10" xfId="1" applyFont="1" applyBorder="1" applyAlignment="1">
      <alignment horizontal="justify" vertical="top"/>
    </xf>
    <xf numFmtId="0" fontId="12" fillId="0" borderId="0" xfId="1" applyFont="1" applyAlignment="1">
      <alignment horizontal="justify"/>
    </xf>
    <xf numFmtId="0" fontId="19" fillId="0" borderId="37" xfId="1" applyFont="1" applyBorder="1" applyAlignment="1">
      <alignment horizontal="left" vertical="top"/>
    </xf>
    <xf numFmtId="0" fontId="19" fillId="0" borderId="39" xfId="1" applyFont="1" applyBorder="1" applyAlignment="1">
      <alignment horizontal="left" vertical="top"/>
    </xf>
    <xf numFmtId="0" fontId="19" fillId="0" borderId="38" xfId="1" applyFont="1" applyBorder="1" applyAlignment="1">
      <alignment horizontal="left" vertical="top"/>
    </xf>
    <xf numFmtId="0" fontId="19" fillId="0" borderId="40" xfId="1" applyFont="1" applyBorder="1" applyAlignment="1">
      <alignment horizontal="left" vertical="top"/>
    </xf>
    <xf numFmtId="0" fontId="19" fillId="0" borderId="41" xfId="1" applyFont="1" applyBorder="1" applyAlignment="1">
      <alignment horizontal="left" vertical="top"/>
    </xf>
    <xf numFmtId="0" fontId="12" fillId="0" borderId="10" xfId="1" applyFont="1" applyBorder="1" applyAlignment="1">
      <alignment horizontal="center" vertical="center"/>
    </xf>
    <xf numFmtId="2" fontId="12" fillId="0" borderId="10" xfId="1" applyNumberFormat="1" applyFont="1" applyBorder="1" applyAlignment="1">
      <alignment horizontal="center" vertical="center"/>
    </xf>
    <xf numFmtId="0" fontId="12" fillId="0" borderId="10" xfId="1" applyFont="1" applyBorder="1" applyAlignment="1">
      <alignment horizontal="left" vertical="center"/>
    </xf>
    <xf numFmtId="0" fontId="0" fillId="17" borderId="1" xfId="0" applyFill="1" applyBorder="1" applyAlignment="1">
      <alignment horizontal="center" vertical="center"/>
    </xf>
    <xf numFmtId="0" fontId="18" fillId="0" borderId="0" xfId="1" applyFont="1"/>
    <xf numFmtId="0" fontId="25" fillId="0" borderId="1" xfId="1" applyFont="1" applyBorder="1" applyAlignment="1">
      <alignment horizontal="center" vertical="center"/>
    </xf>
    <xf numFmtId="0" fontId="0" fillId="0" borderId="0" xfId="0" applyAlignment="1">
      <alignment vertical="center"/>
    </xf>
    <xf numFmtId="14" fontId="0" fillId="0" borderId="0" xfId="0" applyNumberFormat="1" applyAlignment="1">
      <alignment vertical="center"/>
    </xf>
    <xf numFmtId="14" fontId="0" fillId="0" borderId="1" xfId="0" applyNumberFormat="1" applyBorder="1" applyAlignment="1">
      <alignment horizontal="center" vertical="center"/>
    </xf>
    <xf numFmtId="0" fontId="21" fillId="11" borderId="1" xfId="0" applyFont="1" applyFill="1" applyBorder="1" applyAlignment="1">
      <alignment horizontal="center" vertical="center"/>
    </xf>
    <xf numFmtId="0" fontId="12" fillId="0" borderId="11" xfId="1" applyFont="1" applyBorder="1" applyAlignment="1">
      <alignment horizontal="center" vertical="top"/>
    </xf>
    <xf numFmtId="0" fontId="19" fillId="16" borderId="13" xfId="1" applyFont="1" applyFill="1" applyBorder="1" applyAlignment="1">
      <alignment horizontal="center" vertical="center"/>
    </xf>
    <xf numFmtId="0" fontId="19" fillId="16" borderId="12" xfId="1" applyFont="1" applyFill="1" applyBorder="1" applyAlignment="1">
      <alignment horizontal="center" vertical="center"/>
    </xf>
    <xf numFmtId="0" fontId="19" fillId="0" borderId="0" xfId="1" applyFont="1" applyAlignment="1">
      <alignment horizontal="center" vertical="center" wrapText="1"/>
    </xf>
    <xf numFmtId="0" fontId="12" fillId="0" borderId="0" xfId="1" applyFont="1" applyAlignment="1">
      <alignment horizontal="center"/>
    </xf>
    <xf numFmtId="0" fontId="12" fillId="0" borderId="10" xfId="1" applyFont="1" applyBorder="1" applyAlignment="1">
      <alignment horizontal="left" vertical="top"/>
    </xf>
    <xf numFmtId="0" fontId="19" fillId="16" borderId="13" xfId="1" applyFont="1" applyFill="1" applyBorder="1" applyAlignment="1">
      <alignment horizontal="left" vertical="top"/>
    </xf>
    <xf numFmtId="0" fontId="19" fillId="16" borderId="13" xfId="1" applyFont="1" applyFill="1" applyBorder="1" applyAlignment="1">
      <alignment horizontal="left" vertical="center"/>
    </xf>
    <xf numFmtId="0" fontId="19" fillId="16" borderId="12" xfId="1" applyFont="1" applyFill="1" applyBorder="1" applyAlignment="1">
      <alignment horizontal="left" vertical="center"/>
    </xf>
    <xf numFmtId="0" fontId="18" fillId="0" borderId="0" xfId="0" applyFont="1" applyAlignment="1">
      <alignment vertical="center"/>
    </xf>
    <xf numFmtId="0" fontId="27" fillId="14" borderId="1" xfId="1" applyFont="1" applyFill="1" applyBorder="1" applyAlignment="1">
      <alignment horizontal="left" vertical="center"/>
    </xf>
    <xf numFmtId="0" fontId="27" fillId="14" borderId="1" xfId="1" applyFont="1" applyFill="1" applyBorder="1" applyAlignment="1">
      <alignment horizontal="center" vertical="center"/>
    </xf>
    <xf numFmtId="0" fontId="18" fillId="0" borderId="0" xfId="0" applyFont="1" applyAlignment="1">
      <alignment horizontal="center" vertical="center"/>
    </xf>
    <xf numFmtId="0" fontId="10" fillId="0" borderId="1" xfId="1" applyFont="1" applyBorder="1" applyAlignment="1">
      <alignment vertical="center"/>
    </xf>
    <xf numFmtId="15" fontId="10" fillId="0" borderId="1" xfId="1" applyNumberFormat="1" applyFont="1" applyBorder="1" applyAlignment="1">
      <alignment horizontal="center" vertical="center"/>
    </xf>
    <xf numFmtId="0" fontId="18" fillId="0" borderId="1" xfId="0" applyFont="1" applyBorder="1" applyAlignment="1">
      <alignment vertical="center"/>
    </xf>
    <xf numFmtId="14" fontId="18" fillId="0" borderId="0" xfId="0" applyNumberFormat="1" applyFont="1" applyAlignment="1">
      <alignment vertical="center"/>
    </xf>
    <xf numFmtId="0" fontId="10" fillId="0" borderId="0" xfId="1" applyFont="1" applyAlignment="1">
      <alignment vertical="center"/>
    </xf>
    <xf numFmtId="15" fontId="10" fillId="0" borderId="0" xfId="1" applyNumberFormat="1" applyFont="1" applyAlignment="1">
      <alignment horizontal="center" vertical="center"/>
    </xf>
    <xf numFmtId="0" fontId="4" fillId="0" borderId="1" xfId="1" applyFont="1" applyBorder="1" applyAlignment="1">
      <alignment horizontal="center" vertical="center"/>
    </xf>
    <xf numFmtId="15" fontId="4" fillId="0" borderId="1" xfId="1" applyNumberFormat="1" applyFont="1" applyBorder="1" applyAlignment="1">
      <alignment horizontal="center" vertical="center"/>
    </xf>
    <xf numFmtId="0" fontId="4" fillId="0" borderId="1" xfId="1" applyFont="1" applyBorder="1" applyAlignment="1" applyProtection="1">
      <alignment horizontal="center" vertical="center"/>
      <protection locked="0"/>
    </xf>
    <xf numFmtId="165" fontId="4" fillId="0" borderId="1" xfId="1" applyNumberFormat="1" applyFont="1" applyBorder="1" applyAlignment="1">
      <alignment horizontal="center" vertical="center"/>
    </xf>
    <xf numFmtId="0" fontId="21" fillId="0" borderId="1" xfId="0" applyFont="1" applyBorder="1"/>
    <xf numFmtId="0" fontId="0" fillId="0" borderId="33" xfId="0" applyBorder="1"/>
    <xf numFmtId="14" fontId="0" fillId="0" borderId="23" xfId="0" applyNumberFormat="1" applyBorder="1" applyAlignment="1">
      <alignment horizontal="center" vertical="center"/>
    </xf>
    <xf numFmtId="0" fontId="0" fillId="0" borderId="23" xfId="0" applyBorder="1" applyAlignment="1">
      <alignment horizontal="center" vertical="center"/>
    </xf>
    <xf numFmtId="0" fontId="21" fillId="0" borderId="1" xfId="0" applyFont="1"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11" fillId="0" borderId="0" xfId="1" applyFont="1" applyAlignment="1">
      <alignment horizontal="center" vertical="center"/>
    </xf>
    <xf numFmtId="0" fontId="23" fillId="14" borderId="1" xfId="1" applyFont="1" applyFill="1" applyBorder="1" applyAlignment="1">
      <alignment horizontal="center" vertical="center"/>
    </xf>
    <xf numFmtId="0" fontId="23" fillId="14" borderId="1" xfId="1" applyFont="1" applyFill="1" applyBorder="1" applyAlignment="1">
      <alignment horizontal="left" vertical="center"/>
    </xf>
    <xf numFmtId="0" fontId="18" fillId="0" borderId="1" xfId="1" applyFont="1" applyBorder="1" applyAlignment="1">
      <alignment horizontal="left" vertical="center"/>
    </xf>
    <xf numFmtId="0" fontId="18" fillId="0" borderId="0" xfId="1" applyFont="1" applyAlignment="1">
      <alignment horizontal="left" vertical="center"/>
    </xf>
    <xf numFmtId="0" fontId="6" fillId="0" borderId="0" xfId="1" applyFont="1" applyAlignment="1">
      <alignment horizontal="left" indent="4"/>
    </xf>
    <xf numFmtId="0" fontId="0" fillId="0" borderId="1" xfId="0" applyBorder="1" applyAlignment="1">
      <alignment horizontal="center"/>
    </xf>
    <xf numFmtId="0" fontId="29" fillId="11" borderId="1" xfId="1" applyFont="1" applyFill="1" applyBorder="1"/>
    <xf numFmtId="0" fontId="29" fillId="11" borderId="1" xfId="1" applyFont="1" applyFill="1" applyBorder="1" applyAlignment="1">
      <alignment horizontal="center" vertical="center"/>
    </xf>
    <xf numFmtId="0" fontId="30" fillId="0" borderId="15" xfId="1" applyFont="1" applyBorder="1"/>
    <xf numFmtId="0" fontId="11" fillId="0" borderId="14" xfId="1" applyFont="1" applyBorder="1" applyAlignment="1">
      <alignment horizontal="center"/>
    </xf>
    <xf numFmtId="0" fontId="18" fillId="0" borderId="1" xfId="1" applyFont="1" applyBorder="1" applyAlignment="1">
      <alignment horizontal="center"/>
    </xf>
    <xf numFmtId="10" fontId="18" fillId="0" borderId="1" xfId="1" applyNumberFormat="1" applyFont="1" applyBorder="1" applyAlignment="1">
      <alignment horizontal="center"/>
    </xf>
    <xf numFmtId="0" fontId="3" fillId="0" borderId="0" xfId="1" applyAlignment="1">
      <alignment horizontal="center" vertical="center"/>
    </xf>
    <xf numFmtId="0" fontId="4" fillId="0" borderId="0" xfId="1" applyFont="1" applyAlignment="1">
      <alignment horizontal="center" vertical="center"/>
    </xf>
    <xf numFmtId="0" fontId="11" fillId="0" borderId="1" xfId="1" applyFont="1" applyBorder="1" applyAlignment="1">
      <alignment horizontal="left"/>
    </xf>
    <xf numFmtId="0" fontId="10" fillId="0" borderId="1" xfId="1" applyFont="1" applyBorder="1" applyAlignment="1">
      <alignment horizontal="center"/>
    </xf>
    <xf numFmtId="0" fontId="3" fillId="0" borderId="0" xfId="1"/>
    <xf numFmtId="9" fontId="10" fillId="0" borderId="1" xfId="1" applyNumberFormat="1" applyFont="1" applyBorder="1" applyAlignment="1">
      <alignment horizontal="center"/>
    </xf>
    <xf numFmtId="1" fontId="10" fillId="0" borderId="1" xfId="1" applyNumberFormat="1" applyFont="1" applyBorder="1" applyAlignment="1">
      <alignment horizontal="center"/>
    </xf>
    <xf numFmtId="0" fontId="3" fillId="0" borderId="0" xfId="1" applyAlignment="1">
      <alignment horizontal="center"/>
    </xf>
    <xf numFmtId="2" fontId="10" fillId="0" borderId="1" xfId="1" applyNumberFormat="1" applyFont="1" applyBorder="1" applyAlignment="1">
      <alignment horizontal="center"/>
    </xf>
    <xf numFmtId="0" fontId="11" fillId="0" borderId="0" xfId="3" applyFont="1" applyAlignment="1">
      <alignment horizontal="center" vertical="center"/>
    </xf>
    <xf numFmtId="0" fontId="10" fillId="0" borderId="0" xfId="3" applyFont="1" applyAlignment="1">
      <alignment horizontal="center" vertical="center"/>
    </xf>
    <xf numFmtId="43" fontId="10" fillId="0" borderId="0" xfId="5" applyFont="1" applyAlignment="1">
      <alignment horizontal="center" vertical="center"/>
    </xf>
    <xf numFmtId="43" fontId="10" fillId="0" borderId="0" xfId="4" applyNumberFormat="1" applyFont="1" applyAlignment="1">
      <alignment horizontal="center" vertical="center"/>
    </xf>
    <xf numFmtId="166" fontId="10" fillId="0" borderId="0" xfId="4" applyNumberFormat="1" applyFont="1" applyAlignment="1">
      <alignment horizontal="center" vertical="center"/>
    </xf>
    <xf numFmtId="0" fontId="11" fillId="0" borderId="1" xfId="4" applyFont="1" applyBorder="1" applyAlignment="1">
      <alignment horizontal="center" vertical="center"/>
    </xf>
    <xf numFmtId="0" fontId="10" fillId="0" borderId="1" xfId="4" applyFont="1" applyBorder="1" applyAlignment="1">
      <alignment horizontal="center" vertical="center"/>
    </xf>
    <xf numFmtId="0" fontId="18" fillId="0" borderId="1" xfId="0" applyFont="1" applyBorder="1" applyAlignment="1">
      <alignment horizontal="center" vertical="center"/>
    </xf>
    <xf numFmtId="0" fontId="10" fillId="0" borderId="1" xfId="4" applyFont="1" applyBorder="1" applyAlignment="1">
      <alignment vertical="center"/>
    </xf>
    <xf numFmtId="0" fontId="23" fillId="18" borderId="1" xfId="4" applyFont="1" applyFill="1" applyBorder="1" applyAlignment="1">
      <alignment vertical="center"/>
    </xf>
    <xf numFmtId="0" fontId="23" fillId="18" borderId="1" xfId="4" applyFont="1" applyFill="1" applyBorder="1" applyAlignment="1">
      <alignment horizontal="center" vertical="center"/>
    </xf>
    <xf numFmtId="0" fontId="23" fillId="0" borderId="0" xfId="0" applyFont="1" applyAlignment="1">
      <alignment vertical="center"/>
    </xf>
    <xf numFmtId="0" fontId="12" fillId="0" borderId="0" xfId="4" applyFont="1"/>
    <xf numFmtId="0" fontId="12" fillId="0" borderId="0" xfId="4" applyFont="1" applyAlignment="1">
      <alignment horizontal="center" vertical="center"/>
    </xf>
    <xf numFmtId="0" fontId="19" fillId="0" borderId="1" xfId="4" applyFont="1" applyBorder="1" applyAlignment="1">
      <alignment horizontal="center" vertical="center"/>
    </xf>
    <xf numFmtId="0" fontId="12" fillId="0" borderId="1" xfId="4" applyFont="1" applyBorder="1" applyAlignment="1">
      <alignment horizontal="center" vertical="center"/>
    </xf>
    <xf numFmtId="0" fontId="12" fillId="0" borderId="1" xfId="4" applyFont="1" applyBorder="1"/>
    <xf numFmtId="0" fontId="12" fillId="0" borderId="22" xfId="4" applyFont="1" applyBorder="1" applyAlignment="1">
      <alignment horizontal="center" vertical="center"/>
    </xf>
    <xf numFmtId="0" fontId="12" fillId="8" borderId="1" xfId="4" applyFont="1" applyFill="1" applyBorder="1" applyAlignment="1">
      <alignment horizontal="center" vertical="center"/>
    </xf>
    <xf numFmtId="14" fontId="12" fillId="0" borderId="1" xfId="4" applyNumberFormat="1" applyFont="1" applyBorder="1"/>
    <xf numFmtId="169" fontId="12" fillId="0" borderId="0" xfId="4" applyNumberFormat="1" applyFont="1"/>
    <xf numFmtId="14" fontId="12" fillId="0" borderId="0" xfId="4" applyNumberFormat="1" applyFont="1"/>
    <xf numFmtId="169" fontId="12" fillId="0" borderId="1" xfId="4" applyNumberFormat="1" applyFont="1" applyBorder="1" applyAlignment="1">
      <alignment horizontal="center" vertical="center"/>
    </xf>
    <xf numFmtId="1" fontId="12" fillId="0" borderId="1" xfId="4" applyNumberFormat="1" applyFont="1" applyBorder="1" applyAlignment="1">
      <alignment horizontal="center" vertical="center"/>
    </xf>
    <xf numFmtId="0" fontId="19" fillId="8" borderId="1" xfId="4" applyFont="1" applyFill="1" applyBorder="1"/>
    <xf numFmtId="0" fontId="19" fillId="8" borderId="1" xfId="4" applyFont="1" applyFill="1" applyBorder="1" applyAlignment="1">
      <alignment horizontal="center" vertical="center"/>
    </xf>
    <xf numFmtId="0" fontId="19" fillId="16" borderId="1" xfId="4" applyFont="1" applyFill="1" applyBorder="1" applyAlignment="1">
      <alignment horizontal="center" vertical="center"/>
    </xf>
    <xf numFmtId="0" fontId="12" fillId="16" borderId="1" xfId="4" applyFont="1" applyFill="1" applyBorder="1" applyAlignment="1">
      <alignment horizontal="center" vertical="center"/>
    </xf>
    <xf numFmtId="0" fontId="24" fillId="19" borderId="1" xfId="4" applyFont="1" applyFill="1" applyBorder="1" applyAlignment="1">
      <alignment horizontal="center" vertical="center"/>
    </xf>
    <xf numFmtId="0" fontId="24" fillId="19" borderId="1" xfId="4" applyFont="1" applyFill="1" applyBorder="1"/>
    <xf numFmtId="0" fontId="29" fillId="8" borderId="1" xfId="1" applyFont="1" applyFill="1" applyBorder="1" applyAlignment="1">
      <alignment horizontal="center" vertical="center"/>
    </xf>
    <xf numFmtId="0" fontId="29" fillId="20" borderId="1" xfId="1" applyFont="1" applyFill="1" applyBorder="1" applyAlignment="1">
      <alignment horizontal="center" vertical="center"/>
    </xf>
    <xf numFmtId="0" fontId="29" fillId="20" borderId="1" xfId="1" applyFont="1" applyFill="1" applyBorder="1" applyAlignment="1">
      <alignment horizontal="center" vertical="center" wrapText="1"/>
    </xf>
    <xf numFmtId="0" fontId="10" fillId="0" borderId="1" xfId="1" applyFont="1" applyBorder="1" applyAlignment="1">
      <alignment wrapText="1"/>
    </xf>
    <xf numFmtId="0" fontId="11" fillId="11" borderId="1" xfId="1" applyFont="1" applyFill="1" applyBorder="1"/>
    <xf numFmtId="0" fontId="11" fillId="11" borderId="1" xfId="1" applyFont="1" applyFill="1" applyBorder="1" applyAlignment="1">
      <alignment horizontal="center" vertical="center"/>
    </xf>
    <xf numFmtId="0" fontId="18" fillId="0" borderId="1" xfId="1" applyFont="1" applyBorder="1"/>
    <xf numFmtId="0" fontId="18" fillId="0" borderId="0" xfId="0" applyFont="1"/>
    <xf numFmtId="14" fontId="18" fillId="0" borderId="0" xfId="0" applyNumberFormat="1" applyFont="1" applyAlignment="1">
      <alignment horizontal="center" vertical="center"/>
    </xf>
    <xf numFmtId="0" fontId="24" fillId="22" borderId="1" xfId="1" applyFont="1" applyFill="1" applyBorder="1" applyAlignment="1">
      <alignment horizontal="center" vertical="center"/>
    </xf>
    <xf numFmtId="0" fontId="24" fillId="22" borderId="1" xfId="1" applyFont="1" applyFill="1" applyBorder="1" applyAlignment="1">
      <alignment horizontal="center" vertical="center" wrapText="1"/>
    </xf>
    <xf numFmtId="0" fontId="19" fillId="15" borderId="1" xfId="4" applyFont="1" applyFill="1" applyBorder="1" applyAlignment="1">
      <alignment horizontal="center" vertical="center"/>
    </xf>
    <xf numFmtId="0" fontId="19" fillId="15" borderId="1" xfId="4" applyFont="1" applyFill="1" applyBorder="1"/>
    <xf numFmtId="0" fontId="21" fillId="0" borderId="1" xfId="0" applyFont="1" applyBorder="1" applyAlignment="1">
      <alignment horizontal="center" vertical="center"/>
    </xf>
    <xf numFmtId="0" fontId="23" fillId="12" borderId="1" xfId="0" applyFont="1" applyFill="1" applyBorder="1" applyAlignment="1">
      <alignment horizontal="center" vertical="center"/>
    </xf>
    <xf numFmtId="0" fontId="20" fillId="0" borderId="19" xfId="0" applyFont="1" applyBorder="1" applyAlignment="1">
      <alignment horizontal="center" vertical="center"/>
    </xf>
    <xf numFmtId="0" fontId="20" fillId="0" borderId="21" xfId="0" applyFont="1" applyBorder="1" applyAlignment="1">
      <alignment horizontal="center" vertical="center"/>
    </xf>
    <xf numFmtId="0" fontId="20" fillId="7" borderId="1" xfId="0" applyFont="1" applyFill="1" applyBorder="1" applyAlignment="1">
      <alignment horizontal="center" vertical="center"/>
    </xf>
    <xf numFmtId="0" fontId="23" fillId="14" borderId="1" xfId="0" applyFont="1" applyFill="1" applyBorder="1"/>
    <xf numFmtId="171" fontId="12" fillId="0" borderId="1" xfId="4" applyNumberFormat="1" applyFont="1" applyBorder="1" applyAlignment="1">
      <alignment horizontal="center" vertical="center"/>
    </xf>
    <xf numFmtId="2" fontId="22" fillId="0" borderId="1" xfId="4" applyNumberFormat="1" applyFont="1" applyBorder="1" applyAlignment="1">
      <alignment horizontal="center" vertical="center"/>
    </xf>
    <xf numFmtId="0" fontId="11" fillId="23" borderId="1" xfId="3" applyFont="1" applyFill="1" applyBorder="1" applyAlignment="1">
      <alignment horizontal="center" vertical="center"/>
    </xf>
    <xf numFmtId="0" fontId="10" fillId="0" borderId="1" xfId="3" applyFont="1" applyBorder="1" applyAlignment="1">
      <alignment horizontal="center" vertical="center"/>
    </xf>
    <xf numFmtId="0" fontId="30" fillId="24" borderId="1" xfId="1" applyFont="1" applyFill="1" applyBorder="1" applyAlignment="1">
      <alignment horizontal="center" vertical="center" wrapText="1"/>
    </xf>
    <xf numFmtId="0" fontId="21" fillId="9" borderId="1" xfId="0" applyFont="1" applyFill="1" applyBorder="1" applyAlignment="1">
      <alignment horizontal="center" vertical="center"/>
    </xf>
    <xf numFmtId="0" fontId="23" fillId="10" borderId="1" xfId="0" applyFont="1" applyFill="1" applyBorder="1" applyAlignment="1">
      <alignment horizontal="center" vertical="center"/>
    </xf>
    <xf numFmtId="0" fontId="0" fillId="0" borderId="1" xfId="0" applyBorder="1" applyAlignment="1">
      <alignment vertical="center"/>
    </xf>
    <xf numFmtId="22" fontId="0" fillId="0" borderId="1" xfId="0" applyNumberFormat="1" applyBorder="1" applyAlignment="1">
      <alignment vertical="center"/>
    </xf>
    <xf numFmtId="0" fontId="26" fillId="13" borderId="1" xfId="1" applyFont="1" applyFill="1" applyBorder="1" applyAlignment="1">
      <alignment horizontal="center" vertical="center"/>
    </xf>
    <xf numFmtId="0" fontId="4" fillId="0" borderId="7" xfId="1" applyFont="1" applyBorder="1" applyAlignment="1">
      <alignment horizontal="center"/>
    </xf>
    <xf numFmtId="0" fontId="4" fillId="0" borderId="2" xfId="1" applyFont="1" applyBorder="1" applyAlignment="1">
      <alignment horizontal="center"/>
    </xf>
    <xf numFmtId="0" fontId="5" fillId="0" borderId="1" xfId="1" applyFont="1" applyBorder="1" applyAlignment="1">
      <alignment horizontal="center" vertical="center"/>
    </xf>
    <xf numFmtId="0" fontId="7" fillId="0" borderId="2" xfId="1" applyFont="1" applyBorder="1" applyAlignment="1">
      <alignment horizontal="center"/>
    </xf>
    <xf numFmtId="0" fontId="6" fillId="0" borderId="1" xfId="1" applyFont="1" applyBorder="1" applyAlignment="1">
      <alignment horizontal="center" vertical="center"/>
    </xf>
    <xf numFmtId="0" fontId="4" fillId="0" borderId="3" xfId="1" applyFont="1" applyBorder="1" applyAlignment="1">
      <alignment horizontal="center"/>
    </xf>
    <xf numFmtId="0" fontId="7" fillId="0" borderId="1" xfId="1" applyFont="1" applyBorder="1" applyAlignment="1">
      <alignment horizontal="center"/>
    </xf>
    <xf numFmtId="0" fontId="7" fillId="0" borderId="0" xfId="1" applyFont="1" applyAlignment="1">
      <alignment horizontal="center"/>
    </xf>
    <xf numFmtId="0" fontId="7" fillId="0" borderId="3" xfId="1" applyFont="1" applyBorder="1" applyAlignment="1">
      <alignment horizontal="center"/>
    </xf>
    <xf numFmtId="0" fontId="4" fillId="0" borderId="8" xfId="1" applyFont="1" applyBorder="1" applyAlignment="1">
      <alignment horizontal="center"/>
    </xf>
    <xf numFmtId="0" fontId="21" fillId="0" borderId="0" xfId="1" applyFont="1"/>
    <xf numFmtId="0" fontId="15" fillId="0" borderId="0" xfId="1" applyFont="1"/>
    <xf numFmtId="0" fontId="0" fillId="0" borderId="0" xfId="1" applyFont="1"/>
    <xf numFmtId="171" fontId="12" fillId="0" borderId="0" xfId="4" applyNumberFormat="1" applyFont="1" applyAlignment="1">
      <alignment horizontal="center" vertical="center"/>
    </xf>
    <xf numFmtId="2" fontId="19" fillId="16" borderId="1" xfId="4" applyNumberFormat="1" applyFont="1" applyFill="1" applyBorder="1" applyAlignment="1">
      <alignment horizontal="center" vertical="center"/>
    </xf>
    <xf numFmtId="2" fontId="12" fillId="16" borderId="1" xfId="4" applyNumberFormat="1" applyFont="1" applyFill="1" applyBorder="1" applyAlignment="1">
      <alignment horizontal="center" vertical="center"/>
    </xf>
    <xf numFmtId="2" fontId="12" fillId="0" borderId="1" xfId="4" applyNumberFormat="1" applyFont="1" applyBorder="1" applyAlignment="1">
      <alignment horizontal="center" vertical="center"/>
    </xf>
    <xf numFmtId="2" fontId="19" fillId="0" borderId="1" xfId="4" applyNumberFormat="1" applyFont="1" applyBorder="1" applyAlignment="1">
      <alignment horizontal="center" vertical="center"/>
    </xf>
    <xf numFmtId="2" fontId="0" fillId="0" borderId="0" xfId="0" applyNumberFormat="1"/>
    <xf numFmtId="2" fontId="19" fillId="16" borderId="33" xfId="4" applyNumberFormat="1" applyFont="1" applyFill="1" applyBorder="1" applyAlignment="1">
      <alignment horizontal="center" vertical="center"/>
    </xf>
    <xf numFmtId="1" fontId="31" fillId="11" borderId="33" xfId="4" applyNumberFormat="1" applyFont="1" applyFill="1" applyBorder="1" applyAlignment="1">
      <alignment horizontal="center" vertical="center"/>
    </xf>
    <xf numFmtId="2" fontId="19" fillId="7" borderId="1" xfId="4" applyNumberFormat="1" applyFont="1" applyFill="1" applyBorder="1" applyAlignment="1">
      <alignment horizontal="center" vertical="center"/>
    </xf>
    <xf numFmtId="0" fontId="32" fillId="19" borderId="1" xfId="4" applyFont="1" applyFill="1" applyBorder="1" applyAlignment="1">
      <alignment horizontal="left" vertical="center"/>
    </xf>
    <xf numFmtId="0" fontId="34" fillId="0" borderId="1" xfId="4" applyFont="1" applyBorder="1" applyAlignment="1">
      <alignment horizontal="center"/>
    </xf>
    <xf numFmtId="0" fontId="32" fillId="19" borderId="1" xfId="4" applyFont="1" applyFill="1" applyBorder="1"/>
    <xf numFmtId="0" fontId="32" fillId="19" borderId="1" xfId="4" applyFont="1" applyFill="1" applyBorder="1" applyAlignment="1">
      <alignment horizontal="center" vertical="center"/>
    </xf>
    <xf numFmtId="0" fontId="32" fillId="19" borderId="16" xfId="4" applyFont="1" applyFill="1" applyBorder="1" applyAlignment="1">
      <alignment horizontal="center" vertical="center"/>
    </xf>
    <xf numFmtId="0" fontId="33" fillId="0" borderId="0" xfId="0" applyFont="1"/>
    <xf numFmtId="0" fontId="34" fillId="0" borderId="1" xfId="4" applyFont="1" applyBorder="1"/>
    <xf numFmtId="0" fontId="34" fillId="0" borderId="1" xfId="4" applyFont="1" applyBorder="1" applyAlignment="1">
      <alignment horizontal="center" vertical="center"/>
    </xf>
    <xf numFmtId="0" fontId="33" fillId="0" borderId="1" xfId="0" applyFont="1" applyBorder="1"/>
    <xf numFmtId="0" fontId="34" fillId="0" borderId="33" xfId="4" applyFont="1" applyBorder="1"/>
    <xf numFmtId="0" fontId="34" fillId="0" borderId="33" xfId="4" applyFont="1" applyBorder="1" applyAlignment="1">
      <alignment horizontal="center" vertical="center"/>
    </xf>
    <xf numFmtId="0" fontId="35" fillId="0" borderId="1" xfId="0" applyFont="1" applyBorder="1"/>
    <xf numFmtId="0" fontId="0" fillId="19" borderId="1" xfId="0" applyFill="1" applyBorder="1"/>
    <xf numFmtId="0" fontId="16" fillId="14" borderId="1" xfId="1" applyFont="1" applyFill="1" applyBorder="1" applyAlignment="1">
      <alignment horizontal="left" vertical="top" wrapText="1"/>
    </xf>
    <xf numFmtId="0" fontId="11" fillId="0" borderId="1" xfId="1" applyFont="1" applyBorder="1" applyAlignment="1">
      <alignment horizontal="center" vertical="center"/>
    </xf>
    <xf numFmtId="0" fontId="25" fillId="0" borderId="1" xfId="0" applyFont="1" applyBorder="1" applyAlignment="1">
      <alignment horizontal="center" vertical="top" wrapText="1"/>
    </xf>
    <xf numFmtId="0" fontId="4" fillId="0" borderId="23" xfId="1" applyFont="1" applyBorder="1"/>
    <xf numFmtId="165" fontId="4" fillId="0" borderId="22" xfId="1" applyNumberFormat="1" applyFont="1" applyBorder="1"/>
    <xf numFmtId="0" fontId="24" fillId="14" borderId="35" xfId="1" applyFont="1" applyFill="1" applyBorder="1" applyAlignment="1">
      <alignment horizontal="center" vertical="center"/>
    </xf>
    <xf numFmtId="0" fontId="24" fillId="14" borderId="33" xfId="1" applyFont="1" applyFill="1" applyBorder="1" applyAlignment="1">
      <alignment horizontal="center" vertical="center"/>
    </xf>
    <xf numFmtId="0" fontId="24" fillId="14" borderId="33" xfId="1" applyFont="1" applyFill="1" applyBorder="1" applyAlignment="1">
      <alignment horizontal="center" vertical="center" wrapText="1"/>
    </xf>
    <xf numFmtId="0" fontId="24" fillId="14" borderId="43" xfId="1" applyFont="1" applyFill="1" applyBorder="1" applyAlignment="1">
      <alignment horizontal="center" vertical="center" wrapText="1"/>
    </xf>
    <xf numFmtId="0" fontId="4" fillId="0" borderId="46" xfId="1" applyFont="1" applyBorder="1"/>
    <xf numFmtId="0" fontId="4" fillId="0" borderId="49" xfId="1" applyFont="1" applyBorder="1"/>
    <xf numFmtId="15" fontId="4" fillId="0" borderId="49" xfId="1" applyNumberFormat="1" applyFont="1" applyBorder="1" applyAlignment="1">
      <alignment horizontal="center"/>
    </xf>
    <xf numFmtId="0" fontId="4" fillId="0" borderId="49" xfId="1" applyFont="1" applyBorder="1" applyAlignment="1">
      <alignment horizontal="center"/>
    </xf>
    <xf numFmtId="0" fontId="4" fillId="0" borderId="49" xfId="1" applyFont="1" applyBorder="1" applyProtection="1">
      <protection locked="0"/>
    </xf>
    <xf numFmtId="165" fontId="4" fillId="0" borderId="49" xfId="1" applyNumberFormat="1" applyFont="1" applyBorder="1"/>
    <xf numFmtId="165" fontId="4" fillId="0" borderId="44" xfId="1" applyNumberFormat="1" applyFont="1" applyBorder="1"/>
    <xf numFmtId="0" fontId="0" fillId="0" borderId="45" xfId="0" applyBorder="1"/>
    <xf numFmtId="0" fontId="0" fillId="0" borderId="46" xfId="0" applyBorder="1"/>
    <xf numFmtId="0" fontId="0" fillId="0" borderId="48" xfId="0" applyBorder="1"/>
    <xf numFmtId="0" fontId="0" fillId="0" borderId="42" xfId="0" applyBorder="1"/>
    <xf numFmtId="0" fontId="0" fillId="0" borderId="35" xfId="0" applyBorder="1"/>
    <xf numFmtId="14" fontId="0" fillId="0" borderId="1" xfId="0" applyNumberFormat="1" applyBorder="1"/>
    <xf numFmtId="10" fontId="18" fillId="0" borderId="6" xfId="1" applyNumberFormat="1" applyFont="1" applyBorder="1" applyAlignment="1">
      <alignment horizontal="center"/>
    </xf>
    <xf numFmtId="0" fontId="41" fillId="15" borderId="8" xfId="1" applyFont="1" applyFill="1" applyBorder="1"/>
    <xf numFmtId="0" fontId="21" fillId="15" borderId="44" xfId="1" applyFont="1" applyFill="1" applyBorder="1"/>
    <xf numFmtId="0" fontId="18" fillId="0" borderId="43" xfId="1" applyFont="1" applyBorder="1"/>
    <xf numFmtId="0" fontId="18" fillId="0" borderId="35" xfId="1" applyFont="1" applyBorder="1"/>
    <xf numFmtId="0" fontId="21" fillId="0" borderId="44" xfId="1" applyFont="1" applyBorder="1"/>
    <xf numFmtId="0" fontId="18" fillId="0" borderId="47" xfId="1" applyFont="1" applyBorder="1"/>
    <xf numFmtId="0" fontId="18" fillId="15" borderId="46" xfId="1" applyFont="1" applyFill="1" applyBorder="1"/>
    <xf numFmtId="0" fontId="12" fillId="0" borderId="48" xfId="4" applyFont="1" applyBorder="1"/>
    <xf numFmtId="0" fontId="12" fillId="0" borderId="47" xfId="4" applyFont="1" applyBorder="1"/>
    <xf numFmtId="0" fontId="21" fillId="8" borderId="49" xfId="0" applyFont="1" applyFill="1" applyBorder="1"/>
    <xf numFmtId="0" fontId="21" fillId="11" borderId="1" xfId="0" applyFont="1" applyFill="1" applyBorder="1"/>
    <xf numFmtId="0" fontId="0" fillId="26" borderId="16" xfId="0" applyFill="1" applyBorder="1" applyAlignment="1">
      <alignment vertical="center"/>
    </xf>
    <xf numFmtId="0" fontId="0" fillId="26" borderId="33" xfId="0" applyFill="1" applyBorder="1" applyAlignment="1">
      <alignment vertical="center"/>
    </xf>
    <xf numFmtId="14" fontId="21" fillId="25" borderId="1" xfId="0" applyNumberFormat="1" applyFont="1" applyFill="1" applyBorder="1" applyAlignment="1">
      <alignment horizontal="center" vertical="center"/>
    </xf>
    <xf numFmtId="14" fontId="0" fillId="0" borderId="1" xfId="0" applyNumberFormat="1" applyBorder="1" applyAlignment="1">
      <alignment vertical="center"/>
    </xf>
    <xf numFmtId="173" fontId="0" fillId="0" borderId="1" xfId="0" applyNumberFormat="1" applyBorder="1" applyAlignment="1">
      <alignment vertical="center"/>
    </xf>
    <xf numFmtId="18" fontId="0" fillId="0" borderId="1" xfId="0" applyNumberFormat="1" applyBorder="1" applyAlignment="1">
      <alignment vertical="center"/>
    </xf>
    <xf numFmtId="172" fontId="0" fillId="0" borderId="1" xfId="0" applyNumberFormat="1" applyBorder="1" applyAlignment="1">
      <alignment vertical="center"/>
    </xf>
    <xf numFmtId="0" fontId="0" fillId="0" borderId="0" xfId="0" applyAlignment="1">
      <alignment horizontal="right" vertical="center"/>
    </xf>
    <xf numFmtId="14" fontId="0" fillId="0" borderId="23" xfId="0" applyNumberFormat="1" applyBorder="1" applyAlignment="1">
      <alignment vertical="center"/>
    </xf>
    <xf numFmtId="0" fontId="0" fillId="0" borderId="22" xfId="0" applyBorder="1" applyAlignment="1">
      <alignment vertical="center"/>
    </xf>
    <xf numFmtId="0" fontId="0" fillId="0" borderId="23" xfId="0" applyBorder="1" applyAlignment="1">
      <alignment vertical="center"/>
    </xf>
    <xf numFmtId="0" fontId="0" fillId="0" borderId="49" xfId="0" applyBorder="1" applyAlignment="1">
      <alignment vertical="center"/>
    </xf>
    <xf numFmtId="0" fontId="21" fillId="26" borderId="49" xfId="0" applyFont="1" applyFill="1" applyBorder="1" applyAlignment="1">
      <alignment horizontal="left" vertical="center"/>
    </xf>
    <xf numFmtId="0" fontId="0" fillId="26" borderId="22" xfId="0" applyFill="1" applyBorder="1" applyAlignment="1">
      <alignment vertical="center"/>
    </xf>
    <xf numFmtId="15" fontId="27" fillId="14" borderId="1" xfId="1" applyNumberFormat="1" applyFont="1" applyFill="1" applyBorder="1" applyAlignment="1">
      <alignment horizontal="center" vertical="center"/>
    </xf>
    <xf numFmtId="0" fontId="24" fillId="12" borderId="1" xfId="0" applyFont="1" applyFill="1" applyBorder="1" applyAlignment="1">
      <alignment horizontal="center" vertical="center"/>
    </xf>
    <xf numFmtId="0" fontId="24" fillId="12" borderId="1" xfId="0" applyFont="1" applyFill="1" applyBorder="1" applyAlignment="1">
      <alignment horizontal="left" vertical="center"/>
    </xf>
    <xf numFmtId="0" fontId="24" fillId="12" borderId="1" xfId="0" applyFont="1" applyFill="1" applyBorder="1" applyAlignment="1">
      <alignment horizontal="left" vertical="center" wrapText="1"/>
    </xf>
    <xf numFmtId="0" fontId="25" fillId="0" borderId="1" xfId="0" applyFont="1" applyBorder="1"/>
    <xf numFmtId="0" fontId="0" fillId="0" borderId="1" xfId="0" applyBorder="1" applyAlignment="1">
      <alignment horizontal="left"/>
    </xf>
    <xf numFmtId="0" fontId="21" fillId="0" borderId="16" xfId="0" applyFont="1" applyBorder="1" applyAlignment="1">
      <alignment horizontal="center" vertical="center"/>
    </xf>
    <xf numFmtId="0" fontId="43" fillId="8" borderId="1" xfId="0" applyFont="1" applyFill="1" applyBorder="1"/>
    <xf numFmtId="0" fontId="29" fillId="27" borderId="1" xfId="1" applyFont="1" applyFill="1" applyBorder="1" applyAlignment="1">
      <alignment horizontal="center" vertical="center" wrapText="1"/>
    </xf>
    <xf numFmtId="174" fontId="0" fillId="0" borderId="0" xfId="0" applyNumberFormat="1"/>
    <xf numFmtId="0" fontId="21" fillId="25" borderId="1" xfId="0" applyFont="1" applyFill="1" applyBorder="1"/>
    <xf numFmtId="0" fontId="0" fillId="0" borderId="49" xfId="0" applyBorder="1"/>
    <xf numFmtId="0" fontId="3" fillId="0" borderId="0" xfId="1" applyAlignment="1">
      <alignment horizontal="left" vertical="center"/>
    </xf>
    <xf numFmtId="0" fontId="3" fillId="0" borderId="1" xfId="1" applyBorder="1" applyAlignment="1">
      <alignment horizontal="left" vertical="center"/>
    </xf>
    <xf numFmtId="0" fontId="15" fillId="25" borderId="1" xfId="1" applyFont="1" applyFill="1" applyBorder="1" applyAlignment="1">
      <alignment horizontal="left"/>
    </xf>
    <xf numFmtId="0" fontId="3" fillId="0" borderId="0" xfId="1" applyAlignment="1">
      <alignment horizontal="left"/>
    </xf>
    <xf numFmtId="8" fontId="4" fillId="0" borderId="0" xfId="4" applyNumberFormat="1" applyAlignment="1">
      <alignment horizontal="center" vertical="center"/>
    </xf>
    <xf numFmtId="0" fontId="7" fillId="0" borderId="0" xfId="4" applyFont="1" applyAlignment="1">
      <alignment horizontal="center" vertical="center"/>
    </xf>
    <xf numFmtId="168" fontId="11" fillId="0" borderId="1" xfId="4" applyNumberFormat="1" applyFont="1" applyBorder="1" applyAlignment="1">
      <alignment horizontal="center" vertical="center"/>
    </xf>
    <xf numFmtId="2" fontId="10" fillId="0" borderId="1" xfId="4" applyNumberFormat="1" applyFont="1" applyBorder="1" applyAlignment="1">
      <alignment horizontal="center" vertical="center"/>
    </xf>
    <xf numFmtId="0" fontId="11" fillId="0" borderId="22" xfId="4" applyFont="1" applyBorder="1" applyAlignment="1">
      <alignment horizontal="center" vertical="center"/>
    </xf>
    <xf numFmtId="10" fontId="11" fillId="0" borderId="1" xfId="4" applyNumberFormat="1" applyFont="1" applyBorder="1" applyAlignment="1">
      <alignment horizontal="center" vertical="center"/>
    </xf>
    <xf numFmtId="9" fontId="11" fillId="0" borderId="1" xfId="4" applyNumberFormat="1" applyFont="1" applyBorder="1" applyAlignment="1">
      <alignment horizontal="center" vertical="center"/>
    </xf>
    <xf numFmtId="2" fontId="11" fillId="0" borderId="1" xfId="4" applyNumberFormat="1" applyFont="1" applyBorder="1" applyAlignment="1">
      <alignment horizontal="center" vertical="center"/>
    </xf>
    <xf numFmtId="0" fontId="46" fillId="0" borderId="1" xfId="4" applyFont="1" applyBorder="1" applyAlignment="1">
      <alignment horizontal="center" vertical="center"/>
    </xf>
    <xf numFmtId="0" fontId="11" fillId="0" borderId="1" xfId="4" applyFont="1" applyBorder="1" applyAlignment="1">
      <alignment horizontal="left" vertical="top" wrapText="1"/>
    </xf>
    <xf numFmtId="0" fontId="11" fillId="25" borderId="1" xfId="4" applyFont="1" applyFill="1" applyBorder="1" applyAlignment="1">
      <alignment horizontal="center" vertical="center"/>
    </xf>
    <xf numFmtId="0" fontId="18" fillId="0" borderId="49" xfId="0" applyFont="1" applyBorder="1" applyAlignment="1">
      <alignment horizontal="center" vertical="center"/>
    </xf>
    <xf numFmtId="0" fontId="44" fillId="25" borderId="16" xfId="0" applyFont="1" applyFill="1" applyBorder="1" applyAlignment="1">
      <alignment vertical="center"/>
    </xf>
    <xf numFmtId="0" fontId="18" fillId="0" borderId="1" xfId="0" applyFont="1" applyBorder="1" applyAlignment="1">
      <alignment horizontal="left" vertical="center"/>
    </xf>
    <xf numFmtId="0" fontId="44" fillId="25" borderId="1" xfId="0" applyFont="1" applyFill="1" applyBorder="1" applyAlignment="1">
      <alignment vertical="center"/>
    </xf>
    <xf numFmtId="0" fontId="44" fillId="27" borderId="1" xfId="0" applyFont="1" applyFill="1" applyBorder="1" applyAlignment="1">
      <alignment horizontal="center" vertical="center"/>
    </xf>
    <xf numFmtId="0" fontId="0" fillId="25" borderId="1" xfId="0" applyFill="1" applyBorder="1" applyAlignment="1">
      <alignment horizontal="left" vertical="center"/>
    </xf>
    <xf numFmtId="170" fontId="20" fillId="8" borderId="1" xfId="0" applyNumberFormat="1" applyFont="1" applyFill="1" applyBorder="1" applyAlignment="1">
      <alignment horizontal="center" vertical="center"/>
    </xf>
    <xf numFmtId="0" fontId="20" fillId="0" borderId="22" xfId="0" applyFont="1" applyBorder="1" applyAlignment="1">
      <alignment horizontal="center" vertical="center"/>
    </xf>
    <xf numFmtId="0" fontId="20" fillId="0" borderId="23" xfId="0" applyFont="1" applyBorder="1" applyAlignment="1">
      <alignment horizontal="center" vertical="center"/>
    </xf>
    <xf numFmtId="0" fontId="20" fillId="0" borderId="1" xfId="0" applyFont="1" applyBorder="1" applyAlignment="1">
      <alignment horizontal="left" vertical="center"/>
    </xf>
    <xf numFmtId="0" fontId="21" fillId="25" borderId="22" xfId="0" applyFont="1" applyFill="1" applyBorder="1" applyAlignment="1">
      <alignment horizontal="center" vertical="center"/>
    </xf>
    <xf numFmtId="0" fontId="7" fillId="0" borderId="1" xfId="4" applyFont="1" applyBorder="1"/>
    <xf numFmtId="3" fontId="4" fillId="0" borderId="0" xfId="4" applyNumberFormat="1" applyAlignment="1">
      <alignment horizontal="center" vertical="center"/>
    </xf>
    <xf numFmtId="0" fontId="11" fillId="25" borderId="1" xfId="4" applyFont="1" applyFill="1" applyBorder="1"/>
    <xf numFmtId="0" fontId="7" fillId="0" borderId="0" xfId="4" applyFont="1"/>
    <xf numFmtId="0" fontId="4" fillId="0" borderId="1" xfId="4" applyBorder="1" applyAlignment="1">
      <alignment horizontal="left"/>
    </xf>
    <xf numFmtId="0" fontId="7" fillId="5" borderId="1" xfId="4" applyFont="1" applyFill="1" applyBorder="1"/>
    <xf numFmtId="0" fontId="7" fillId="5" borderId="1" xfId="4" applyFont="1" applyFill="1" applyBorder="1" applyAlignment="1">
      <alignment horizontal="left"/>
    </xf>
    <xf numFmtId="0" fontId="7" fillId="5" borderId="1" xfId="4" applyFont="1" applyFill="1" applyBorder="1" applyAlignment="1">
      <alignment horizontal="center" vertical="center"/>
    </xf>
    <xf numFmtId="3" fontId="4" fillId="0" borderId="1" xfId="4" applyNumberFormat="1" applyBorder="1" applyAlignment="1">
      <alignment horizontal="center" vertical="center"/>
    </xf>
    <xf numFmtId="0" fontId="7" fillId="28" borderId="1" xfId="0" applyFont="1" applyFill="1" applyBorder="1"/>
    <xf numFmtId="0" fontId="7" fillId="28" borderId="23" xfId="0" applyFont="1" applyFill="1" applyBorder="1"/>
    <xf numFmtId="0" fontId="7" fillId="28" borderId="23" xfId="0" applyFont="1" applyFill="1" applyBorder="1" applyAlignment="1">
      <alignment horizontal="left"/>
    </xf>
    <xf numFmtId="0" fontId="7" fillId="28" borderId="23" xfId="0" applyFont="1" applyFill="1" applyBorder="1" applyAlignment="1">
      <alignment horizontal="center" vertical="center"/>
    </xf>
    <xf numFmtId="0" fontId="4" fillId="0" borderId="33" xfId="0" applyFont="1" applyBorder="1"/>
    <xf numFmtId="0" fontId="4" fillId="0" borderId="35" xfId="0" applyFont="1" applyBorder="1"/>
    <xf numFmtId="0" fontId="4" fillId="0" borderId="35" xfId="0" applyFont="1" applyBorder="1" applyAlignment="1">
      <alignment horizontal="left"/>
    </xf>
    <xf numFmtId="0" fontId="4" fillId="0" borderId="35" xfId="0" applyFont="1" applyBorder="1" applyAlignment="1">
      <alignment horizontal="center" vertical="center"/>
    </xf>
    <xf numFmtId="3" fontId="4" fillId="0" borderId="35" xfId="0" applyNumberFormat="1" applyFont="1" applyBorder="1" applyAlignment="1">
      <alignment horizontal="center" vertical="center"/>
    </xf>
    <xf numFmtId="0" fontId="7" fillId="0" borderId="33" xfId="0" applyFont="1" applyBorder="1"/>
    <xf numFmtId="0" fontId="4" fillId="0" borderId="0" xfId="0" applyFont="1"/>
    <xf numFmtId="0" fontId="4" fillId="0" borderId="0" xfId="0" applyFont="1" applyAlignment="1">
      <alignment horizontal="left"/>
    </xf>
    <xf numFmtId="0" fontId="4" fillId="0" borderId="0" xfId="0" applyFont="1" applyAlignment="1">
      <alignment horizontal="center" vertical="center"/>
    </xf>
    <xf numFmtId="3" fontId="4" fillId="0" borderId="0" xfId="0" applyNumberFormat="1" applyFont="1" applyAlignment="1">
      <alignment horizontal="center" vertical="center"/>
    </xf>
    <xf numFmtId="0" fontId="7" fillId="0" borderId="0" xfId="0" applyFont="1"/>
    <xf numFmtId="0" fontId="18" fillId="0" borderId="1" xfId="0" applyFont="1" applyBorder="1"/>
    <xf numFmtId="0" fontId="0" fillId="0" borderId="0" xfId="0" pivotButton="1"/>
    <xf numFmtId="0" fontId="0" fillId="0" borderId="0" xfId="0" applyAlignment="1">
      <alignment horizontal="left"/>
    </xf>
    <xf numFmtId="0" fontId="10" fillId="0" borderId="47" xfId="1" applyFont="1" applyBorder="1" applyAlignment="1">
      <alignment horizontal="left"/>
    </xf>
    <xf numFmtId="0" fontId="10" fillId="0" borderId="48" xfId="1" applyFont="1" applyBorder="1" applyAlignment="1">
      <alignment horizontal="left"/>
    </xf>
    <xf numFmtId="0" fontId="10" fillId="0" borderId="47" xfId="1" applyFont="1" applyBorder="1" applyAlignment="1">
      <alignment horizontal="left" vertical="center"/>
    </xf>
    <xf numFmtId="0" fontId="10" fillId="0" borderId="48" xfId="1" applyFont="1" applyBorder="1" applyAlignment="1">
      <alignment horizontal="left" vertical="center"/>
    </xf>
    <xf numFmtId="0" fontId="10" fillId="0" borderId="43" xfId="1" applyFont="1" applyBorder="1" applyAlignment="1">
      <alignment horizontal="left" vertical="center"/>
    </xf>
    <xf numFmtId="0" fontId="10" fillId="0" borderId="35" xfId="1" applyFont="1" applyBorder="1" applyAlignment="1">
      <alignment horizontal="left" vertical="center"/>
    </xf>
    <xf numFmtId="0" fontId="11" fillId="0" borderId="47" xfId="1" applyFont="1" applyBorder="1" applyAlignment="1">
      <alignment horizontal="left"/>
    </xf>
    <xf numFmtId="0" fontId="11" fillId="0" borderId="48" xfId="1" applyFont="1" applyBorder="1" applyAlignment="1">
      <alignment horizontal="left"/>
    </xf>
    <xf numFmtId="0" fontId="7" fillId="2" borderId="1" xfId="1" applyFont="1" applyFill="1" applyBorder="1" applyAlignment="1">
      <alignment horizontal="center" vertical="center"/>
    </xf>
    <xf numFmtId="0" fontId="8" fillId="2" borderId="5" xfId="1" applyFont="1" applyFill="1" applyBorder="1" applyAlignment="1">
      <alignment horizontal="center" vertical="center"/>
    </xf>
    <xf numFmtId="0" fontId="8" fillId="2" borderId="4" xfId="1" applyFont="1" applyFill="1" applyBorder="1" applyAlignment="1">
      <alignment horizontal="center" vertical="center"/>
    </xf>
    <xf numFmtId="0" fontId="8" fillId="2" borderId="9" xfId="1" applyFont="1" applyFill="1" applyBorder="1" applyAlignment="1">
      <alignment horizontal="center" vertical="center"/>
    </xf>
    <xf numFmtId="0" fontId="15" fillId="2" borderId="44" xfId="1" applyFont="1" applyFill="1" applyBorder="1" applyAlignment="1">
      <alignment horizontal="center" vertical="center"/>
    </xf>
    <xf numFmtId="0" fontId="15" fillId="2" borderId="46" xfId="1" applyFont="1" applyFill="1" applyBorder="1" applyAlignment="1">
      <alignment horizontal="center" vertical="center"/>
    </xf>
    <xf numFmtId="0" fontId="21" fillId="0" borderId="44" xfId="1" applyFont="1" applyBorder="1" applyAlignment="1">
      <alignment horizontal="left"/>
    </xf>
    <xf numFmtId="0" fontId="21" fillId="0" borderId="46" xfId="1" applyFont="1" applyBorder="1" applyAlignment="1">
      <alignment horizontal="left"/>
    </xf>
    <xf numFmtId="0" fontId="7" fillId="0" borderId="43" xfId="1" applyFont="1" applyBorder="1" applyAlignment="1">
      <alignment horizontal="left"/>
    </xf>
    <xf numFmtId="0" fontId="7" fillId="0" borderId="35" xfId="1" applyFont="1" applyBorder="1" applyAlignment="1">
      <alignment horizontal="left"/>
    </xf>
    <xf numFmtId="0" fontId="15" fillId="0" borderId="44" xfId="1" applyFont="1" applyBorder="1" applyAlignment="1">
      <alignment horizontal="left" vertical="center" wrapText="1"/>
    </xf>
    <xf numFmtId="0" fontId="15" fillId="0" borderId="46" xfId="1" applyFont="1" applyBorder="1" applyAlignment="1">
      <alignment horizontal="left" vertical="center" wrapText="1"/>
    </xf>
    <xf numFmtId="0" fontId="10" fillId="0" borderId="47" xfId="1" applyFont="1" applyBorder="1" applyAlignment="1">
      <alignment horizontal="left" wrapText="1"/>
    </xf>
    <xf numFmtId="0" fontId="10" fillId="0" borderId="48" xfId="1" applyFont="1" applyBorder="1" applyAlignment="1">
      <alignment horizontal="left" wrapText="1"/>
    </xf>
    <xf numFmtId="0" fontId="10" fillId="0" borderId="43" xfId="1" applyFont="1" applyBorder="1" applyAlignment="1">
      <alignment horizontal="left" wrapText="1"/>
    </xf>
    <xf numFmtId="0" fontId="10" fillId="0" borderId="35" xfId="1" applyFont="1" applyBorder="1" applyAlignment="1">
      <alignment horizontal="left" wrapText="1"/>
    </xf>
    <xf numFmtId="0" fontId="10" fillId="0" borderId="43" xfId="1" applyFont="1" applyBorder="1" applyAlignment="1">
      <alignment horizontal="left"/>
    </xf>
    <xf numFmtId="0" fontId="10" fillId="0" borderId="35" xfId="1" applyFont="1" applyBorder="1" applyAlignment="1">
      <alignment horizontal="left"/>
    </xf>
    <xf numFmtId="0" fontId="15" fillId="0" borderId="44" xfId="1" applyFont="1" applyBorder="1" applyAlignment="1">
      <alignment horizontal="left"/>
    </xf>
    <xf numFmtId="0" fontId="15" fillId="0" borderId="46" xfId="1" applyFont="1" applyBorder="1" applyAlignment="1">
      <alignment horizontal="left"/>
    </xf>
    <xf numFmtId="0" fontId="12" fillId="0" borderId="23" xfId="1" applyFont="1" applyBorder="1" applyAlignment="1">
      <alignment horizontal="center" vertical="top"/>
    </xf>
    <xf numFmtId="0" fontId="12" fillId="0" borderId="1" xfId="1" applyFont="1" applyBorder="1" applyAlignment="1">
      <alignment horizontal="center" vertical="top"/>
    </xf>
    <xf numFmtId="0" fontId="12" fillId="0" borderId="32" xfId="1" applyFont="1" applyBorder="1" applyAlignment="1">
      <alignment horizontal="center" vertical="top"/>
    </xf>
    <xf numFmtId="0" fontId="12" fillId="0" borderId="36" xfId="1" applyFont="1" applyBorder="1" applyAlignment="1">
      <alignment horizontal="center" vertical="top"/>
    </xf>
    <xf numFmtId="0" fontId="12" fillId="0" borderId="30" xfId="1" applyFont="1" applyBorder="1" applyAlignment="1">
      <alignment horizontal="center" vertical="top"/>
    </xf>
    <xf numFmtId="0" fontId="12" fillId="0" borderId="31" xfId="1" applyFont="1" applyBorder="1" applyAlignment="1">
      <alignment horizontal="center" vertical="top"/>
    </xf>
    <xf numFmtId="2" fontId="12" fillId="0" borderId="35" xfId="1" applyNumberFormat="1" applyFont="1" applyBorder="1" applyAlignment="1">
      <alignment horizontal="left" vertical="top"/>
    </xf>
    <xf numFmtId="0" fontId="12" fillId="0" borderId="33" xfId="1" applyFont="1" applyBorder="1" applyAlignment="1">
      <alignment horizontal="left" vertical="top"/>
    </xf>
    <xf numFmtId="0" fontId="12" fillId="0" borderId="34" xfId="1" applyFont="1" applyBorder="1" applyAlignment="1">
      <alignment horizontal="left" vertical="top"/>
    </xf>
    <xf numFmtId="2" fontId="12" fillId="0" borderId="23" xfId="1" applyNumberFormat="1" applyFont="1" applyBorder="1" applyAlignment="1">
      <alignment horizontal="center" vertical="top"/>
    </xf>
    <xf numFmtId="169" fontId="12" fillId="25" borderId="1" xfId="4" applyNumberFormat="1" applyFont="1" applyFill="1" applyBorder="1" applyAlignment="1">
      <alignment horizontal="left" wrapText="1"/>
    </xf>
    <xf numFmtId="0" fontId="17" fillId="25" borderId="1" xfId="0" applyFont="1" applyFill="1" applyBorder="1" applyAlignment="1">
      <alignment horizontal="left" vertical="center" wrapText="1"/>
    </xf>
    <xf numFmtId="0" fontId="12" fillId="25" borderId="1" xfId="4" applyFont="1" applyFill="1" applyBorder="1" applyAlignment="1">
      <alignment horizontal="left"/>
    </xf>
    <xf numFmtId="0" fontId="17" fillId="25" borderId="1" xfId="0" applyFont="1" applyFill="1" applyBorder="1" applyAlignment="1">
      <alignment horizontal="left" vertical="center"/>
    </xf>
    <xf numFmtId="0" fontId="17" fillId="25" borderId="43" xfId="0" applyFont="1" applyFill="1" applyBorder="1" applyAlignment="1">
      <alignment horizontal="left" vertical="center"/>
    </xf>
    <xf numFmtId="0" fontId="17" fillId="25" borderId="42" xfId="0" applyFont="1" applyFill="1" applyBorder="1" applyAlignment="1">
      <alignment horizontal="left" vertical="center"/>
    </xf>
    <xf numFmtId="0" fontId="22" fillId="0" borderId="43" xfId="0" applyFont="1" applyBorder="1" applyAlignment="1">
      <alignment horizontal="left"/>
    </xf>
    <xf numFmtId="0" fontId="22" fillId="0" borderId="35" xfId="0" applyFont="1" applyBorder="1" applyAlignment="1">
      <alignment horizontal="left"/>
    </xf>
    <xf numFmtId="0" fontId="21" fillId="15" borderId="1" xfId="0" applyFont="1" applyFill="1" applyBorder="1" applyAlignment="1">
      <alignment horizontal="center" vertical="top" wrapText="1"/>
    </xf>
    <xf numFmtId="0" fontId="22" fillId="0" borderId="44" xfId="0" applyFont="1" applyBorder="1" applyAlignment="1">
      <alignment horizontal="left"/>
    </xf>
    <xf numFmtId="0" fontId="22" fillId="0" borderId="46" xfId="0" applyFont="1" applyBorder="1" applyAlignment="1">
      <alignment horizontal="left"/>
    </xf>
    <xf numFmtId="0" fontId="22" fillId="0" borderId="47" xfId="0" applyFont="1" applyBorder="1" applyAlignment="1">
      <alignment horizontal="left"/>
    </xf>
    <xf numFmtId="0" fontId="22" fillId="0" borderId="48" xfId="0" applyFont="1" applyBorder="1" applyAlignment="1">
      <alignment horizontal="left"/>
    </xf>
    <xf numFmtId="0" fontId="37" fillId="14" borderId="1" xfId="1" applyFont="1" applyFill="1" applyBorder="1" applyAlignment="1">
      <alignment horizontal="left" vertical="center"/>
    </xf>
    <xf numFmtId="0" fontId="37" fillId="14" borderId="22" xfId="1" applyFont="1" applyFill="1" applyBorder="1" applyAlignment="1">
      <alignment horizontal="left" vertical="center"/>
    </xf>
    <xf numFmtId="0" fontId="37" fillId="14" borderId="26" xfId="1" applyFont="1" applyFill="1" applyBorder="1" applyAlignment="1">
      <alignment horizontal="left" vertical="center"/>
    </xf>
    <xf numFmtId="0" fontId="37" fillId="14" borderId="23" xfId="1" applyFont="1" applyFill="1" applyBorder="1" applyAlignment="1">
      <alignment horizontal="left" vertical="center"/>
    </xf>
    <xf numFmtId="0" fontId="21" fillId="0" borderId="44" xfId="1" applyFont="1" applyBorder="1" applyAlignment="1">
      <alignment horizontal="left" vertical="center"/>
    </xf>
    <xf numFmtId="0" fontId="21" fillId="0" borderId="45" xfId="1" applyFont="1" applyBorder="1" applyAlignment="1">
      <alignment horizontal="left" vertical="center"/>
    </xf>
    <xf numFmtId="0" fontId="21" fillId="0" borderId="46" xfId="1" applyFont="1" applyBorder="1" applyAlignment="1">
      <alignment horizontal="left" vertical="center"/>
    </xf>
    <xf numFmtId="0" fontId="18" fillId="0" borderId="47" xfId="1" applyFont="1" applyBorder="1" applyAlignment="1">
      <alignment horizontal="left" vertical="center"/>
    </xf>
    <xf numFmtId="0" fontId="18" fillId="0" borderId="0" xfId="1" applyFont="1" applyAlignment="1">
      <alignment horizontal="left" vertical="center"/>
    </xf>
    <xf numFmtId="0" fontId="18" fillId="0" borderId="48" xfId="1" applyFont="1" applyBorder="1" applyAlignment="1">
      <alignment horizontal="left" vertical="center"/>
    </xf>
    <xf numFmtId="0" fontId="0" fillId="0" borderId="43" xfId="0" applyBorder="1" applyAlignment="1">
      <alignment horizontal="left"/>
    </xf>
    <xf numFmtId="0" fontId="0" fillId="0" borderId="42" xfId="0" applyBorder="1" applyAlignment="1">
      <alignment horizontal="left"/>
    </xf>
    <xf numFmtId="0" fontId="0" fillId="0" borderId="35" xfId="0" applyBorder="1" applyAlignment="1">
      <alignment horizontal="left"/>
    </xf>
    <xf numFmtId="0" fontId="39" fillId="14" borderId="22" xfId="1" applyFont="1" applyFill="1" applyBorder="1" applyAlignment="1">
      <alignment horizontal="left" vertical="center"/>
    </xf>
    <xf numFmtId="0" fontId="39" fillId="14" borderId="26" xfId="1" applyFont="1" applyFill="1" applyBorder="1" applyAlignment="1">
      <alignment horizontal="left" vertical="center"/>
    </xf>
    <xf numFmtId="0" fontId="39" fillId="14" borderId="23" xfId="1" applyFont="1" applyFill="1" applyBorder="1" applyAlignment="1">
      <alignment horizontal="left" vertical="center"/>
    </xf>
    <xf numFmtId="0" fontId="39" fillId="14" borderId="1" xfId="1" applyFont="1" applyFill="1" applyBorder="1" applyAlignment="1">
      <alignment horizontal="left" vertical="center" wrapText="1"/>
    </xf>
    <xf numFmtId="0" fontId="37" fillId="14" borderId="43" xfId="1" applyFont="1" applyFill="1" applyBorder="1" applyAlignment="1">
      <alignment horizontal="left" vertical="center"/>
    </xf>
    <xf numFmtId="0" fontId="37" fillId="14" borderId="42" xfId="1" applyFont="1" applyFill="1" applyBorder="1" applyAlignment="1">
      <alignment horizontal="left" vertical="center"/>
    </xf>
    <xf numFmtId="0" fontId="19" fillId="15" borderId="22" xfId="4" applyFont="1" applyFill="1" applyBorder="1" applyAlignment="1">
      <alignment horizontal="center" vertical="center"/>
    </xf>
    <xf numFmtId="0" fontId="19" fillId="15" borderId="26" xfId="4" applyFont="1" applyFill="1" applyBorder="1" applyAlignment="1">
      <alignment horizontal="center" vertical="center"/>
    </xf>
    <xf numFmtId="0" fontId="19" fillId="15" borderId="23" xfId="4" applyFont="1" applyFill="1" applyBorder="1" applyAlignment="1">
      <alignment horizontal="center" vertical="center"/>
    </xf>
    <xf numFmtId="0" fontId="19" fillId="0" borderId="43" xfId="4" applyFont="1" applyBorder="1" applyAlignment="1">
      <alignment horizontal="left" vertical="center"/>
    </xf>
    <xf numFmtId="0" fontId="19" fillId="0" borderId="42" xfId="4" applyFont="1" applyBorder="1" applyAlignment="1">
      <alignment horizontal="left" vertical="center"/>
    </xf>
    <xf numFmtId="0" fontId="19" fillId="0" borderId="35" xfId="4" applyFont="1" applyBorder="1" applyAlignment="1">
      <alignment horizontal="left" vertical="center"/>
    </xf>
    <xf numFmtId="0" fontId="15" fillId="15" borderId="44" xfId="4" applyFont="1" applyFill="1" applyBorder="1" applyAlignment="1">
      <alignment horizontal="left" vertical="center"/>
    </xf>
    <xf numFmtId="0" fontId="15" fillId="15" borderId="45" xfId="4" applyFont="1" applyFill="1" applyBorder="1" applyAlignment="1">
      <alignment horizontal="left" vertical="center"/>
    </xf>
    <xf numFmtId="0" fontId="15" fillId="15" borderId="46" xfId="4" applyFont="1" applyFill="1" applyBorder="1" applyAlignment="1">
      <alignment horizontal="left" vertical="center"/>
    </xf>
    <xf numFmtId="0" fontId="19" fillId="0" borderId="47" xfId="4" applyFont="1" applyBorder="1" applyAlignment="1">
      <alignment horizontal="left"/>
    </xf>
    <xf numFmtId="0" fontId="19" fillId="0" borderId="0" xfId="4" applyFont="1" applyAlignment="1">
      <alignment horizontal="left"/>
    </xf>
    <xf numFmtId="0" fontId="19" fillId="0" borderId="48" xfId="4" applyFont="1" applyBorder="1" applyAlignment="1">
      <alignment horizontal="left"/>
    </xf>
    <xf numFmtId="0" fontId="19" fillId="0" borderId="47" xfId="4" applyFont="1" applyBorder="1" applyAlignment="1">
      <alignment horizontal="left" vertical="center"/>
    </xf>
    <xf numFmtId="0" fontId="19" fillId="0" borderId="0" xfId="4" applyFont="1" applyAlignment="1">
      <alignment horizontal="left" vertical="center"/>
    </xf>
    <xf numFmtId="0" fontId="19" fillId="0" borderId="48" xfId="4" applyFont="1" applyBorder="1" applyAlignment="1">
      <alignment horizontal="left" vertical="center"/>
    </xf>
    <xf numFmtId="0" fontId="21" fillId="21" borderId="1" xfId="0" applyFont="1" applyFill="1" applyBorder="1" applyAlignment="1">
      <alignment horizontal="center"/>
    </xf>
    <xf numFmtId="0" fontId="21" fillId="21" borderId="1" xfId="0" applyFont="1" applyFill="1" applyBorder="1" applyAlignment="1">
      <alignment horizontal="center" vertical="center"/>
    </xf>
    <xf numFmtId="0" fontId="0" fillId="0" borderId="1" xfId="0" applyBorder="1" applyAlignment="1">
      <alignment horizontal="left"/>
    </xf>
    <xf numFmtId="0" fontId="44" fillId="8" borderId="1" xfId="0" applyFont="1" applyFill="1" applyBorder="1" applyAlignment="1">
      <alignment horizontal="left"/>
    </xf>
    <xf numFmtId="0" fontId="23" fillId="14" borderId="1" xfId="0" applyFont="1" applyFill="1" applyBorder="1" applyAlignment="1">
      <alignment horizontal="center"/>
    </xf>
    <xf numFmtId="0" fontId="11" fillId="23" borderId="44" xfId="3" applyFont="1" applyFill="1" applyBorder="1" applyAlignment="1">
      <alignment horizontal="center" vertical="center"/>
    </xf>
    <xf numFmtId="0" fontId="11" fillId="23" borderId="46" xfId="3" applyFont="1" applyFill="1" applyBorder="1" applyAlignment="1">
      <alignment horizontal="center" vertical="center"/>
    </xf>
    <xf numFmtId="0" fontId="11" fillId="25" borderId="0" xfId="3" applyFont="1" applyFill="1" applyAlignment="1">
      <alignment horizontal="left" vertical="top" wrapText="1"/>
    </xf>
    <xf numFmtId="0" fontId="4" fillId="0" borderId="1" xfId="4" applyBorder="1" applyAlignment="1">
      <alignment horizontal="center" vertical="center"/>
    </xf>
    <xf numFmtId="0" fontId="21" fillId="0" borderId="1" xfId="0" applyFont="1" applyBorder="1" applyAlignment="1">
      <alignment horizontal="left" vertical="center"/>
    </xf>
    <xf numFmtId="0" fontId="47" fillId="27" borderId="1" xfId="0" applyFont="1" applyFill="1" applyBorder="1" applyAlignment="1">
      <alignment horizontal="center"/>
    </xf>
    <xf numFmtId="0" fontId="21" fillId="11" borderId="28" xfId="0" applyFont="1" applyFill="1" applyBorder="1" applyAlignment="1">
      <alignment horizontal="center" wrapText="1"/>
    </xf>
    <xf numFmtId="0" fontId="21" fillId="11" borderId="29" xfId="0" applyFont="1" applyFill="1" applyBorder="1" applyAlignment="1">
      <alignment horizontal="center" wrapText="1"/>
    </xf>
    <xf numFmtId="0" fontId="21" fillId="11" borderId="22" xfId="0" applyFont="1" applyFill="1" applyBorder="1" applyAlignment="1">
      <alignment horizontal="center"/>
    </xf>
    <xf numFmtId="0" fontId="21" fillId="11" borderId="23" xfId="0" applyFont="1" applyFill="1" applyBorder="1" applyAlignment="1">
      <alignment horizontal="center"/>
    </xf>
    <xf numFmtId="0" fontId="21" fillId="25" borderId="1" xfId="0" applyFont="1" applyFill="1" applyBorder="1" applyAlignment="1">
      <alignment horizontal="left" vertical="top" wrapText="1"/>
    </xf>
    <xf numFmtId="0" fontId="7" fillId="0" borderId="47" xfId="4" applyFont="1" applyBorder="1" applyAlignment="1">
      <alignment horizontal="left" vertical="center"/>
    </xf>
    <xf numFmtId="0" fontId="7" fillId="0" borderId="0" xfId="4" applyFont="1" applyAlignment="1">
      <alignment horizontal="left" vertical="center"/>
    </xf>
    <xf numFmtId="0" fontId="7" fillId="0" borderId="0" xfId="4" applyFont="1" applyAlignment="1">
      <alignment horizontal="left" vertical="top" wrapText="1"/>
    </xf>
    <xf numFmtId="0" fontId="11" fillId="27" borderId="1" xfId="4" applyFont="1" applyFill="1" applyBorder="1" applyAlignment="1">
      <alignment horizontal="center"/>
    </xf>
    <xf numFmtId="0" fontId="18" fillId="0" borderId="1" xfId="0" applyFont="1" applyBorder="1" applyAlignment="1">
      <alignment vertical="center"/>
    </xf>
    <xf numFmtId="0" fontId="21" fillId="0" borderId="1" xfId="0" applyFont="1" applyBorder="1" applyAlignment="1">
      <alignment horizontal="left" vertical="top" wrapText="1"/>
    </xf>
    <xf numFmtId="0" fontId="21" fillId="0" borderId="1" xfId="0" applyFont="1" applyBorder="1" applyAlignment="1">
      <alignment vertical="center"/>
    </xf>
    <xf numFmtId="0" fontId="49" fillId="23" borderId="1" xfId="0" applyFont="1" applyFill="1" applyBorder="1" applyAlignment="1">
      <alignment horizontal="left" vertical="top" wrapText="1"/>
    </xf>
  </cellXfs>
  <cellStyles count="13">
    <cellStyle name="Comma 2" xfId="5" xr:uid="{00000000-0005-0000-0000-000000000000}"/>
    <cellStyle name="Currency 2" xfId="2" xr:uid="{00000000-0005-0000-0000-000001000000}"/>
    <cellStyle name="Currency 2 2" xfId="6" xr:uid="{00000000-0005-0000-0000-000002000000}"/>
    <cellStyle name="Currency 3" xfId="9" xr:uid="{00000000-0005-0000-0000-000003000000}"/>
    <cellStyle name="GreyOrWhite" xfId="7" xr:uid="{00000000-0005-0000-0000-000004000000}"/>
    <cellStyle name="Normal" xfId="0" builtinId="0"/>
    <cellStyle name="Normal 2" xfId="1" xr:uid="{00000000-0005-0000-0000-000006000000}"/>
    <cellStyle name="Normal 2 2" xfId="4" xr:uid="{00000000-0005-0000-0000-000007000000}"/>
    <cellStyle name="Normal 3" xfId="3" xr:uid="{00000000-0005-0000-0000-000008000000}"/>
    <cellStyle name="Normal 4" xfId="10" xr:uid="{00000000-0005-0000-0000-000009000000}"/>
    <cellStyle name="Normal 4 2" xfId="11" xr:uid="{CDC83D8F-285D-43E1-8CB4-97A46116BF97}"/>
    <cellStyle name="Normal 4 3" xfId="12" xr:uid="{832645E5-69DD-4AE9-94BE-1E51DAD1B27A}"/>
    <cellStyle name="Yellow" xfId="8" xr:uid="{00000000-0005-0000-0000-00000A000000}"/>
  </cellStyles>
  <dxfs count="42">
    <dxf>
      <font>
        <b/>
        <i val="0"/>
        <color theme="9" tint="-0.24994659260841701"/>
      </font>
    </dxf>
    <dxf>
      <font>
        <b/>
        <i val="0"/>
        <color rgb="FFC00000"/>
      </font>
    </dxf>
    <dxf>
      <fill>
        <patternFill>
          <bgColor rgb="FF00B050"/>
        </patternFill>
      </fill>
    </dxf>
    <dxf>
      <fill>
        <patternFill>
          <bgColor rgb="FFFF0000"/>
        </patternFill>
      </fill>
    </dxf>
    <dxf>
      <fill>
        <patternFill>
          <bgColor rgb="FFC00000"/>
        </patternFill>
      </fill>
    </dxf>
    <dxf>
      <fill>
        <patternFill>
          <bgColor rgb="FFFFFF00"/>
        </patternFill>
      </fill>
    </dxf>
    <dxf>
      <fill>
        <patternFill>
          <bgColor theme="9" tint="-0.24994659260841701"/>
        </patternFill>
      </fill>
    </dxf>
    <dxf>
      <fill>
        <patternFill>
          <bgColor rgb="FF92D050"/>
        </patternFill>
      </fill>
    </dxf>
    <dxf>
      <font>
        <b val="0"/>
        <i val="0"/>
        <strike val="0"/>
        <condense val="0"/>
        <extend val="0"/>
        <outline val="0"/>
        <shadow val="0"/>
        <u val="none"/>
        <vertAlign val="baseline"/>
        <sz val="10"/>
        <color auto="1"/>
        <name val="Arial"/>
        <family val="2"/>
        <scheme val="none"/>
      </font>
      <numFmt numFmtId="165" formatCode="&quot;$&quot;#,##0.00"/>
    </dxf>
    <dxf>
      <font>
        <b val="0"/>
        <i val="0"/>
        <strike val="0"/>
        <condense val="0"/>
        <extend val="0"/>
        <outline val="0"/>
        <shadow val="0"/>
        <u val="none"/>
        <vertAlign val="baseline"/>
        <sz val="10"/>
        <color auto="1"/>
        <name val="Arial"/>
        <family val="2"/>
        <scheme val="none"/>
      </font>
      <numFmt numFmtId="165" formatCode="&quot;$&quot;#,##0.00"/>
    </dxf>
    <dxf>
      <font>
        <b val="0"/>
        <i val="0"/>
        <strike val="0"/>
        <condense val="0"/>
        <extend val="0"/>
        <outline val="0"/>
        <shadow val="0"/>
        <u val="none"/>
        <vertAlign val="baseline"/>
        <sz val="10"/>
        <color auto="1"/>
        <name val="Arial"/>
        <family val="2"/>
        <scheme val="none"/>
      </font>
      <protection locked="0" hidden="0"/>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0" formatCode="dd/mmm/yy"/>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border outline="0">
        <top style="thin">
          <color indexed="64"/>
        </top>
      </border>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theme="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165" formatCode="&quot;$&quot;#,##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quot;$&quot;#,##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20" formatCode="d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theme="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165" formatCode="&quot;$&quot;#,##0.0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5" formatCode="&quot;$&quot;#,##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20" formatCode="d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theme="3"/>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colors>
    <mruColors>
      <color rgb="FFB940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microsoft.com/office/2007/relationships/slicerCache" Target="slicerCaches/slicerCache2.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pivotCacheDefinition" Target="pivotCache/pivotCacheDefinition1.xml"/><Relationship Id="rId8" Type="http://schemas.openxmlformats.org/officeDocument/2006/relationships/worksheet" Target="worksheets/sheet8.xml"/><Relationship Id="rId51" Type="http://schemas.microsoft.com/office/2011/relationships/timelineCache" Target="timelineCaches/timelineCach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Revenue as per Region, Year &amp; Products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'7) Multiple Criteria Totals'!$L$17</c:f>
              <c:strCache>
                <c:ptCount val="1"/>
                <c:pt idx="0">
                  <c:v>East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'7) Multiple Criteria Totals'!$K$18:$K$20</c:f>
              <c:strCache>
                <c:ptCount val="3"/>
                <c:pt idx="0">
                  <c:v>B447</c:v>
                </c:pt>
                <c:pt idx="1">
                  <c:v>Y972</c:v>
                </c:pt>
                <c:pt idx="2">
                  <c:v>Q122</c:v>
                </c:pt>
              </c:strCache>
            </c:strRef>
          </c:cat>
          <c:val>
            <c:numRef>
              <c:f>'7) Multiple Criteria Totals'!$L$18:$L$20</c:f>
              <c:numCache>
                <c:formatCode>0</c:formatCode>
                <c:ptCount val="3"/>
                <c:pt idx="0">
                  <c:v>296802</c:v>
                </c:pt>
                <c:pt idx="1">
                  <c:v>249114</c:v>
                </c:pt>
                <c:pt idx="2">
                  <c:v>338624</c:v>
                </c:pt>
              </c:numCache>
            </c:numRef>
          </c:val>
          <c:extLst>
            <c:ext xmlns:c16="http://schemas.microsoft.com/office/drawing/2014/chart" uri="{C3380CC4-5D6E-409C-BE32-E72D297353CC}">
              <c16:uniqueId val="{00000000-872C-4B52-AB66-D3FA69ED05BD}"/>
            </c:ext>
          </c:extLst>
        </c:ser>
        <c:ser>
          <c:idx val="1"/>
          <c:order val="1"/>
          <c:tx>
            <c:strRef>
              <c:f>'7) Multiple Criteria Totals'!$M$17</c:f>
              <c:strCache>
                <c:ptCount val="1"/>
                <c:pt idx="0">
                  <c:v>West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'7) Multiple Criteria Totals'!$K$18:$K$20</c:f>
              <c:strCache>
                <c:ptCount val="3"/>
                <c:pt idx="0">
                  <c:v>B447</c:v>
                </c:pt>
                <c:pt idx="1">
                  <c:v>Y972</c:v>
                </c:pt>
                <c:pt idx="2">
                  <c:v>Q122</c:v>
                </c:pt>
              </c:strCache>
            </c:strRef>
          </c:cat>
          <c:val>
            <c:numRef>
              <c:f>'7) Multiple Criteria Totals'!$M$18:$M$20</c:f>
              <c:numCache>
                <c:formatCode>0</c:formatCode>
                <c:ptCount val="3"/>
                <c:pt idx="0">
                  <c:v>161126</c:v>
                </c:pt>
                <c:pt idx="1">
                  <c:v>216751</c:v>
                </c:pt>
                <c:pt idx="2">
                  <c:v>272642</c:v>
                </c:pt>
              </c:numCache>
            </c:numRef>
          </c:val>
          <c:extLst>
            <c:ext xmlns:c16="http://schemas.microsoft.com/office/drawing/2014/chart" uri="{C3380CC4-5D6E-409C-BE32-E72D297353CC}">
              <c16:uniqueId val="{00000001-872C-4B52-AB66-D3FA69ED05BD}"/>
            </c:ext>
          </c:extLst>
        </c:ser>
        <c:ser>
          <c:idx val="2"/>
          <c:order val="2"/>
          <c:tx>
            <c:strRef>
              <c:f>'7) Multiple Criteria Totals'!$N$17</c:f>
              <c:strCache>
                <c:ptCount val="1"/>
                <c:pt idx="0">
                  <c:v>Central</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'7) Multiple Criteria Totals'!$K$18:$K$20</c:f>
              <c:strCache>
                <c:ptCount val="3"/>
                <c:pt idx="0">
                  <c:v>B447</c:v>
                </c:pt>
                <c:pt idx="1">
                  <c:v>Y972</c:v>
                </c:pt>
                <c:pt idx="2">
                  <c:v>Q122</c:v>
                </c:pt>
              </c:strCache>
            </c:strRef>
          </c:cat>
          <c:val>
            <c:numRef>
              <c:f>'7) Multiple Criteria Totals'!$N$18:$N$20</c:f>
              <c:numCache>
                <c:formatCode>0</c:formatCode>
                <c:ptCount val="3"/>
                <c:pt idx="0">
                  <c:v>163917</c:v>
                </c:pt>
                <c:pt idx="1">
                  <c:v>341971</c:v>
                </c:pt>
                <c:pt idx="2">
                  <c:v>369752</c:v>
                </c:pt>
              </c:numCache>
            </c:numRef>
          </c:val>
          <c:extLst>
            <c:ext xmlns:c16="http://schemas.microsoft.com/office/drawing/2014/chart" uri="{C3380CC4-5D6E-409C-BE32-E72D297353CC}">
              <c16:uniqueId val="{00000002-872C-4B52-AB66-D3FA69ED05BD}"/>
            </c:ext>
          </c:extLst>
        </c:ser>
        <c:dLbls>
          <c:showLegendKey val="0"/>
          <c:showVal val="0"/>
          <c:showCatName val="0"/>
          <c:showSerName val="0"/>
          <c:showPercent val="0"/>
          <c:showBubbleSize val="0"/>
        </c:dLbls>
        <c:gapWidth val="100"/>
        <c:overlap val="-24"/>
        <c:axId val="1251813871"/>
        <c:axId val="1124076207"/>
      </c:barChart>
      <c:catAx>
        <c:axId val="12518138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24076207"/>
        <c:crosses val="autoZero"/>
        <c:auto val="1"/>
        <c:lblAlgn val="ctr"/>
        <c:lblOffset val="100"/>
        <c:noMultiLvlLbl val="0"/>
      </c:catAx>
      <c:valAx>
        <c:axId val="1124076207"/>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518138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[Prajwal Excel Practice.xlsx]39) PT1 (Pie)!PivotTable1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Regionwise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'39) PT1 (Pie)'!$B$3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4A29-4B5D-A05F-D18A3418C9D7}"/>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4A29-4B5D-A05F-D18A3418C9D7}"/>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4A29-4B5D-A05F-D18A3418C9D7}"/>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4A29-4B5D-A05F-D18A3418C9D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'39) PT1 (Pie)'!$A$4:$A$8</c:f>
              <c:strCache>
                <c:ptCount val="4"/>
                <c:pt idx="0">
                  <c:v>East</c:v>
                </c:pt>
                <c:pt idx="1">
                  <c:v>North</c:v>
                </c:pt>
                <c:pt idx="2">
                  <c:v>South</c:v>
                </c:pt>
                <c:pt idx="3">
                  <c:v>West</c:v>
                </c:pt>
              </c:strCache>
            </c:strRef>
          </c:cat>
          <c:val>
            <c:numRef>
              <c:f>'39) PT1 (Pie)'!$B$4:$B$8</c:f>
              <c:numCache>
                <c:formatCode>General</c:formatCode>
                <c:ptCount val="4"/>
                <c:pt idx="0">
                  <c:v>565435</c:v>
                </c:pt>
                <c:pt idx="1">
                  <c:v>314730</c:v>
                </c:pt>
                <c:pt idx="2">
                  <c:v>616385</c:v>
                </c:pt>
                <c:pt idx="3">
                  <c:v>449190</c:v>
                </c:pt>
              </c:numCache>
            </c:numRef>
          </c:val>
          <c:extLst>
            <c:ext xmlns:c16="http://schemas.microsoft.com/office/drawing/2014/chart" uri="{C3380CC4-5D6E-409C-BE32-E72D297353CC}">
              <c16:uniqueId val="{00000000-CDB5-4AE6-A49B-7F32F788B27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[Prajwal Excel Practice.xlsx]40) PT2 (Clustered Column)!PivotTable2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'40) PT2 (Clustered Column)'!$B$3:$B$4</c:f>
              <c:strCache>
                <c:ptCount val="1"/>
                <c:pt idx="0">
                  <c:v>East</c:v>
                </c:pt>
              </c:strCache>
            </c:strRef>
          </c:tx>
          <c:spPr>
            <a:solidFill>
              <a:schemeClr val="accent1"/>
            </a:solidFill>
            <a:ln>
              <a:noFill/>
            </a:ln>
            <a:effectLst/>
          </c:spPr>
          <c:invertIfNegative val="0"/>
          <c:cat>
            <c:strRef>
              <c:f>'40) PT2 (Clustered Column)'!$A$5:$A$11</c:f>
              <c:strCache>
                <c:ptCount val="6"/>
                <c:pt idx="0">
                  <c:v>Jan</c:v>
                </c:pt>
                <c:pt idx="1">
                  <c:v>Feb</c:v>
                </c:pt>
                <c:pt idx="2">
                  <c:v>Mar</c:v>
                </c:pt>
                <c:pt idx="3">
                  <c:v>Apr</c:v>
                </c:pt>
                <c:pt idx="4">
                  <c:v>Jun</c:v>
                </c:pt>
                <c:pt idx="5">
                  <c:v>Jul</c:v>
                </c:pt>
              </c:strCache>
            </c:strRef>
          </c:cat>
          <c:val>
            <c:numRef>
              <c:f>'40) PT2 (Clustered Column)'!$B$5:$B$11</c:f>
              <c:numCache>
                <c:formatCode>General</c:formatCode>
                <c:ptCount val="6"/>
                <c:pt idx="0">
                  <c:v>188000</c:v>
                </c:pt>
                <c:pt idx="1">
                  <c:v>128000</c:v>
                </c:pt>
                <c:pt idx="2">
                  <c:v>12300</c:v>
                </c:pt>
                <c:pt idx="3">
                  <c:v>18000</c:v>
                </c:pt>
                <c:pt idx="4">
                  <c:v>75615</c:v>
                </c:pt>
                <c:pt idx="5">
                  <c:v>143520</c:v>
                </c:pt>
              </c:numCache>
            </c:numRef>
          </c:val>
          <c:extLst>
            <c:ext xmlns:c16="http://schemas.microsoft.com/office/drawing/2014/chart" uri="{C3380CC4-5D6E-409C-BE32-E72D297353CC}">
              <c16:uniqueId val="{00000000-0972-4100-B628-E31F87509DAF}"/>
            </c:ext>
          </c:extLst>
        </c:ser>
        <c:ser>
          <c:idx val="1"/>
          <c:order val="1"/>
          <c:tx>
            <c:strRef>
              <c:f>'40) PT2 (Clustered Column)'!$C$3:$C$4</c:f>
              <c:strCache>
                <c:ptCount val="1"/>
                <c:pt idx="0">
                  <c:v>North</c:v>
                </c:pt>
              </c:strCache>
            </c:strRef>
          </c:tx>
          <c:spPr>
            <a:solidFill>
              <a:schemeClr val="accent2"/>
            </a:solidFill>
            <a:ln>
              <a:noFill/>
            </a:ln>
            <a:effectLst/>
          </c:spPr>
          <c:invertIfNegative val="0"/>
          <c:cat>
            <c:strRef>
              <c:f>'40) PT2 (Clustered Column)'!$A$5:$A$11</c:f>
              <c:strCache>
                <c:ptCount val="6"/>
                <c:pt idx="0">
                  <c:v>Jan</c:v>
                </c:pt>
                <c:pt idx="1">
                  <c:v>Feb</c:v>
                </c:pt>
                <c:pt idx="2">
                  <c:v>Mar</c:v>
                </c:pt>
                <c:pt idx="3">
                  <c:v>Apr</c:v>
                </c:pt>
                <c:pt idx="4">
                  <c:v>Jun</c:v>
                </c:pt>
                <c:pt idx="5">
                  <c:v>Jul</c:v>
                </c:pt>
              </c:strCache>
            </c:strRef>
          </c:cat>
          <c:val>
            <c:numRef>
              <c:f>'40) PT2 (Clustered Column)'!$C$5:$C$11</c:f>
              <c:numCache>
                <c:formatCode>General</c:formatCode>
                <c:ptCount val="6"/>
                <c:pt idx="0">
                  <c:v>18000</c:v>
                </c:pt>
                <c:pt idx="1">
                  <c:v>28000</c:v>
                </c:pt>
                <c:pt idx="2">
                  <c:v>86750</c:v>
                </c:pt>
                <c:pt idx="3">
                  <c:v>157600</c:v>
                </c:pt>
                <c:pt idx="4">
                  <c:v>12840</c:v>
                </c:pt>
                <c:pt idx="5">
                  <c:v>11540</c:v>
                </c:pt>
              </c:numCache>
            </c:numRef>
          </c:val>
          <c:extLst>
            <c:ext xmlns:c16="http://schemas.microsoft.com/office/drawing/2014/chart" uri="{C3380CC4-5D6E-409C-BE32-E72D297353CC}">
              <c16:uniqueId val="{00000001-0972-4100-B628-E31F87509DAF}"/>
            </c:ext>
          </c:extLst>
        </c:ser>
        <c:ser>
          <c:idx val="2"/>
          <c:order val="2"/>
          <c:tx>
            <c:strRef>
              <c:f>'40) PT2 (Clustered Column)'!$D$3:$D$4</c:f>
              <c:strCache>
                <c:ptCount val="1"/>
                <c:pt idx="0">
                  <c:v>South</c:v>
                </c:pt>
              </c:strCache>
            </c:strRef>
          </c:tx>
          <c:spPr>
            <a:solidFill>
              <a:schemeClr val="accent3"/>
            </a:solidFill>
            <a:ln>
              <a:noFill/>
            </a:ln>
            <a:effectLst/>
          </c:spPr>
          <c:invertIfNegative val="0"/>
          <c:cat>
            <c:strRef>
              <c:f>'40) PT2 (Clustered Column)'!$A$5:$A$11</c:f>
              <c:strCache>
                <c:ptCount val="6"/>
                <c:pt idx="0">
                  <c:v>Jan</c:v>
                </c:pt>
                <c:pt idx="1">
                  <c:v>Feb</c:v>
                </c:pt>
                <c:pt idx="2">
                  <c:v>Mar</c:v>
                </c:pt>
                <c:pt idx="3">
                  <c:v>Apr</c:v>
                </c:pt>
                <c:pt idx="4">
                  <c:v>Jun</c:v>
                </c:pt>
                <c:pt idx="5">
                  <c:v>Jul</c:v>
                </c:pt>
              </c:strCache>
            </c:strRef>
          </c:cat>
          <c:val>
            <c:numRef>
              <c:f>'40) PT2 (Clustered Column)'!$D$5:$D$11</c:f>
              <c:numCache>
                <c:formatCode>General</c:formatCode>
                <c:ptCount val="6"/>
                <c:pt idx="0">
                  <c:v>200000</c:v>
                </c:pt>
                <c:pt idx="1">
                  <c:v>135000</c:v>
                </c:pt>
                <c:pt idx="2">
                  <c:v>15600</c:v>
                </c:pt>
                <c:pt idx="3">
                  <c:v>93380</c:v>
                </c:pt>
                <c:pt idx="4">
                  <c:v>157600</c:v>
                </c:pt>
                <c:pt idx="5">
                  <c:v>14805</c:v>
                </c:pt>
              </c:numCache>
            </c:numRef>
          </c:val>
          <c:extLst>
            <c:ext xmlns:c16="http://schemas.microsoft.com/office/drawing/2014/chart" uri="{C3380CC4-5D6E-409C-BE32-E72D297353CC}">
              <c16:uniqueId val="{00000002-0972-4100-B628-E31F87509DAF}"/>
            </c:ext>
          </c:extLst>
        </c:ser>
        <c:ser>
          <c:idx val="3"/>
          <c:order val="3"/>
          <c:tx>
            <c:strRef>
              <c:f>'40) PT2 (Clustered Column)'!$E$3:$E$4</c:f>
              <c:strCache>
                <c:ptCount val="1"/>
                <c:pt idx="0">
                  <c:v>West</c:v>
                </c:pt>
              </c:strCache>
            </c:strRef>
          </c:tx>
          <c:spPr>
            <a:solidFill>
              <a:schemeClr val="accent4"/>
            </a:solidFill>
            <a:ln>
              <a:noFill/>
            </a:ln>
            <a:effectLst/>
          </c:spPr>
          <c:invertIfNegative val="0"/>
          <c:cat>
            <c:strRef>
              <c:f>'40) PT2 (Clustered Column)'!$A$5:$A$11</c:f>
              <c:strCache>
                <c:ptCount val="6"/>
                <c:pt idx="0">
                  <c:v>Jan</c:v>
                </c:pt>
                <c:pt idx="1">
                  <c:v>Feb</c:v>
                </c:pt>
                <c:pt idx="2">
                  <c:v>Mar</c:v>
                </c:pt>
                <c:pt idx="3">
                  <c:v>Apr</c:v>
                </c:pt>
                <c:pt idx="4">
                  <c:v>Jun</c:v>
                </c:pt>
                <c:pt idx="5">
                  <c:v>Jul</c:v>
                </c:pt>
              </c:strCache>
            </c:strRef>
          </c:cat>
          <c:val>
            <c:numRef>
              <c:f>'40) PT2 (Clustered Column)'!$E$5:$E$11</c:f>
              <c:numCache>
                <c:formatCode>General</c:formatCode>
                <c:ptCount val="6"/>
                <c:pt idx="0">
                  <c:v>20000</c:v>
                </c:pt>
                <c:pt idx="1">
                  <c:v>176250</c:v>
                </c:pt>
                <c:pt idx="2">
                  <c:v>124800</c:v>
                </c:pt>
                <c:pt idx="3">
                  <c:v>9840</c:v>
                </c:pt>
                <c:pt idx="4">
                  <c:v>17900</c:v>
                </c:pt>
                <c:pt idx="5">
                  <c:v>100400</c:v>
                </c:pt>
              </c:numCache>
            </c:numRef>
          </c:val>
          <c:extLst>
            <c:ext xmlns:c16="http://schemas.microsoft.com/office/drawing/2014/chart" uri="{C3380CC4-5D6E-409C-BE32-E72D297353CC}">
              <c16:uniqueId val="{00000003-0972-4100-B628-E31F87509DAF}"/>
            </c:ext>
          </c:extLst>
        </c:ser>
        <c:dLbls>
          <c:showLegendKey val="0"/>
          <c:showVal val="0"/>
          <c:showCatName val="0"/>
          <c:showSerName val="0"/>
          <c:showPercent val="0"/>
          <c:showBubbleSize val="0"/>
        </c:dLbls>
        <c:gapWidth val="219"/>
        <c:overlap val="-27"/>
        <c:axId val="1461277424"/>
        <c:axId val="1847255664"/>
      </c:barChart>
      <c:catAx>
        <c:axId val="1461277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255664"/>
        <c:crosses val="autoZero"/>
        <c:auto val="1"/>
        <c:lblAlgn val="ctr"/>
        <c:lblOffset val="100"/>
        <c:noMultiLvlLbl val="0"/>
      </c:catAx>
      <c:valAx>
        <c:axId val="1847255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277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[Prajwal Excel Practice.xlsx]41) PT3 (Filter)!PivotTable3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'41) PT3 (Filter)'!$B$3:$B$4</c:f>
              <c:strCache>
                <c:ptCount val="1"/>
                <c:pt idx="0">
                  <c:v>West</c:v>
                </c:pt>
              </c:strCache>
            </c:strRef>
          </c:tx>
          <c:spPr>
            <a:solidFill>
              <a:schemeClr val="accent1"/>
            </a:solidFill>
            <a:ln>
              <a:noFill/>
            </a:ln>
            <a:effectLst/>
          </c:spPr>
          <c:invertIfNegative val="0"/>
          <c:cat>
            <c:strRef>
              <c:f>'41) PT3 (Filter)'!$A$5:$A$7</c:f>
              <c:strCache>
                <c:ptCount val="2"/>
                <c:pt idx="0">
                  <c:v>Apr</c:v>
                </c:pt>
                <c:pt idx="1">
                  <c:v>Jun</c:v>
                </c:pt>
              </c:strCache>
            </c:strRef>
          </c:cat>
          <c:val>
            <c:numRef>
              <c:f>'41) PT3 (Filter)'!$B$5:$B$7</c:f>
              <c:numCache>
                <c:formatCode>General</c:formatCode>
                <c:ptCount val="2"/>
                <c:pt idx="0">
                  <c:v>9840</c:v>
                </c:pt>
                <c:pt idx="1">
                  <c:v>17900</c:v>
                </c:pt>
              </c:numCache>
            </c:numRef>
          </c:val>
          <c:extLst>
            <c:ext xmlns:c16="http://schemas.microsoft.com/office/drawing/2014/chart" uri="{C3380CC4-5D6E-409C-BE32-E72D297353CC}">
              <c16:uniqueId val="{00000000-8DED-4B1E-A927-4F69B0BFB8AA}"/>
            </c:ext>
          </c:extLst>
        </c:ser>
        <c:dLbls>
          <c:showLegendKey val="0"/>
          <c:showVal val="0"/>
          <c:showCatName val="0"/>
          <c:showSerName val="0"/>
          <c:showPercent val="0"/>
          <c:showBubbleSize val="0"/>
        </c:dLbls>
        <c:gapWidth val="219"/>
        <c:overlap val="-27"/>
        <c:axId val="1461300944"/>
        <c:axId val="1810290608"/>
      </c:barChart>
      <c:catAx>
        <c:axId val="146130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0290608"/>
        <c:crosses val="autoZero"/>
        <c:auto val="1"/>
        <c:lblAlgn val="ctr"/>
        <c:lblOffset val="100"/>
        <c:noMultiLvlLbl val="0"/>
      </c:catAx>
      <c:valAx>
        <c:axId val="1810290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300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[Prajwal Excel Practice.xlsx]42) PT4 (Slicer)!PivotTable4</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doughnutChart>
        <c:varyColors val="1"/>
        <c:ser>
          <c:idx val="0"/>
          <c:order val="0"/>
          <c:tx>
            <c:strRef>
              <c:f>'42) PT4 (Slicer)'!$B$3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8ADA-4FE8-AFCE-673A83261670}"/>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8ADA-4FE8-AFCE-673A8326167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'42) PT4 (Slicer)'!$A$4:$A$6</c:f>
              <c:strCache>
                <c:ptCount val="2"/>
                <c:pt idx="0">
                  <c:v>South</c:v>
                </c:pt>
                <c:pt idx="1">
                  <c:v>West</c:v>
                </c:pt>
              </c:strCache>
            </c:strRef>
          </c:cat>
          <c:val>
            <c:numRef>
              <c:f>'42) PT4 (Slicer)'!$B$4:$B$6</c:f>
              <c:numCache>
                <c:formatCode>General</c:formatCode>
                <c:ptCount val="2"/>
                <c:pt idx="0">
                  <c:v>616385</c:v>
                </c:pt>
                <c:pt idx="1">
                  <c:v>449190</c:v>
                </c:pt>
              </c:numCache>
            </c:numRef>
          </c:val>
          <c:extLst>
            <c:ext xmlns:c16="http://schemas.microsoft.com/office/drawing/2014/chart" uri="{C3380CC4-5D6E-409C-BE32-E72D297353CC}">
              <c16:uniqueId val="{00000000-624D-413A-8811-9A4B8FC7DCA8}"/>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[Prajwal Excel Practice.xlsx]43) PT5 (Doughnut)!PivotTable1</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doughnutChart>
        <c:varyColors val="1"/>
        <c:ser>
          <c:idx val="0"/>
          <c:order val="0"/>
          <c:tx>
            <c:strRef>
              <c:f>'43) PT5 (Doughnut)'!$B$3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82CE-4F89-916B-53AB44F23265}"/>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82CE-4F89-916B-53AB44F23265}"/>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82CE-4F89-916B-53AB44F23265}"/>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82CE-4F89-916B-53AB44F2326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'43) PT5 (Doughnut)'!$A$4:$A$8</c:f>
              <c:strCache>
                <c:ptCount val="4"/>
                <c:pt idx="0">
                  <c:v>East</c:v>
                </c:pt>
                <c:pt idx="1">
                  <c:v>North</c:v>
                </c:pt>
                <c:pt idx="2">
                  <c:v>South</c:v>
                </c:pt>
                <c:pt idx="3">
                  <c:v>West</c:v>
                </c:pt>
              </c:strCache>
            </c:strRef>
          </c:cat>
          <c:val>
            <c:numRef>
              <c:f>'43) PT5 (Doughnut)'!$B$4:$B$8</c:f>
              <c:numCache>
                <c:formatCode>General</c:formatCode>
                <c:ptCount val="4"/>
                <c:pt idx="0">
                  <c:v>565435</c:v>
                </c:pt>
                <c:pt idx="1">
                  <c:v>314730</c:v>
                </c:pt>
                <c:pt idx="2">
                  <c:v>616385</c:v>
                </c:pt>
                <c:pt idx="3">
                  <c:v>449190</c:v>
                </c:pt>
              </c:numCache>
            </c:numRef>
          </c:val>
          <c:extLst>
            <c:ext xmlns:c16="http://schemas.microsoft.com/office/drawing/2014/chart" uri="{C3380CC4-5D6E-409C-BE32-E72D297353CC}">
              <c16:uniqueId val="{00000000-363D-400D-AB18-8D259829F7BC}"/>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[Prajwal Excel Practice.xlsx]44) PT6 (Calculated Fields)!PivotTable2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'44) PT6 (Calculated Fields)'!$B$3</c:f>
              <c:strCache>
                <c:ptCount val="1"/>
                <c:pt idx="0">
                  <c:v>Sales_Value</c:v>
                </c:pt>
              </c:strCache>
            </c:strRef>
          </c:tx>
          <c:spPr>
            <a:solidFill>
              <a:schemeClr val="accent1"/>
            </a:solidFill>
            <a:ln>
              <a:noFill/>
            </a:ln>
            <a:effectLst/>
          </c:spPr>
          <c:invertIfNegative val="0"/>
          <c:cat>
            <c:strRef>
              <c:f>'44) PT6 (Calculated Fields)'!$A$4:$A$10</c:f>
              <c:strCache>
                <c:ptCount val="6"/>
                <c:pt idx="0">
                  <c:v>Jan</c:v>
                </c:pt>
                <c:pt idx="1">
                  <c:v>Feb</c:v>
                </c:pt>
                <c:pt idx="2">
                  <c:v>Mar</c:v>
                </c:pt>
                <c:pt idx="3">
                  <c:v>Apr</c:v>
                </c:pt>
                <c:pt idx="4">
                  <c:v>Jun</c:v>
                </c:pt>
                <c:pt idx="5">
                  <c:v>Jul</c:v>
                </c:pt>
              </c:strCache>
            </c:strRef>
          </c:cat>
          <c:val>
            <c:numRef>
              <c:f>'44) PT6 (Calculated Fields)'!$B$4:$B$10</c:f>
              <c:numCache>
                <c:formatCode>General</c:formatCode>
                <c:ptCount val="6"/>
                <c:pt idx="0">
                  <c:v>426000</c:v>
                </c:pt>
                <c:pt idx="1">
                  <c:v>467250</c:v>
                </c:pt>
                <c:pt idx="2">
                  <c:v>239450</c:v>
                </c:pt>
                <c:pt idx="3">
                  <c:v>278820</c:v>
                </c:pt>
                <c:pt idx="4">
                  <c:v>263955</c:v>
                </c:pt>
                <c:pt idx="5">
                  <c:v>270265</c:v>
                </c:pt>
              </c:numCache>
            </c:numRef>
          </c:val>
          <c:extLst>
            <c:ext xmlns:c16="http://schemas.microsoft.com/office/drawing/2014/chart" uri="{C3380CC4-5D6E-409C-BE32-E72D297353CC}">
              <c16:uniqueId val="{00000000-3205-49DA-A7AD-88FA09CDE9F6}"/>
            </c:ext>
          </c:extLst>
        </c:ser>
        <c:ser>
          <c:idx val="1"/>
          <c:order val="1"/>
          <c:tx>
            <c:strRef>
              <c:f>'44) PT6 (Calculated Fields)'!$C$3</c:f>
              <c:strCache>
                <c:ptCount val="1"/>
                <c:pt idx="0">
                  <c:v>Amount_cal</c:v>
                </c:pt>
              </c:strCache>
            </c:strRef>
          </c:tx>
          <c:spPr>
            <a:solidFill>
              <a:schemeClr val="accent2"/>
            </a:solidFill>
            <a:ln>
              <a:noFill/>
            </a:ln>
            <a:effectLst/>
          </c:spPr>
          <c:invertIfNegative val="0"/>
          <c:cat>
            <c:strRef>
              <c:f>'44) PT6 (Calculated Fields)'!$A$4:$A$10</c:f>
              <c:strCache>
                <c:ptCount val="6"/>
                <c:pt idx="0">
                  <c:v>Jan</c:v>
                </c:pt>
                <c:pt idx="1">
                  <c:v>Feb</c:v>
                </c:pt>
                <c:pt idx="2">
                  <c:v>Mar</c:v>
                </c:pt>
                <c:pt idx="3">
                  <c:v>Apr</c:v>
                </c:pt>
                <c:pt idx="4">
                  <c:v>Jun</c:v>
                </c:pt>
                <c:pt idx="5">
                  <c:v>Jul</c:v>
                </c:pt>
              </c:strCache>
            </c:strRef>
          </c:cat>
          <c:val>
            <c:numRef>
              <c:f>'44) PT6 (Calculated Fields)'!$C$4:$C$10</c:f>
              <c:numCache>
                <c:formatCode>General</c:formatCode>
                <c:ptCount val="6"/>
                <c:pt idx="0">
                  <c:v>1869750</c:v>
                </c:pt>
                <c:pt idx="1">
                  <c:v>3947250</c:v>
                </c:pt>
                <c:pt idx="2">
                  <c:v>1074760</c:v>
                </c:pt>
                <c:pt idx="3">
                  <c:v>1157583</c:v>
                </c:pt>
                <c:pt idx="4">
                  <c:v>1122127</c:v>
                </c:pt>
                <c:pt idx="5">
                  <c:v>1165893</c:v>
                </c:pt>
              </c:numCache>
            </c:numRef>
          </c:val>
          <c:extLst>
            <c:ext xmlns:c16="http://schemas.microsoft.com/office/drawing/2014/chart" uri="{C3380CC4-5D6E-409C-BE32-E72D297353CC}">
              <c16:uniqueId val="{00000001-3205-49DA-A7AD-88FA09CDE9F6}"/>
            </c:ext>
          </c:extLst>
        </c:ser>
        <c:dLbls>
          <c:showLegendKey val="0"/>
          <c:showVal val="0"/>
          <c:showCatName val="0"/>
          <c:showSerName val="0"/>
          <c:showPercent val="0"/>
          <c:showBubbleSize val="0"/>
        </c:dLbls>
        <c:gapWidth val="219"/>
        <c:overlap val="-27"/>
        <c:axId val="1784793104"/>
        <c:axId val="1907931472"/>
      </c:barChart>
      <c:catAx>
        <c:axId val="1784793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7931472"/>
        <c:crosses val="autoZero"/>
        <c:auto val="1"/>
        <c:lblAlgn val="ctr"/>
        <c:lblOffset val="100"/>
        <c:noMultiLvlLbl val="0"/>
      </c:catAx>
      <c:valAx>
        <c:axId val="1907931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793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_xlchart.v5.2</cx:f>
      </cx:numDim>
    </cx:data>
  </cx:chartData>
  <cx:chart>
    <cx:title pos="t" align="ctr" overlay="0"/>
    <cx:plotArea>
      <cx:plotAreaRegion>
        <cx:series layoutId="regionMap" uniqueId="{AE573A0F-360F-46E8-BACD-6D5D84C9914A}">
          <cx:dataId val="0"/>
          <cx:layoutPr>
            <cx:geography cultureLanguage="en-US" cultureRegion="IN" attribution="Powered by Bing">
              <cx:geoCache provider="{E9337A44-BEBE-4D9F-B70C-5C5E7DAFC167}">
                <cx:binary>nFxbc9w2sv4rKT8fJCAAkuDW5jxwLpRkSZZkO3b8wnJsGbwTBAES4K8/PcmelIIVh1WTlyQzmm6g
u79GA3359zf7r2/N81f1k22bbvzXN/vrm0Jr+a9ffhm/Fc/t1/Hntvym+rH/oX/+1re/9D9+lN+e
f/muvs5lJ34hOGC/fCu+Kv1s3/zvv4GaeO5v+29fddl3j+ZZuafn0TR6PPPdq1/99K03nT79XACl
X99cd9/Lr29+eu50qd0HJ59/ffOPv3jz0y8+nf/i+VMDy9LmO/yWkJ9pSELMQ5r89c+bn5q+E//5
Ok5+phGNeBgF+M9/wv9nff+1hZ9vrubPtXz9/l09j+NP//n33z/7x8L//rQc+91fe971pyVe3/+5
p1/+KdP//bf3AezS++SF2M9997d49l/118Ofcn3xy/Pf/r+ovZ+eU89fmrv+/uubIKAvtHUi8Z/f
vSLbv//++euof32TxD8zHARByIKYccyi5M1P8/Ppm4j/TDBlCecMUwr/Gbz5qeuVLn59Q+OfccwD
FnPOA07DhL35aezN6avo5zjCjCY8JjELoiQhfxvxQ9840Xd/y+E///9TZ9qHvuz0+OsboCP/+qvT
MhEBFixOMCPw+bevT4AP+KPgfxJSTtHY2Pigw6Ip0mVx7lNBIvuXgv/S7yvk4xXysLOX5KsY1W62
XXxQY9eIm7GpwiCNsRq/TGqxSdoFc652OtBxsXsh+Fc4gpW/uiH8T45Ju9Tc1Hl0aNUUVO9Igwe3
K+iJL23CWF2fZ7MiNwrKfLmxMcJRNYsuOhROTiyV5cJNWiyk/3Ke/orgKP8n/TgZsKwSFx1MINld
lKCYP2nUBe7Wcd3ZDMVLpNLWDfLpPMO1DZ0W8sIQJMdyik8MpyaJ7U1fmNzs2GiK8nCeQQSEXrE0
evr8BQNeLjPWhoYH3ri++piXBdVTipM6D/eKDtxFKRvDxr4/zy44Kfw1ficDecFPxu1Yh6MLD0aI
adhxwjPaWrWbXNKg342JbLV3bLYkNS5Gt6TGnDY7JDhpb88vYW3HJ1G/WEEjXDs14RweZk7CHVX9
j2Jy1wOemv1sxd15Jmt6A//0kkkPYJ250+HBuTH+LJSKD47i5uo89bUteO6h4VUZjVSFh5qW5TOG
s/Z2HFmcYhpGfcp0547nGa2qy/MUPZpDORRheEAiL9LcRr+RUMc7ESXtbkmITI0wYt9EZkpJO3+s
9bQ/z3lNgJ7DUM1cSUmG8KB7tCwHFahK7GWYUHEZA+K5CmJFwF1TRYcIi8amdV23YmfDtswvZOD5
ClI51PWjRFnXuzh60D1f0PsYMSw2fOqKMyKebxg5Nni2IQAozlk2l4VuUjQVtUvbalA7NNviqqgW
usFuRSPE8xRJX7PGEJdnPeJLe5xVIKeDLdt+ys6rfOWMIJ5roKzP+SxRnGltiL7qor7Dh6ULGnuQ
pZ7tBnjW2Jz29wL/Qz8NObUtzySplw+1csW7QWr1MFZ98e6ynXjon2vLgxmHSUaQLQ8sGIr6bTJz
OCzqkNf2QoV4XqDgQtY8ljxTDXPXqF3wu0QEqknPb2JN3z7089JhkFCUmXggNsWVZb9HSy8P58mv
qcEDuJniPuY4irKpATXYeh4PcLJ2TVoGRl4mocDDuClp5xpX8YyNU10eGsctSkfsymVDRiubCDyM
1wkKh8SeVDAomhyHwlT4UHJp9E2Nmm64TFaBh/SYODoGyEZZ7trljiTLcD+6hN65KWwuCwkDD91t
Ms1hZQSAjwWt2YcimuWjGhWq39JhSfCNRkUSP0KAS6PLgrXgJNQXQIwdiAzjMM4mBWrKitAFet/Z
BtENpK8ck4GHdFu6IdJExVmABI3Tnpgo3MvE5H06tmTiaWWYKjeYrXjj043k5W6cqARuZ7C1sJ1k
fMTGoPm2IWSa9r2Iy+C+DqcY3/JAB/b38xA6mfErsVTgOYDGijzulznP4BZSBPe9YMv4bSRLIQ9o
UX30WFekEeDnmkLf4opI8tmxhIaP59mvOIjAcxAujyD8rVGetTEy+4I1ZDdHsdyfp74Wevz5+Qvz
CCdty4EMSUYxbOawBPmkD1xUjcvE6Iz4JBGb2yu28C68t3CD6+4IXNiqz7wmYbgB8JU9Ys+D8K4K
ZT+XLJNxPtJdtCTP0tp52HBQKxaKPf/RKBoFzlZxxmg5Z8LN1UHxpntCvF8y2+Zm496ytg3PgZhA
RbyqBMsEXqovFR/QQz41YsM9rVH3fMdARVchFCdZ2My42pmAt0tqSuXGy7CFPU8xloMLiVU8027O
yTWLNSG/DZIyd9WVRrYpWSIpvsl2GcmGZk6kX8EWPu31hfXRuWvAjlSURTxvTbrESSDTpRbD8+TA
NW6Y1xoXz2ksbKkHE8HloBBNfYh0W+w7Kci+COSFYRv2nESUJ7irBrtkoxE6I2U07RsZxsfzKF1T
vecD4LGrQBYOiKwiZbsjOqj2uevJhYblxQhwi+p5UAIUyDh0KS6CT51gakPDry6dw5PdPzUcRLJj
thFLVsZoeZynjtD9JBDbCs/X6HvYLiqjJVVuyVDeJtcI0+EI9wF2iWhg9R6iqZxCqWugrnPCdqyF
08zhOt+wy9edL5D3IM07svApBr0G9bins7miyN61rfjMkvq95ShDdXSMpd2RNr4+b0qvHqDA8oSR
F4irMFJ4zkdQtqx+x6hEqTDWpQ2TQ5ovYtglutlg9SrsgJUH7i4Pi2UJ0JzNKHyG6209HZmuZZfp
OY42RLimfg/adIqnrqrzOaMA8KdE99UhYH29ccM4GdF/uSfYgYdq3YHzm5dozgI2DAcA4BdU17ez
ZFVKWf557BuTJnm1YWxrqvFQHui2yflSmWwMQ5T2ioZ7sZCrWpp2n/eKpNI2GxtbE5sHeTjx87oO
qM6GvsqDnQrJuIsLWxf781a2onruoT7MxVijBd6fOLxe3OgoYunU9s3bpKu7jdNqZQvcAz483KIp
MJU+KiPm8X0eiFrcStM1z5dtwYN+HZTTICZiD1aYZde45UMcyyRt8lhcZrvcQ39YoZpxnk+HoSng
gXY0JB2SxGxQP1F5xXb5STUvgE5lxUhe8ekgO/S7sF2RTmPyTo7VjZZhdZl35yflvGBSy0UhNEb/
2QIjA0nDKdrawpqKfXCHPDe8CKZDMic4JSfq4+UC8sBd40nmzQjUh2UUaSjdg5DRveG1SaOIVBtq
WNuDB+qChbzHBMMbDiPPPe34IWdouVD8HoxryA3yUgBxPvL2sLDCHcQcFTfnEbDij2IPxFbDi1fj
alg6UVcsUe+tZm06suU4SfZpjHG9IaM1Rh6U20KSrqfYHCBTkc0jvq/q4SG01R8FpVdR2W68Fq8d
t7EH6XFRWvbFbA6iDI40t7e8Tq5QM+yiGl0JhQ/FxB7bMtwPObtwax7GcR4q6gqkD9Y4iB+qjFcs
T0dbfmV18D5O7PG8rlbMLPbQPoyJrSBIN4cqSoo0qsomNYrEG7tYceexB/OYVkiUKNGHnqHoKFCk
024Z43fgC5sNY1vbgId1axjpIElnsiWArHaKlrZudost4nh/XkJrRkb+6arIYJPWSDFlYe3kU6LC
6ChbDrpgS5BilYR3reNtdp7Z2m481AdlTlRvW5OJfGxukmoM9mNducN56mvq8GBvVC6pcKHJdEK/
jMi+tWNbph1HG6JaoX9K1r706nZ0Vesc0llZoHvwur/TXDzWsn08v/yVkyny4J6UZRsHXawzSH22
aTELnE598TRxcZPUFb3MZiMP7F09IpVwYzJVhneDwn0Kj1HvdGQ/nd/FmpA8ZEMme5YjxOgHospD
N+bvSxd8ImH79jz5NWcVnfi+OFp5OQsEIYLLWL7gjFpIFdd5rdMl6JuD6Ksyi3NFd0zp/s6Wi9gz
o9oN2a1p6GTWL3hPIjRFDZSzBsLDe+eabt/OCblCjsdHyRuzcUNY4+OB3gwNwU3em4yV1bu6raeU
EdirJFEaDcmP85JcY+IBP+flEE+lMtk8SZkGannXtrJMYyIfmqK87CSOPMAnXcRKiVqd8aB6jkxY
3oDDiR/O72DN1Dy8E0200qoEbzLN98Eo3tFleiuNfbqIfOjBfWF9UuVFbTKsZJ+Svj/kc/+lGfhl
yw89vLOZ2bmkQJ+j+aHu8uNc9TcBYRsnx4p+Qw/o/ZznQlOh4ehDjxMebGq4hZtmX0ISgnYbkDhR
eyWcDk/cX0AiCKSMF0QQRIvTW92yVEz9xzwO9mIY7g0ZNmKUFVWHHupRAVcO1YOsagMBXb4cCB2P
eVsczqt65VwKPWAzOTtqIclx6JfpSs3kLQs3tLC2cA/K0oU66iVcXmmgr+XYX7UQLizMbLjDtYV7
IC4bbQtjYOGkf48lpJCT58sk4gG3SSollxr0GvT8K8mH+zqJry4j7cHWDFNt3RzpzI1V8GFxmmSV
oeP+PPUVg2QeajkUWlW4SXQW5O/qgmW9bt5yIrMY40cyksvMnnnYFUQLJBlGB/DHj0sQ7BCOvg7j
0qUCD6lEzWWGyTwQg9UPQ4MhJgiXWe4g2zfs2BTPG975zxTeK+hlHnr5OMWahRM62CPP7HXxmbEU
bsTii9KpezcdukOP9s2j+pj3+62XthVEsNPnLzxGIYqBDYXTWTGIO43LL6EYm7RH+R/nDWCNvofl
GfKIznX5eAgKeVVCjmOfo+qpLLjb0P0aAw/SyhgM6VVgwJvwgcvuDyjbuONRctmx8F/Vdyx0eODJ
eFAtfbCk/qMhzd0YhxvkVzwG84AdzGVMqQ10lsyU3Ud9OF4NzEYb6Fs5dJiH7WJkUwMRODrQxei0
NeaPeOl3SYc+BiUdL1OAX2dnE8PmOgEHEhM8lztcQ63TPuRqafZy6MetaG9Fz365nZxblkN2TGeC
ya9onj7NYf8Z581GuL9G3oP2RClWEQVRdayErMjpSEYNhOPULHpDG2ssPHirYorh9d/CjYIUt2qJ
v1TlfJd3/ON5pK2YEj2xfYHkqo0xiws6Zm6gd6pC5aFkvMzOE19b+4npC+JGKKhvNRNctkK3Z1hd
84gfmnnZqMNbW7sP4hB1TtB2zAgJyY4o+iWxwXChgZJ/rt0VQQUPT3rMmJveFg296ef+3TC1GxBe
AdmpNPilaAikOaFiGKmsnvOngkc3TYU/9LD83ZAPy+G8/NeYeEjuw7lLJgZMhqSkuzyRV5yL36O+
/Y66+niex5/lCa+cP34ZnJFkrItgVlkU9Fk7QvFvGBCXsjb8TufgdpjyZN+J4hqSM/VuLgq5L7F8
z5AesjbHW5eUFVMj3mE+IwoelxlQV0HejTp8Qiz+MCb0t/O7XCPvAV3PdCxk1I9ZjmgmSHhnpbzG
7dbz3YnMazI8KfAFUKac11HVMJXNujzExNLdlI+PgiqTEl7ejaHa8CYrkPEr5MqF5aOy9ZglhdzV
zN23/MIomXhgn5EiDdStqKxop9CkKo6quyGSNp0rAg+El+nBg3xYd7ar+xAE5fQDAifbFOwTkvWH
8+TXxOOB3kIhbBPB2wN4lGm8ah3WO6hTpfvz1NeMyMO8IEUIsQxRWcOCT3NVPUH1/oEhuWGja4v3
0F7YQdYKF2MWkpLNB1L3id4JSCHXG+s/WeMrVuoXw7FCCG54o7LFoseyJR+aQT7Yrs9sZzY81oqI
/HK4pgwHeBEAFmM+3Q1c3PXGXulyK7G2Rt6DccNd3g6TU5mi8Tc8cYj5OdGPgZjLjTNpjYOHZBJP
OJxKMFAzuzEdmuCtGGSTQs3/xs1rjcHp8xeuorU50nYsYAtMqJRG5F1e4HeFSr5fZKR+yZtWzBiW
gAbAob6dHHlbF13Gc3KhDXkATmbRmGoQKuvq8jeoNn8alHwfTeKdHLbyEmtm6oEYkvwKQ8ytMgy5
wLBu4No+3Fre3s6KHy4TkodkeHbVeTSjIRsj/ikS0a2D1H9TD58vI+8hObesrYWs4EgFWaXJIOZU
hFzsDBsv86N+VZqm1YCqPhmyOrEfrV0eFakfDUo+nt/Aiivyq9IwhsthF+Ih47yJyrSoBkCa7dv3
58n/WZ/4iifCHo6rKqmWqXKw/EF+XOL2QfHhrkTjH3RA8wH30ccyJmbXDTRMqzo2KbzYBGkzVBfu
z0P5VIVR3nI6ZEuiyC4Y2f00i62S4DXheQg3qON9aPshE+FS6CKN6dDLZ55M9cZ71hqD0+cvXAhz
PU4gaz5kTo5aZkEwDGOa52zYSuKsMfBA7mpjuGpzmYWhwGJf21ia1CTxrDaC8xWI+yVpQUswmxMk
syqfv8PL5a2N9LgbguoeKyyP563sJO/XjMwDeRxby/GEZUZr9TEsXZjiaFQ7Cvf6jW2scfBwrhuo
3RxpBw9by9I9T4t1N8FC6q+1s91WJcbrPKDQ55/KtqWK1GxBVH1R9amO1F7W5Mk2wUXlNjzxAu+G
9HOLYiMz1XF55UY8HuemLzZOu9ctiftFahOdqJPNfFJ0uHzCfS6uoKdSbmXn18h7OKbgZUPiQMVJ
lw/jMTacsjTM+2jrFvm6oXK/JA2yo3XfyUlmPO6qbIQnTaX4x77rvoaCXRZXcr8YLa5bAmXqCsyI
6felGB8LvXxK+Jidx8GakDw0i9zNtGnEkMVd8qXr5yAtGNtKZa4R9w7roXUxR6aV0DWA1BcUBeTa
1O10ofl4EJZaF1VMwz7LcbiDF128V00UHS6Ti4de5RDUXDRAnPdap6ILr+tus4jtBM//dj7crzIb
SgvlmZz0WVW5En0U8RIMbVr1KqdPETZUvUVFHuGdyWPuHsY4j+X1kJBI7gJmQn5tBlIH9Y4l+ewy
6POh836eXaW+Wh611b6D9244KGvdVdftnAt1Iyw0yGVoqYrwgY41ZF4TSqLpC9Z1Xb5P8j7UV1E4
xnxfDhF2x9kmQXmIQjp2v9uYsfxBswhVf2AR1eZ708UFvOTVemjvI3giCFJVVrF7q6nu5sMslXV7
qYIkfEpsSxyU/OaDOgYddeYKnmEXcTUnU9tBY4CM8PXc5VVy3cc0yZ+MtUXwFg85zuGRwVDeXaZO
v+iutczAymmfIch9p/3cwXOk6y+Ktzj3AhaoqHQQHjYya6Lqy2S7d0kgbvK4vChg5H653QQpJNsQ
WHtocvAyzU3cJ9nCk/15S185Q/x6u3CCQp+grWRGksSmOUrq1NrqO3SwbxwiawxO3uFFRKKwoFEN
eUh4WqmqtAcXRmf0JarUh8s24LmwCjqgpy7GgCaME6g8Rs0R2gHLq57q9jJXwz1HVkQlNh2JxiyG
NM/1As3/cPtT7On8Bk528po78ByZasU0TXICX2NVtYPC3eothLzLYbCKXDtaDrcmwBflaTn3/NrQ
lRqaghIQFnRtp2E9/Ka6IUhdbjY2s6Jtv/gOlwqGKXDZZ0oPodgnLuyvCRQH/w7vI/WFcU/M/2lS
QVcGC6Jgs5FoQ3soUCmfpSns9xjBljaAcbLPV9TiV93pdphzVGhQC2t+QO30TYjGizp7wGN4sYk0
s5oGF/dwU+6jD51szed6Qf33lrn5d9fT/sdFpuWX103hsNDJQHa1GZKFp1SUMWQPUURuh3qhQzqV
KHSpBbx8Pc9wTWinz1+AfZZdE2ArIFzh/RfTmzkry/LCEz/2kC7jOa8WAYcydVrtEhNEcO7P+LJQ
KPZAPmNoxg9LePHq+qa5KXhXv9X1iH+7TDAeyMeqE3Xe9+DFOxPfFB3FX+CS6zZgvSZ2D9axbYel
HSEUrfOmuTYdryCfrrdKEFcCXb+ujtDGJOXpgOMtv2GNvIcg7gst3W9Gt1vJvJUd+MV1gQqssXA5
zpDr6HMBDQXPS2tavXFGr5H3zuiQ0K4qqhpurVE8oes66YIdzuc53KjzWCl745GHaGiGzvOo4V0G
FVu6fig75/gujzsi9/PYow9ibO8RjydyjDScJzc8csrdFCgM+8tswC+8UzGF2LGCqHJ2Q8F3qK3g
DbEtOtkcLzLhyMN2hOkClxFwWjlVVXtb25HDI4kd9FY6dE1JHr4XbBS0YpMuozQoIQyZq5nBEw+b
kvT8DlYOp8iDeDQureoIMBhF+XnU9VWxmE/QkPHtPPm19XsYb3TrdGKWLpOqG3dW0B+LDrfWvkbc
g7gYlmAc67jNJsyODalvCBk3IrQVfPuFdC1CWMwwoSZbZihshWEKWVeQx6gQd0iQjxfJxi+m00Wj
RABtdFkScgpDD6YZhoOobgPeK4r1a+nmGGZ6daDbrHT9citwYPeLTqoPjBdkw/rXWHgAHyvW9awL
2gzitft4Wt7mEckKs5VbWFGvX0AnLGQ4I9WDfCrErmhelFeNlBe+Ivj1c3MdlXyqaZuxfiwzxxb1
oa/YdFXEprtoiBOHQWf/PPpZYqH5v8MtBMldBaVQ/CoPyPvBLRdakAdeJTsh8qQECbFivuU6wXs4
h8jDeftcU6+H3WSu3TQHcPpXtIAm4iRk4XJd6Iq5/dygPv5xns2amj0Uw8CknEdUgJOOEJKp7RI+
72qEk35/nsHKPvzyuhaV4zAlZZuRxjw1fbA3Gj+JID+cJ/9n+/4rUbFfWAfjUTTHCjYQNuOeo+Qq
6KaHgbUHXPS7obfHPmR3juY/cD+k0E+8wXdtW9753VWcoxpqKQ/jQoMrWmtxnByS77si7C4DuF9r
15RdYDAZm6w0uTwGY9lksqVhpsuQX6ic0+5eRMdyQS3O267JpqX51g/NW4Kg2tfly8bj/5qUTlb3
gr5xMNvJOFg4BP282EEnuvxSxqF6tzRJP112iDIP5zAaKc9hIk6TLSr+I2zq674o3svKbURSKwjx
y+vYhCGVDi2l0Bjd51WqBlp8iI3eqmRYuWz75XUlGbuuyE8qoFUOvQdyuHGF/lzNtD80NYrSvGvZ
hkWdjobXsOKBvSeVsYuCrUB0e1eVuExNq6BlL4DJWDDoZ+syuSIxv9wuiZbYhSOE/MGsA7cvDdS+
pjwiw3h9HvQrZuUX2vFpziWEz7CPInL7oKbs3SiJ2i0wiOAyrVMP3y4qIdMwD2gvAmH7mwoH+J4Q
GW51bPxZe/WKLvxJdhGjxEaRAbOCLocW+kkHHMJUEpj9CI0qQTgdCyv7cQ/5d1xnlco59FVVvOg/
BSF0v8lGyF0bM/QUC8sh1eWgMlAf4iJBzWfZk2A+znIuhp0JK/uNtoy9nWSlb1xZTNCxZ+Y0WZKi
LFLclmz5UATQqvSo8mJx7woMBbH3lSzQsqctKsY72lOV7CjJ+2kjMF1ToOd3wiUayKmt/SBySKNN
SZ3czlHVXs0MV58usxHP9RSootMyTXWmq/C3Mcd7sL/HGrkLTdBzOnCZdS2K5jqjyyjThrDrYdGf
k2Hr8rTiFqgXXMA4nlYso63huaJrCPQPOaUPiYNajP3SDmi5iaFnm1+PCaouq5bgfpVgMCRhxKaw
hjdpFB1YPTdHMbTHKIKkuoYWqY0zYcUJUc8JFfC0F1BF62yQooRZoQgcEHE3suuO0TxuJW1XLMwv
FAywKE2tTJ1FjSnfQ806e8cLYb/aKkAbj7BrLLxHP5wnsSByqA+jpXW0d43V/MfI5KKvyhkaFzc8
0Yq8/Ll5UCshzBTB9BuY3VvXRxPaAKrcoGGgbBdOdnzaTGCtvRn4M/NEAe82uWrqDLc/cv4ZyqQP
eqE/ZEX3VsnrOuAHqAG612rrAW0l8eRXCCIrA3iS6Ops6dBVERR7mMWTYo13y6BTG7QH0gxHyy81
Cs8nxDSv+dLEyR4G48T6OmnG8NjzBEoRIjE1eMPA1+zCcw0h0I5KmNKyt72Rt7Yv2W4wfffQQIS9
P+/cVk5Y4nkHmKY2lKWDFFoch/oYlYHYlQhvXZzWqHtXj6mEB1NqgiKLHOVHVbpyVzXix2VL9+CP
Ixk0Tdzk+2Aqb3BOU9ZHG4JfWbdfMniaWDpC906+XxYGLVMQkQdDdn7VKzr1SwUdTBIsR5gyu69L
8lYV+ioZHlR12Wnoz8uDOkocg8nke1nNww30J1ZHW6In0VTHy1Z/ci0vwvA8jGFmLEXJ3hoYNsw7
OaYU4fDQoOL5PIc11+FPx4MJvCoPYQxO1nXqmZTDZ+hPvIeRCo/K0mOOond2KqYUunieW7llpyue
0a8eFFEs0ERMmTWONMepz+1NMIB3HKkIdpCI4RuOfsVL+bPykLOQQmpVCZM+6VtF2V0+5bcznQ8h
pdAtLm/B7pa0MxdNyoSR3R66bYUHM9I+2cN7FJqP3alzBWZN8uUy7/HnVfqFORRQqjs0rEsgER7d
iik8unD4/bwdrEHQQ7crrBWtgMCu0QY66U0HrrwJn84TX9GDX0c4QYfE0os+37cy/i2f4x2aPvPx
SwtvFbQjT5Mzu7LdKqZZ2YlfVbjAtKpx0rKE12uB97pw5keuumSr7m7FofhFhQmUe7O4DpM9Z/1C
Uh0UwxH1wQ8z5QtKz8trbQse7E3U5V080AR6zpfU1o9Bv5XvXKmJ5P6IOxYtAQxqE0UWOESnt21d
tfRrHFkoEoH6CXVTuBCqehGMModRv4vFyeOsVT8cYmjM1V+LZVYs0xCgq8tyDf78O4uGAKbD6NN1
TWlxXU9dWx6ruJFod5ksvUO9K0sd8aCI9yZZUHjD687ZI0xRhy718wxWAn6/ylDp2ixTLs3B9DAQ
s86nhzJv7+tcPYd4Ppphq4VzxWli73CHkDGkkrbAR1YFxFj4rq5El44GXbUs3ihMX2PiuQEZT2zM
NTCZzFynqA3uyVJeuyX4lATjxqn5Oo/YrzVkhYHpLAaaASqyHLtueRjF9DmOwmd4TPnjvE5eB1Ds
lxv2NdQrYJrrw0SKNuUIwUQby/DxMuonS3jhhgV3NWaIwjAYaNBN+1qJ+yam+rfz1F93MLE/Eo/B
UxsNokEfNB67tIxyqEnTSbArOPs/zr5kOW5c2/aLGEE0JMEpyWyVmZIlW5I9YVhuAJBg3wDg17+l
MzpX77gcUbOKCkupJNHsvfZq/iaD+tPjef/o//oCerSkw2x63pVwPfjS6xGOXnG4JX+pud77qP8f
IUk+Mg23SNlhXlYYLY9YoMsEd/owulItjm3Pj60ULyr5m3jwT1/lw/aG/JttTETTTqek2Udh2+bA
d//mT/i/93by0f6OWco2U8/TbujkLiLRjTNQrdNp+L0Q6NUq//Of3/mfPufD3l7sAMO4xE+7kphH
HcuHJlF3ph/u+eSf3gVBf7lY/vQ5H7Z3VC9xwAa8GUvI/YgRMsZQj8YGdZa0ZeH138hBf3grH3mJ
wdY3Q2kYfKagZSpS6PlyHPJ/81z7ww75yMHbID0p9TpOu6Snb9rwT7C6+N318i9V45/++PeH91+7
QzWq6bqeL7soVUkWUA7u/lZ2u39+1X84/T6S8Aypwbns0J515bKonR8XDx/WpdHN3sfUjHs+9vRv
Vvd/eN8fKXnlykpOKnwVBDb8gHv/FXjh60ojCfRBnHr3N6XDn77U+6P8r0fWqzKZ5xifEzQA1YbI
3lzvlrxW4ihApft3T+7DVq8rHCxio+NO9G7M5mrFBTUOayZm+jA15V9G2H9aXPT/fpUUXg9zE0Xj
bq2Xdd8oQTMdJOYiPbH/bheKD7vdNyyOt9GOOwIsIINA4cfGq0sj1b2N1zcydH9zx/vT6/+w3TfV
8K0D0rVLUzNkddCfmzqsoBKS98lsfrfD+pcG/g/v/yNXr018Miei7He6XlXW80hm1da32RivYza6
8C975w878yNbr+TcjKSK8THzoHIja4I5SLXk/7y+/tN+/o976yNPbyF+K5dRAjkBpzipMe30bF/L
zuYwCL5YC9V4HbiXiLsT5My3VPNhDwPUMSNDtJ8jF/679fGR01cyfNQC1vhODfPvmAkNO7v+SQ7k
2sMiMB7+naofiNP/XeoYWWAw4NN0z4MoS9fgR2faz//8LP9QAnz0y6sJJWXNhmQ/xEuT88G2WWqj
8lhOzXK3bnJ5BmOcHuqmVPt//sQ/rY0PpwMx4DpucLHbb6UzUT4RMnd3MTGt+MvB8KcP+HAw9JNY
0Kv06V4oseumITPhvywokw8HAqzshtlT/OqV0sOm5yJNpuLfPZYPRwDCYXSpkgGP5d3yS0hIk5ph
Sf6yUv9wWH7k88F+ByIS3/HCQS0QtfWlHfuHME7+siP/8Mg/UvnCCEQx1jS8gD/H3kX0nrf60z8/
l/8AgP9js390x4vgmqVG1nIYoYtf1NjoJ7zrl/NSluljN62vzFZfl368xePmD06ty3Fo5/qxhlnS
bmlUmDnfdRkxy5obxj+xNKZZldZ/80/8w4n6kQXY9mSozNIlGK201asZDOaCG9nAUCbDmcNQ5Omf
n8OfPufDGaCDuufClvG+6YPpCFmvb3/RBcqdo2w2q64zKp+/gQ+U/qdw/l9P/f1N/1ehkHhatms1
mJ2anG1dTow2tN91EYRVUzaaiGCVqgHSvVyNNE14xurNo4sIe15ScBHnAakanelj1ex7Iqu6ycxW
I1hLlT4ovzNmQc1Ek1/NdeZHaUcLTYlm5C5VyKu6rVNpSXxy8H0YwAuMbG++cIiLus8daUeXrRTp
SfArCuFLyqomHPp8JfPg+r3fepLIwg+rRWQdTzs0GqXugswlojqzms05+AD9lwhJe5kx2/h17Db+
G3EFUHgn2xAkd3DobsqsQqu7ZWnrSHeGHZk69zYOr75NZ0hRvXZo+pq0CaZDG5Vcf7OC9MG5bSsu
lyzpRn0GBSs+2JabwxKq8Z5OHtPEWoN7vwlVI7SiYXCs7RLf7IHuLjKvnJX7KNh4prk+GZVurwpC
gJeWjLlwcm/i9tSJMXrfYinLjbbOFWXJmjyuQpGJJcxNzHeMpvoE46v1INqJ7kFLLeo++tmP/qKg
EMpJ4q7MDvuog+SgXO3Br+Yw0HQownUkuRZJPoUVRpLePKqY5uPwk053VWeHrHNTzmGejAy4OzjD
IhVhnw7qMA3m7PwjnG3yllRQk9w1HW5cOFKrOtMLDC1th5trgXV3/Y1v5lDTcMqXacmm6U3izmlG
/NQw30+1e3PBj4lUPxHn8MaCN4i+rttAb070WV+3ubfhfjZ4VjAOW8BJ6r+t6090lLF7tPRp9OMZ
fkrZOOqTpnhi/ZjF/suU9oXapotYn61UNzzzK0Qjp8g1b2G6RjgdHJax11mktweoV4bsnTafzyBs
ONPpR/B84fBVxt3RpRAiu2CdbmSeeS5Y2d0UleUBBGxmsrg244n3EfMF1iY0zLJCVQoQcpx9igc/
9YXfhvSGRxtmFrcevgPGs13HfzBPT1PrnqpqibPRRudmNJfS8zyp2G1VZh96caXl+nVc5ZdKrb9Y
HBlYZvcFFIM19LgWotxAvVAvPy/z9BBtWHLDwDKBIdmuNeqt26LvpA1eeMrfpi29mkTnnbd3S+gK
FdAvlsXwfm58HoYq3CWDehUwzIEkuqjpfDO6xrpo1h+BraYMyWs7roeiXJ4aIVE/7mUP36c1grbd
s2Oop+c6JU9Ms4L3Y5L5rn9kG4xsU3eN6AuJkz2yHHauii4tTTBI4umX1ZprGppHiUgSX7mLScQu
6lekbAxF0NQYOJxYnO4DQm5GNT0ctqfbBPshNY2FVOGpC6sjDC12ehFHS9wBbiV3UrXZUJG7Qc73
EArJotPdblHyhCDFXNf6K7ZbtpnyXkr/UoZTgRy9fCNf6y15SKCLC+IkA58u97jvcQwqUN5a/HeV
pjcNa7lQrBlp73nXHecNMYl1vwOP82GZgv0S9zeJJaX7dofQn51FUAWZ0qoYF3Mv9XhczK8k/kFZ
/QyZ1KHVAuIcVI11dKbllMcjf6FaoaNVGWtOfaqfqKCnsEfajURbhVCEA+VjVUCpeKEs3NfIE8oG
jXcqRmsuk41UtlDx5km1F2v3wBYoDvuVvcEqGyCbeKN9f9veszTcepakvfhU70cEFGRN2Nr3E+Mz
grgeWrsdZUmfGoerVHmIEKFNRTlPU7njYfKA2wieMDZiWceifh8vYXlMFJJE0xhajX5qEEZgNiyK
pVjROxcuXnUmZ/jLLQHnX7e6bJ8QGZf2WTu7rdwtC20/LxXmTRmoNMnDTAV/qpxLRZbYdnlqifbF
oDq8/no0+awhEvflz8iPY97CbiTO8W+X7mltfPDAyQLfZD0gbfVQBQT7ugknqOOVqJOD5ky98AZx
IjmN0g6hBcokQxZHeDjPqUXWaQZRAnzEdcWTBor6vpwzweblM1/X9rlJJTxuCceRWmywU+uyVfXN
Lp5CbXLBmZvvrPb+oYQ1Ltv5Enyic9TF5rvAUPxVJEDZunFkN87n4Epdx/PSGpRQ6+Bku5/cMga7
hqQoZ6KN1IcmiObvLAAbPPFcf4WNL5U5CNvda9eq5V31z3O1bu2ltFrkvmnak6L4jQV1JmxPzAxL
VDQlHE5PceXX9NI3Jal/xUE0LY+kaviTkyl4KNQEhmVzH/TfJ6fc97Kk7bOo5xDHRM9PDnPTKwz9
vNv1uPV/edOvpBimPr1C0/ZaN2lwNycIAdzN0xBhi61BuhRmEtCPgovFzpx00b6cl3bcV2ZOcZYv
9FlTUX3dStVh2xhcmE/zNHWnOSH6adyi8IeUMKBA4pNy7LI26fBbNhMLd4iEWr5CCeZ+6aYai9LK
uthMy05jEPNbrR39yejKe7xH1h0lCf1N4y1+q0Fbgm3cPN5W5Ij+KEM784etNelhwsX00PB4eIRn
R/vkm2E48iUdsQd5LNp87mJgfKUbw2PZOXHalCTZyhvxovGrsEuTEXUDn7YvE3gX1VnQODkN1aAL
5OJ8Gwmf2l3tmI4fu3TUX98j1mgWAhf9MQd02U9LOtHTPCHP4X6B07ArzIqLePC8w/7iaYuLyXNz
H7tu2gVIMfukbGRfG0HcFz6FyeduJs0ZE4Bor9vWHvpZ6T0cuOkxjRJ/w4G5fo/XYJwQRWGrop5n
ceQSf5P34K+9ByLnaSqCT5GHqMTHFQi9CZ4izo8g8DmuufXL6EhbFV3loxWjoCRll02tTZTruTO/
3TY0D1E1eXijr+qutTZ5TZhs8kApkoNmyXIbkRafMuAGQweoBNJCawa3rF+xwmwG551okYxzsMMw
jjctOHH51o44er0zrH+ES4gLcqjnhrfFrSJkGWpH8Toi0+XF6DJU1wFhxRLyYmS7vbXwpdYFQhBJ
kotQkvVUO02jnWtR4JSZ2xAscnRQZvvdBpVWkG2r6x8i8H+njLgE9uJ5HMEpbA+bdExbVR1KmSW9
suVvg4Vqgyw0mxkkfCeTZV12vukBSZ4Mt/My7noKN5bGWJCwUoUD4kHDcqzJ67jGJZaKJm91OzVj
jqC7YFrzoQ/UknEeUYqCt2WPuqroN8PkUwSXoHyWQ1Ci4RzKJ+RarWsWsTLG2WeT5rNzVLYoAIWU
w0mWYOhusYpQwJSBJrsk8nOQhyixzR1r2dgXC07Bx3aUpb7Yqo7y1G1u3Dfe9T5HxHAYfEfBs/hr
2MiUHlIRJbTKoTFq+UUkNl1+LQtSE59sHUCAYck0p+eWWjJyUItgobzlK21SfafNUiefOo7Q3i7r
u3mZLnal/oozRvg91RUxO6ubID0Pi42CAumSLHy0g7JwMsPD/toDShSoEekaImptZl8QHFCtuayZ
Bbpvmuq7dO+tnE2oSA+8Gdou0/DM2rKwpe1LWKO0KJwqkS3dGLdFxcRRMDYhCnnQM1ud3lJ41vmi
Lftou1Yj8rYe1oq7Zcc9QrF3AmGBDs/cSberG+GTQlk21se2hMdv4btW/4IMZamOfUOq4QXvxsM7
BnmSS860Cpe8xIZf83CwMFKT4YQCi4AhCR4tgidrzDjXuNxD7ptMOaTLHbvjdBbm2EJ4shSIZ9v4
DdmOyZuZWhw+va9Ut2v7OGiytYeIfm/tukbnYLKAvqKwm3kB90pRHaexW4YiGpSLM00JniHlavsW
wAHNZJXbVLmLNjr/lpaRFMk6UWx+bJ3SL9hYUVcMcNa+FxOrNsDPdmpzWMo0NFshAmtPy7wkYS5s
avocGX+J2kPr3fkrFDmTyPGjAf8x17ztc4g20Hn3fFy/IAcTR3cJm6K3refu9yzY9jJqYuZ8SSsY
8eHFiPaIkCef5ImvAjgw1HS7QfIh9zMks1PRryIR+0r1RhXbu71BhrVBlkMqgyUuuqYuwzsGjXCU
QbGGfyMRKqFPAdyXxp1Lez8UixMImcFvtPWeIY4EVMgJG4+c5TBW7GcUzWhsIoxWv5WNtugKahb8
rOKB+UMfN2tw5BppjUfEJbhPpY7rvjCG6vrdUp+GWdJQHG8yrsqmoLEe+D2xdXkj3RqcwfXafqSG
wPLBQiK9wvghzUEzRH0HQ3xhz1JYTvfDTMoog48qe8V5IZt9SWMD/2Ij1ls3zMl3j7KozRRepioc
KfmvNnFmu0ndD8sx4TH9PCIoQuw04Yjpss7M6w1X0FZmbdrFrvBk6eI8QJlRHtXUSJDayJLQ3Ms1
edvGWkRQ6qshgbA+nepM4C3So2IBCi0JafR6qWiVkLuV1VixzvC6328jwebsjCi7+yVKsRzaVQ6u
kGVAux1hoGnug96HAg0Rfjc6iA7U6WrDkQ4vtXKANfNa0zLDCCT1N+XCccohGOPbzk/xvOE2bcz0
CNf3dcvrLVwlqJkhbfZMspIUCQhdSZYEwfai6yktC9ylMxj9XJDn91X5AGESvNaroOnJGXha/P29
1KQZCnI+Z5MOy+WIIw7kZaXSqs9TUfegdHNKaAblUVxnWxmR8lD7sU8OyZSCJWAtHlwWVX55m0wz
zcVsYf1ZzFMLX4yJNaDixwZF17mu1BQWHNfPUiSxGucLti6bz3KBCBGEyBDheBFupddEONXmHA0l
Olealg/drEJ1bt/NVrOkBHMyn1o+/d7GpYyBYyT9VYwlQfXpJixZEysHk9oEA6s8TLiH47ts07eF
zb7NOHq45lSXsk12G/a7yXmlkwekgs7P3r2LwwOztC826KNPtQcPSgVBNWcDsVEC+ESGwH5glB6f
Wo0qCa0vsppw1ggiPwPxMxpEt3oD9YDJeNPXJGiDKfMIpB9LwENz4tqMbP37OWDjUm91VpXm/ZS2
y8qiZ0RnjoBRkBle149VuEwEAdL9+925BMMcLvsI72b+HgYzrVw2Wz7Ud9ZNUpnMIX86PcI1BOCu
gxuHvEW4mM1jKhcbXy3q7+nTZHB4ntZ5s+lhaeBnXQyWlv7CkF/7ACtbOX3u+r7EpMVjcs9gK4Mq
74fSvInvtrUT4Q2401juWx7Q4TzIhRuBXt3MtsqsY4L/mLTU5p4wGAWcHFip47Wz8awhs0ewKtql
1GeDHVNyIiyd5vtoGoL2O9VOmEts2ARoq1WNUT97O47dZQFtxEAe4OX2XAakmj+ZuonUDdrVip3g
PhSb6zJSBG3v6iU0McQsASt/bQgKcmhqx3V5W5EArlGDCsKrs6pm3x97MIeozKBYWMPd1MMpJlux
MuhTiyLkzGjDhhOm5Cu9hr1Gfnc+kqBGiQe9hC2GJoETGiJW7C/gEg2uXSSRzn3WQCjPcHlran7U
tOnsJ94LRL9KoQ15ijCfCX+HEEDQUxRwgADziO34JgUo3VWW1F2t31bw1ANUUGyonc2nIeHjiQRr
uL3B/FrNp7JXM71fxhCBvagU0mvSze1pwphlvaBHiNU3tnZx+RKOEZtfQudB4cb5Gyx46JbJDYBa
v/Xwq81UTLYxzIa2DZp7kcyb+xkgApOBlENaqEaLMm11ZPLEyiW+02VL/Vs9Jr08z0xAoQKE17Yp
PIFUU+9bo6X4Fc1LST6jhS7dfkWtvT6EJBDB53CiojwPjanGa6qjeivg4en6RxO4qDP4uyzCY7Ip
huZEXKsNV6nN7JgIwNtptVggSlOKyw6HexCe5nIKG4PpbCjiLhMo41bAKUgRRNPBgIvyo4xs3B4d
GNa8iJUK6qINRV++mbi3ADqYC5vh1qtB0TRDlojrwRaNZxxroFX15C4imq/3pA1hLr/1SqSfXU/h
uCZIrebPAesEll0SBiBk6lhVcDeO2AbUFMf/dtebrgscoL1oNJglyrrCP4j4NF5nPeJveWfA1vI6
INK5/4zKlMo+4xXO0DPM9qoZFI32/SSQI8DQOEfaZsx2Y1jSPkfgyVK/VDUIIs2lXcrRp0BasPCe
e2w09jxWo2dA9ELc3ixPDOvCF9iIecMKOScRjsQkXg0kOGHYA9UM1rFZD7XDbvgahaNd9zSpDclR
yk3uHHRyrlAOyeWSol62c8ZI26xnYazQXd7EDYbKFlS8uWCCkOUYTH6L7jB/TqIvIUv7JcwWU5L1
Ed7I1dzkdoI9zYUHw3v4IsbssX+pLUptmzelqTCmZr4GJozykIOaMmMKdj/QuGRXxWRqHwitfAW2
UjQpA7YPg9/blK1tX8t9iuonOUBkJmeUKGaaq33UtLpqcVcRDaRDdE0bdUC169Fe1t6lMkNJzfQu
rMgQ4ovNc7qD3G1pMvsOYiAWIZ76XeTSuT8abgLgq2yYJYqkHmYe6h0XXSf0dxmVnaaftN366W6d
45CfYT6xbAAK2gFVRFunTTGXkWZnEBLZuAOsMP4st4aJM0rUJrwh/Gma9/XWuQr3ODyLz2W/qaGQ
FJzGJzJRyd58EwUiRxkW0GOve80vfaBdgHQRT/2JplENkESTKr0f2MIAtc3BEu0YY7IgA2FHuJrN
9X7DNoDBPWbbGD03pFdHqaN1yCMaqhhSvKnW1y6M5mcQLtBXlhUQj6JR0xDvPebV5a6RtsNubxb0
laBccZsFVdxsn0rEg5Md0rwFRhZAMIbd4kuWfoY0dTGnZAuV/jlvHHhDzaHJzUps0flrCGkJ3XdV
VM6PdYIm4EtCSLw9KbJFZC9XNM4nRKGBjgE5Ro+8k5azBpU9n0GzD10MMBU+FgFu+TENczatfn4G
6LQtN+jaGClUG+pyH3OzXhrh3HRicL6ajhpayuYeQNd432kv651xEUn3k4T32x4XXDAVfIVTC4LJ
NxHm04RSWGW2M6ktklGE68926eN6h4nwOy0Fc5QZLZyIxt8AoupqjyJmdhmEbqy9K2ccfkfVJpZc
uyoQ4bPrgjR5rqM6PfFuAU4KUE3ukkSCzeI8k/wicY2UeT22Oikq10WQyLlxq4APIOXsiOFQ0Gaw
LWra26hjTGbWLohxXo+LA46IM+MltjAdfxYWh+MrDDDRvGZdIhR8NtA91UXvGTSXKjX81Wjc8bsS
fmCPC1xGUG+kZrWfwDGvu+cw0dEzmhb0IE7NwDLTkhl6s0Mjy9/IAnLlF5HK9fuoYayxW5y0zWHB
nOmd/47pyt3skhi49BoLeSkXlNl3dSTEhDKh7NovLm6Ac3DaSPolttL3PEtrX/IoM5oFy/daedEd
NenrEjL0UNkjB6r/e2Ge4cwjWz2VGaT7bsQIBQzVMQOzxtwvqRqvC34Wd4dhHhwOxJI/2DYGdm/g
KfcoxwajlrVcTq2fk1uIdLFPlCyWfaKWYiRAo1UAC43HqD5DG7sNgF0S9mtK1XYQfkkvTSiibzGa
5X20Or/nCqAdfD8BC1MFqHZOJ4wOCJzJhghMfZ7a6YLJAbxW/FhfBRRa+xj/r5jjTRT95CFPtgaJ
lRsDg62tRnawDUuBUhL3qQO/4OvCWQLmQdDiB8EfuimTGgDHS/O5LT1UFdC2/uLSqTPtMXLqy+1r
6fy6Q5RVa7O4T8tfbBH6m3ZxvQ+SYc6BCm37QGl6iRVglmzDzXutRcpmzIaaiO1hj7TeBTxkp7al
MOHyA0f8HYSuuUzT8jteZ/CtKtOmBEqDDGLbwl3a0Q2EGdWT8XekWiQsR9vSfgmXubnvzOgOYRKj
pVIdb9w+oONa4WKQPc2l6DBx4xIRraA5c79Lkyg8g6MdnUK66iPVrD+oeDCQOEbNaz9sdq9tOuwq
jV+TVVD3aqDDnFUYZrntFPhG1Dkg5BDOn7K+NZOZLyntqmPVLoBa4Nw37GzHhoKjcpEZWTbEcPcN
2oFlnIL7qK/Dawj9wAXwJ9l5+g6SzRt54nOjd7hWxF1DCQHgVbH0Z9XEaFyjwYd7QppyjyyX+CnZ
tL6v+xg2kpQmRcNcnWR8ttt5TIjbaWPSHaLzWvhvyojlc9vGVRYODL693RymOF5XX8MHIWUcaRtT
dfBdA0XairXzNskZgkINOC5Fm5alMEncdZICFCydeESTHL2qSuq0wJFgTJ7GnDxEgRIiI2uf/NAB
zOEwel7R1XljTDbWTmToJ1qkPaWrKmqQh57mdAxX6Cdo9z1ggb9iflB+SysXnapN9A8NTPKW3QDT
xKIeZlRxFcLrXRyEV4S0tb+pfJ9ldXjPrre4NQUKZ7SdEVtPwPgpGFUWUASmtgwW91m/yA2QVA/3
drgRmeWGyxuhjkRQeazInHzmJqR3rNET9NZG+jwhqyDvAZnAIds6Ap3VQJgI5WNkixUZTZdRJck3
L3x/LSuM0VTdJGcaeNJlJYr0SwmS387DsO4sN7gkw7EUM1gDz7m87rS8rjQhXwHJo+kcu0T+FEZW
ecpCX8zoOu4CQaYHgY7lVfEO9vYBPB4YRDiaGV/EFXkXNwHt41kDq/5LjSDENfPthNKFM1jgB2Gi
vlRBx269FvWQjSpeL2WSYPQ/tCtmC7jyP5WMBE8hs8m0B3KAySls+geMc4ydj8De3sFW2qGUmbrx
OqEOO85NbW9rzLpPtoo00GBMSQmFeY3t9ZXPINcvuAsOEXERKId6uwu2DdwloLw0wiqsjEYF3LEK
EL4h+0pE1ZqNyErJG983d5MYl/06uVc5gTccAoxBt9CLUwx59sO2ye/Srw4UMwX/7mqIDoGFNr62
Ys1BRph3C+Z5hzDlS97jfr1Uq8HYdwueZ3zMrkanEiIx6m1D0f3SgTqUawiBoScsmz2JNiSuQqmS
jWKKj3CtxGg7MAgRDpXvDoNJxr2BCPa2rLYBqDKVZxI59tuVbXCDNPa91h1j++btHJ6Xtgoxvhfh
Lq03dRiXlb67siwPXlTrLU5SCkyn4cJkYVe1RRyFJEPnyYopabqLS7r4edCYb0OZMx4Bf6dHmIiO
D3G7uVMapBq92tagGErnp04hHHaUKyZGm1b+V8LSZZ+Cn5570dq8RXeaJwuSLyKWQnU+yuAYrEOf
hUlKcMWGCiCY736TbnkSyKmHip50ewW0/rM0XmSDBKKb4SAsMTQHmkpH+Uhx0e5Diml6tiWK6BsA
vAEpK2HVqWsLM6zoAVf32O/hYfo6oSeWvoAdnpoPfGw0vvS6VRD4ZvWiuGQ7VFIRPTlAd/FrFFZ+
O8g49MstrLkLXp0JfLefq3gdCGatpZOPXTK78sqQnoT+HqJauZ5WnPezKTAT9CGSYDtAUMXWgmAJ
4FTyxDYZ9N4tzJ+TSNY/RY/y8hsMYFe/GyMx4eRT1OMVCQ3mggY2cRiTBQAGinYkgF7QyDh9xTNo
6G6bEM/KQckocQZn45TM5E44+Px94QxI0tm7wKHCH9Y20kc/tKr6FAdcVr+Rng4dYhi3I9K2Zkym
zA90TWZiGfFjt2KFa/iXrvMwkCVTEkYvX0C1MPGhBJ1kO1HI8JM7Ba+JCpf/NLH6WialqD5voef9
r0QtsvnF07UzOiMpdtnvlq+sQRVvkeCyT9cxpoWbt5AhwYIiqcQOvu8q8AfW2hxjWCz/P87OpDlu
5ArCf8UxZ8PGvjjsOQCNZpPNVdxGuiAkksZWQAEobIVf74+aCYeHHlIOU7o02Y3GWlUvM1/mcGir
qquxKgSKrBJZMqjLhGxotR1mKpnmptiyZT2Rkbm06ALsIjsOedEVn/HUHdynBTlrZwBOC5l9alWJ
DixuWxG6lGDFEhivxXYdPDWwAOt0YCmlR6RGJk7dV6a7wqGBNJurPCgiADpQPJFNXwx7HesL7tW6
P2yEA2iU6x1kpAe6Gj1HnYMPbtPa3M8NuQ154nheaz70hmrg/7SlJwNTBLnWX8GweiYDko1ws+8D
nNkPttv346nFRN7dR+tAOu6ZMF0KTiWmrj3lChDmsrMqY3UkXUlS9s8Y2KnmbM1YZJaxQa3UPzqi
bYJzT1rG9oBzqDVc2HIdRcqNwWVNUIty94cRL9qddCm9dhUOA8uZb66Vey8Hi5EprnNPWC9mtA3l
PU+inG9pHntNFc8z3xvObCw5UB/4xHiBSoc6Cj4bM1PXF4yD3eYOXxVtMbEOUk0PoQk0jX4FzDM1
Au7qa0viNHzjOaXqmpgFfqYBCcx2FBeUtL1xlPhT6cstj4Q+D9ZO9HjjhVM3qteSldQfR5hT/mBv
WavSNjPrlgF+NuxrF4JGBjGcpxMcsdbR3X5x8KLfF5KoWcbnrvani973pCdi1rmbwcJEZHV5WqnR
10/zDK7L+jxQq3VnqFxOh8JdAiTK8G3+tid/Ps8O2m0DYFAI9826x2oxatGdeG59JgtnneGEp3G5
j0JTNF1iRL6Zt6eNWlgtlrWOxrOsdAIndjYPy5CCyqO7gZ7pAEP7sMkcWD4PcqIHWKyr1k4VvWHK
uxSTuUTLBZcO0d1eFbiNu3svKMX6aDQa45G4sEZHTnvAqBn8Qm6+VX8pCiUqdLRzzrNZ6SzPr1hX
q0UjNHF81jhuDf4XIBGTkfbTaNhynlUPhIWSEzGF7BC9FF2FNxXQ0xReiSgCVD9FRtdBFmxOFQxq
l8/RZOoYsj2cqnQJ3Cm8w82kaUAlBneqHzoDJdM1WMrQ31RDlYUvgMbRfOvVpePdFxYPyF2np9r6
FJoU+DzPBaZk33Boz9YVjWajgLgwyFhDZ2d6/hgel25e8/O6qEP/3HK3sr8xuwn/TCHXYkmFUKKH
ljfNzEzqtpvUUZehri4CG/nJTeZ1y/qop66o4H+VC8U9NSGMshpxJ2g8M5jvNkFzWPIq4PbOi8Ld
zOfQeu1XOQDV1wEEf6YHRB3CAJUL7ak79E7puXubYN7lW6QWt4KaijL32Gf1jOijc5S3zKdIVfKI
Qdg3vSweSX6ygE4hpYdk6FS+JoOgAAbA29CTnSG8cKcLTehWm1+1tJrU58obpvChHwBfYndttEz7
aRyXFI/Stk3bWpvn6CHMT5UoEMlEA8KvXWkZ65fGGNEbrQvoe9ouVEyZseW3Dow7AWG6gSuOyk9G
zlgDAmvbCwxOa1EMoh1sj68YyakLXKbxjJ3c+mThPu/jaaSB8QwkzBFHbYfANuPcOxJINbPHna8X
xIWr3RkA4iL3PKYIwLHrwQbzvIyA/aPrrgGfmBNXERiRX1FABUNzjrOkr4kO60y9mQkBY75xby/5
+q0T3Gd+Uozo7C4NeAa0NNss5A591JLFRlBST9mv96lIZmK2zkNZbNQXgsKeoOHKRILiE72QmBHH
SGnR+s+ziHLzBqjTLfYCQddjJDDiuMoBlSX1bdQtO9QbLVq/QbNUJCvKtkfiRdD31HGz5Y11neWu
v160bTu6p22xlRSr0HZgv0rTBObqaJnvcsvpvpCcKa+jPGKfqGqC5bLagjY8OPTxlZeoSoM6mVt2
52RzmNFP6irovfPa53hiSmTlfypay9Bx1mzKPLjMMPBjpaKeycWy/NIZbiYu6j6zHgdBsZnklTL6
uLKzyb6yKKzEeT8UbnstTSeoTnCtGJBiNGgVLrOocLJkUKXsnmsSSQCSV4y9DrIva7qv+54aCK65
EyfBmHv+tbEiLk28PlhQNsEtyW4nPZJakrHxGqxlWMAzCNeef+t2gfkZir+pgGc6P4vFUk+40Bm0
AcVTm1vlbvD6jArD3/StG8peJlvgbHWSgfr5seYuNU91lHmPVeBi+Fa4BpCnQWeAsfcYzPFt7a35
lzZQIE5Fh9goiH2li7qOVVN59skkV7nc1vh85jGVJ2b3LvOmsS9olA9uvDYsjBMWqDyv5Vplc7qV
Tvlt29a1S0G1MzP2MFcwD60Yu+2JYavKEt/liNNhLEAJMO217DSvCeW+yKTi94bum8++HlWdZh7P
jTAbpBHIjk2kkLCRaBULNW2JCRcTpUwba7AjUGP6p5/1o3vBVaspPKqqeHaFRYYH2sG8Tyrfq+1k
GWbdJgxvGYBIA+qXUGAP1ZmOvCn457r09nHyi4B5pS1hTJBia/8mnBkNd7272MUuhI6Zj97qr/lO
SeCmVOrSPbokQEGt1nJjduzV65rbMX2JLsau+zAR7dYs7DAI/mlgCX+NA+opdcfEY1e7YvCFe9UN
6JASwaoIvrvhAyaCGeXcbYpKKmnsZskPnjTMb6GQ6jNzgWPtXYFWM8EkfKpTZ8y747Si+93J0VhF
AnUTXSGga4x4sbbqZeoC2cR10enomoesfCb+j7In8BX2vckIg0Jd1IQkERVRQNqAnJWJjA7Ex/zk
NFgUAMx6PZpbazAJ5xULjm/nk+1rk84Ehr/U3bL5db0+Wu6uLCP1hRmnqvYgyC7COt+wn4uVwEYk
oYvyq5NpBIpPMPiKxHEg3QWzo4XWhl2eT4adNsuyDaRn6OGIu84sT63c0N+G1mUZoHVPLUYJvhVX
jPEiP5NWwdS2WHYT7FApVBMLKwh67pegXa8MtIJh0hg1OjnyheeLiJLJb3ZDUQ3blyKo3Rvcz4sX
P18B2uKeRr4msWjgGr9OcKXhq6+kN8UriWv0h04zijUigPLhbq4j0z/LAN6hy7bGSIZKBTNKmNDx
b+n9hIKUji5awhz7cOvWz8bKvBQbkcyUjnO/VNn52qm+e1h7+kNDVstOtKRWA5q8UrTC+sJ3j0Dd
VewxGUPZuxkL4TZGSz7Rl7mYk+yjtF1dv/isvEnThzUtxAETWFTPowBbyRG8ZUQ9BrNh7QanqGe9
+zOm+BHUdRCeoJAXCVPEhhjWDtCv5GR392N/1zrEBHl6mm5GbZhpU5RQ1srwUlJy0Nez1EGPZHTX
i+6+mGs47iFmpk9m7UdHcN3585LZ0bVYTKuOzW0GxanNOs0739r3va0PCIHam03gkjsrtO9mYJlx
ZUReUoUaUHeE5kCrZpxPCFRu/GH0EkMhlimrBtpedpNDCkf3it9K9wAY1T3Qhd7dznMz74p8Co49
KxsnFs6YgfQCfohlXcDCy+EBedVEitCiyBP0m4Mzd9m9u+X5PjStFjmwq+OZqiUeBw+0Q7rF2Raw
2LDyTj4IM+ofc6Ne497NrQ5+TWrkug44qXTqRMyWkawhuFrgFX6isnpAE71ebDTVxJTE2y4D8Lt2
Cea461Fz4vlYZoc/D1souqx1xAEJm0sScp7lTtwPvYe6M6oYWT5uc/me8PlHjSdv2sN8Ft6NbJVI
x31+oKvvEO3tBzO1/cRN7RMW6bEb05B5Uu/mJDvax/BAW1/qPnUJQxLG2z/Yj/capt40kXnCmVc4
EZFm+S9mOMSyOM7o+D4+yPcaGP03fWSSdI8oK4NgbzEwpj6CUyJCZYnGk3DjuICUe0Trap2GVj+l
LPPquGvpNV6wrJRxgBz5MNZIvqigfrxPr41mf3Ti3zSgkRNBgrqmEzBaBlvtxRi6xbVkRgd3tam5
YgDpzTtgDY+f8DzmwZQgaSiiBBJYTj84M+90Ob31pc7XbVxLYwj21JRkR5cFq64gQ+zNAso9oCz1
w9OPr8E7F/itO/XQK61cx/H3G6BecIuNZtXsrAaZwqEuJfTpx1/zTmfcW5tqSPY+ahbb20Mo2CiF
rDbtYTb/z4N4PY3/0aXVDd6scKT09nPQoFiwgALyJg66H4UMvHeS3jSdjX3eN12e4V8EJhHTIXOa
RdUlhrM/8ot77/S8aTMbaf5E6uh7+9DtU3pA0VbTVv2Dm+m9jb8ZSrIVbtWj2N/nCAXicJgZIQsg
2//vyr4ZIey6c9Dtcm7srfHjYAQeVZu8/Xjj7zSEe28GCH+wmoWuf26bAtT2WbXl6+LM11iwwhrQ
+9JNNI2DWY1ed/nxV753tt48/0WYA5aRC7UHMPYe3X5Ql5UF5frx1r/blP3B8PLWpTqotOPPOnf3
TRixKlBR+8peWvx70Sy5H1zZRvymda3WPym76q7awIJNleX3gyyz/pYFUZEOWjyvs1Mg4RuDDazo
+9799Wn9W/4ir3/dD/Xz33n9JDs9lDmU7u9f/nwnG/7//fUz/37Pm7ecvMjLr82Levum332G7f72
vbuv49ffvUjbsRz1zfQy6E8vahLjx3/9dQ85gNcNXdOrMt4h832zif/pTd+P490N/enl+0bvdPfy
j5+eoOXH1/3LUTD/9NufTp//8ZNl8Rz99b+29P1oPtqC+MoeT89s2rb/4ng2tTvY/68/P/1JyBZ3
ze9/DqK/IPXxQ8+3zO8/jDp833+czPfOwf/0pt+uy5N4+Tr8/C8AAAD//w==</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5" Type="http://schemas.openxmlformats.org/officeDocument/2006/relationships/image" Target="../media/image4.sv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10</xdr:col>
      <xdr:colOff>533401</xdr:colOff>
      <xdr:row>16</xdr:row>
      <xdr:rowOff>21771</xdr:rowOff>
    </xdr:from>
    <xdr:to>
      <xdr:col>10</xdr:col>
      <xdr:colOff>669473</xdr:colOff>
      <xdr:row>16</xdr:row>
      <xdr:rowOff>157843</xdr:rowOff>
    </xdr:to>
    <xdr:pic>
      <xdr:nvPicPr>
        <xdr:cNvPr id="3" name="Graphic 2" descr="Play">
          <a:extLst>
            <a:ext uri="{FF2B5EF4-FFF2-40B4-BE49-F238E27FC236}">
              <a16:creationId xmlns:a16="http://schemas.microsoft.com/office/drawing/2014/main" id="{AFD3FF2B-EB47-F8A0-08FA-E7E2C4993A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9780815" y="3037114"/>
          <a:ext cx="136072" cy="136072"/>
        </a:xfrm>
        <a:prstGeom prst="rect">
          <a:avLst/>
        </a:prstGeom>
      </xdr:spPr>
    </xdr:pic>
    <xdr:clientData/>
  </xdr:twoCellAnchor>
  <xdr:twoCellAnchor>
    <xdr:from>
      <xdr:col>15</xdr:col>
      <xdr:colOff>78921</xdr:colOff>
      <xdr:row>10</xdr:row>
      <xdr:rowOff>100692</xdr:rowOff>
    </xdr:from>
    <xdr:to>
      <xdr:col>20</xdr:col>
      <xdr:colOff>644979</xdr:colOff>
      <xdr:row>25</xdr:row>
      <xdr:rowOff>166006</xdr:rowOff>
    </xdr:to>
    <xdr:graphicFrame macro="">
      <xdr:nvGraphicFramePr>
        <xdr:cNvPr id="4" name="Chart 3">
          <a:extLst>
            <a:ext uri="{FF2B5EF4-FFF2-40B4-BE49-F238E27FC236}">
              <a16:creationId xmlns:a16="http://schemas.microsoft.com/office/drawing/2014/main" id="{FD97AAC7-E25E-610E-1330-48D6B4214D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664027</xdr:colOff>
      <xdr:row>11</xdr:row>
      <xdr:rowOff>92528</xdr:rowOff>
    </xdr:from>
    <xdr:to>
      <xdr:col>15</xdr:col>
      <xdr:colOff>157842</xdr:colOff>
      <xdr:row>16</xdr:row>
      <xdr:rowOff>87085</xdr:rowOff>
    </xdr:to>
    <xdr:pic>
      <xdr:nvPicPr>
        <xdr:cNvPr id="6" name="Graphic 5" descr="Back RTL">
          <a:extLst>
            <a:ext uri="{FF2B5EF4-FFF2-40B4-BE49-F238E27FC236}">
              <a16:creationId xmlns:a16="http://schemas.microsoft.com/office/drawing/2014/main" id="{8125A580-A518-2562-75BF-56F5B4076E7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2415156" y="2188028"/>
          <a:ext cx="1055915"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137160</xdr:colOff>
      <xdr:row>1</xdr:row>
      <xdr:rowOff>53340</xdr:rowOff>
    </xdr:from>
    <xdr:to>
      <xdr:col>12</xdr:col>
      <xdr:colOff>647700</xdr:colOff>
      <xdr:row>1</xdr:row>
      <xdr:rowOff>251460</xdr:rowOff>
    </xdr:to>
    <xdr:sp macro="" textlink="">
      <xdr:nvSpPr>
        <xdr:cNvPr id="2" name="Arrow: Striped Right 1">
          <a:extLst>
            <a:ext uri="{FF2B5EF4-FFF2-40B4-BE49-F238E27FC236}">
              <a16:creationId xmlns:a16="http://schemas.microsoft.com/office/drawing/2014/main" id="{90319892-B810-300F-CDD0-72C7D0DC84FF}"/>
            </a:ext>
          </a:extLst>
        </xdr:cNvPr>
        <xdr:cNvSpPr/>
      </xdr:nvSpPr>
      <xdr:spPr>
        <a:xfrm>
          <a:off x="16032480" y="342900"/>
          <a:ext cx="510540" cy="198120"/>
        </a:xfrm>
        <a:prstGeom prst="stripedRightArrow">
          <a:avLst>
            <a:gd name="adj1" fmla="val 25610"/>
            <a:gd name="adj2" fmla="val 96265"/>
          </a:avLst>
        </a:prstGeom>
        <a:solidFill>
          <a:schemeClr val="accent6">
            <a:lumMod val="75000"/>
          </a:schemeClr>
        </a:solid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p>
      </xdr:txBody>
    </xdr:sp>
    <xdr:clientData/>
  </xdr:twoCellAnchor>
  <xdr:twoCellAnchor>
    <xdr:from>
      <xdr:col>12</xdr:col>
      <xdr:colOff>137160</xdr:colOff>
      <xdr:row>2</xdr:row>
      <xdr:rowOff>30480</xdr:rowOff>
    </xdr:from>
    <xdr:to>
      <xdr:col>12</xdr:col>
      <xdr:colOff>647700</xdr:colOff>
      <xdr:row>2</xdr:row>
      <xdr:rowOff>228600</xdr:rowOff>
    </xdr:to>
    <xdr:sp macro="" textlink="">
      <xdr:nvSpPr>
        <xdr:cNvPr id="3" name="Arrow: Striped Right 2">
          <a:extLst>
            <a:ext uri="{FF2B5EF4-FFF2-40B4-BE49-F238E27FC236}">
              <a16:creationId xmlns:a16="http://schemas.microsoft.com/office/drawing/2014/main" id="{1964216E-6E88-44C7-8C37-8F97C7B576F8}"/>
            </a:ext>
          </a:extLst>
        </xdr:cNvPr>
        <xdr:cNvSpPr/>
      </xdr:nvSpPr>
      <xdr:spPr>
        <a:xfrm>
          <a:off x="16032480" y="609600"/>
          <a:ext cx="510540" cy="198120"/>
        </a:xfrm>
        <a:prstGeom prst="stripedRightArrow">
          <a:avLst>
            <a:gd name="adj1" fmla="val 25610"/>
            <a:gd name="adj2" fmla="val 96265"/>
          </a:avLst>
        </a:prstGeom>
        <a:solidFill>
          <a:schemeClr val="accent6">
            <a:lumMod val="75000"/>
          </a:schemeClr>
        </a:solid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12</xdr:col>
      <xdr:colOff>144780</xdr:colOff>
      <xdr:row>3</xdr:row>
      <xdr:rowOff>30480</xdr:rowOff>
    </xdr:from>
    <xdr:to>
      <xdr:col>12</xdr:col>
      <xdr:colOff>655320</xdr:colOff>
      <xdr:row>3</xdr:row>
      <xdr:rowOff>228600</xdr:rowOff>
    </xdr:to>
    <xdr:sp macro="" textlink="">
      <xdr:nvSpPr>
        <xdr:cNvPr id="4" name="Arrow: Striped Right 3">
          <a:extLst>
            <a:ext uri="{FF2B5EF4-FFF2-40B4-BE49-F238E27FC236}">
              <a16:creationId xmlns:a16="http://schemas.microsoft.com/office/drawing/2014/main" id="{826D96B7-74B9-4234-B61A-32B2F54D4AE2}"/>
            </a:ext>
          </a:extLst>
        </xdr:cNvPr>
        <xdr:cNvSpPr/>
      </xdr:nvSpPr>
      <xdr:spPr>
        <a:xfrm>
          <a:off x="16040100" y="899160"/>
          <a:ext cx="510540" cy="198120"/>
        </a:xfrm>
        <a:prstGeom prst="stripedRightArrow">
          <a:avLst>
            <a:gd name="adj1" fmla="val 25610"/>
            <a:gd name="adj2" fmla="val 96265"/>
          </a:avLst>
        </a:prstGeom>
        <a:solidFill>
          <a:schemeClr val="accent6">
            <a:lumMod val="75000"/>
          </a:schemeClr>
        </a:solid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137160</xdr:colOff>
      <xdr:row>4</xdr:row>
      <xdr:rowOff>38100</xdr:rowOff>
    </xdr:from>
    <xdr:to>
      <xdr:col>12</xdr:col>
      <xdr:colOff>647700</xdr:colOff>
      <xdr:row>4</xdr:row>
      <xdr:rowOff>236220</xdr:rowOff>
    </xdr:to>
    <xdr:sp macro="" textlink="">
      <xdr:nvSpPr>
        <xdr:cNvPr id="5" name="Arrow: Striped Right 4">
          <a:extLst>
            <a:ext uri="{FF2B5EF4-FFF2-40B4-BE49-F238E27FC236}">
              <a16:creationId xmlns:a16="http://schemas.microsoft.com/office/drawing/2014/main" id="{2A1B2433-22A8-4FB3-AF60-C8A93285222C}"/>
            </a:ext>
          </a:extLst>
        </xdr:cNvPr>
        <xdr:cNvSpPr/>
      </xdr:nvSpPr>
      <xdr:spPr>
        <a:xfrm>
          <a:off x="16032480" y="1196340"/>
          <a:ext cx="510540" cy="198120"/>
        </a:xfrm>
        <a:prstGeom prst="stripedRightArrow">
          <a:avLst>
            <a:gd name="adj1" fmla="val 25610"/>
            <a:gd name="adj2" fmla="val 96265"/>
          </a:avLst>
        </a:prstGeom>
        <a:solidFill>
          <a:schemeClr val="accent6">
            <a:lumMod val="75000"/>
          </a:schemeClr>
        </a:solid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1427018</xdr:colOff>
      <xdr:row>28</xdr:row>
      <xdr:rowOff>13855</xdr:rowOff>
    </xdr:from>
    <xdr:to>
      <xdr:col>12</xdr:col>
      <xdr:colOff>1600199</xdr:colOff>
      <xdr:row>28</xdr:row>
      <xdr:rowOff>187036</xdr:rowOff>
    </xdr:to>
    <xdr:pic>
      <xdr:nvPicPr>
        <xdr:cNvPr id="4" name="Graphic 3" descr="Play">
          <a:extLst>
            <a:ext uri="{FF2B5EF4-FFF2-40B4-BE49-F238E27FC236}">
              <a16:creationId xmlns:a16="http://schemas.microsoft.com/office/drawing/2014/main" id="{D8FCBB48-913E-432F-9E86-D9F9DEEE81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12960927" y="5521037"/>
          <a:ext cx="173181" cy="173181"/>
        </a:xfrm>
        <a:prstGeom prst="rect">
          <a:avLst/>
        </a:prstGeom>
      </xdr:spPr>
    </xdr:pic>
    <xdr:clientData/>
  </xdr:twoCellAnchor>
  <xdr:twoCellAnchor editAs="oneCell">
    <xdr:from>
      <xdr:col>12</xdr:col>
      <xdr:colOff>1427019</xdr:colOff>
      <xdr:row>20</xdr:row>
      <xdr:rowOff>20783</xdr:rowOff>
    </xdr:from>
    <xdr:to>
      <xdr:col>12</xdr:col>
      <xdr:colOff>1600200</xdr:colOff>
      <xdr:row>20</xdr:row>
      <xdr:rowOff>193964</xdr:rowOff>
    </xdr:to>
    <xdr:pic>
      <xdr:nvPicPr>
        <xdr:cNvPr id="5" name="Graphic 4" descr="Play">
          <a:extLst>
            <a:ext uri="{FF2B5EF4-FFF2-40B4-BE49-F238E27FC236}">
              <a16:creationId xmlns:a16="http://schemas.microsoft.com/office/drawing/2014/main" id="{C57C8172-97D8-4844-ACF5-46A46330B3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12960928" y="3969328"/>
          <a:ext cx="173181" cy="17318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1079500</xdr:colOff>
      <xdr:row>9</xdr:row>
      <xdr:rowOff>12700</xdr:rowOff>
    </xdr:from>
    <xdr:to>
      <xdr:col>2</xdr:col>
      <xdr:colOff>1252681</xdr:colOff>
      <xdr:row>9</xdr:row>
      <xdr:rowOff>185881</xdr:rowOff>
    </xdr:to>
    <xdr:pic>
      <xdr:nvPicPr>
        <xdr:cNvPr id="2" name="Graphic 1" descr="Play">
          <a:extLst>
            <a:ext uri="{FF2B5EF4-FFF2-40B4-BE49-F238E27FC236}">
              <a16:creationId xmlns:a16="http://schemas.microsoft.com/office/drawing/2014/main" id="{D3415613-E466-43F3-9E27-B883E6002D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2959100" y="1752600"/>
          <a:ext cx="173181" cy="173181"/>
        </a:xfrm>
        <a:prstGeom prst="rect">
          <a:avLst/>
        </a:prstGeom>
      </xdr:spPr>
    </xdr:pic>
    <xdr:clientData/>
  </xdr:twoCellAnchor>
  <xdr:twoCellAnchor editAs="oneCell">
    <xdr:from>
      <xdr:col>3</xdr:col>
      <xdr:colOff>996950</xdr:colOff>
      <xdr:row>9</xdr:row>
      <xdr:rowOff>12700</xdr:rowOff>
    </xdr:from>
    <xdr:to>
      <xdr:col>4</xdr:col>
      <xdr:colOff>1731</xdr:colOff>
      <xdr:row>9</xdr:row>
      <xdr:rowOff>185881</xdr:rowOff>
    </xdr:to>
    <xdr:pic>
      <xdr:nvPicPr>
        <xdr:cNvPr id="3" name="Graphic 2" descr="Play">
          <a:extLst>
            <a:ext uri="{FF2B5EF4-FFF2-40B4-BE49-F238E27FC236}">
              <a16:creationId xmlns:a16="http://schemas.microsoft.com/office/drawing/2014/main" id="{40A04DB5-FFE6-45C5-9728-E538ACFCCDA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133850" y="1752600"/>
          <a:ext cx="173181" cy="17318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609606</xdr:colOff>
      <xdr:row>12</xdr:row>
      <xdr:rowOff>19050</xdr:rowOff>
    </xdr:from>
    <xdr:to>
      <xdr:col>4</xdr:col>
      <xdr:colOff>701046</xdr:colOff>
      <xdr:row>26</xdr:row>
      <xdr:rowOff>95250</xdr:rowOff>
    </xdr:to>
    <xdr:graphicFrame macro="">
      <xdr:nvGraphicFramePr>
        <xdr:cNvPr id="2" name="Chart 1">
          <a:extLst>
            <a:ext uri="{FF2B5EF4-FFF2-40B4-BE49-F238E27FC236}">
              <a16:creationId xmlns:a16="http://schemas.microsoft.com/office/drawing/2014/main" id="{4D4D7682-C69B-42FF-8862-AB7E470A24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91446</xdr:colOff>
      <xdr:row>11</xdr:row>
      <xdr:rowOff>179070</xdr:rowOff>
    </xdr:from>
    <xdr:to>
      <xdr:col>5</xdr:col>
      <xdr:colOff>182886</xdr:colOff>
      <xdr:row>26</xdr:row>
      <xdr:rowOff>64770</xdr:rowOff>
    </xdr:to>
    <xdr:graphicFrame macro="">
      <xdr:nvGraphicFramePr>
        <xdr:cNvPr id="2" name="Chart 1">
          <a:extLst>
            <a:ext uri="{FF2B5EF4-FFF2-40B4-BE49-F238E27FC236}">
              <a16:creationId xmlns:a16="http://schemas.microsoft.com/office/drawing/2014/main" id="{D077CD5C-C886-B14E-769A-9C67961C10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106686</xdr:colOff>
      <xdr:row>0</xdr:row>
      <xdr:rowOff>57150</xdr:rowOff>
    </xdr:from>
    <xdr:to>
      <xdr:col>9</xdr:col>
      <xdr:colOff>53346</xdr:colOff>
      <xdr:row>14</xdr:row>
      <xdr:rowOff>133350</xdr:rowOff>
    </xdr:to>
    <xdr:graphicFrame macro="">
      <xdr:nvGraphicFramePr>
        <xdr:cNvPr id="2" name="Chart 1">
          <a:extLst>
            <a:ext uri="{FF2B5EF4-FFF2-40B4-BE49-F238E27FC236}">
              <a16:creationId xmlns:a16="http://schemas.microsoft.com/office/drawing/2014/main" id="{7D52E811-B92C-7AB5-6B6A-6865CCF7ED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205740</xdr:colOff>
      <xdr:row>0</xdr:row>
      <xdr:rowOff>121921</xdr:rowOff>
    </xdr:from>
    <xdr:to>
      <xdr:col>4</xdr:col>
      <xdr:colOff>571500</xdr:colOff>
      <xdr:row>8</xdr:row>
      <xdr:rowOff>144781</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C21D2F7C-1CBB-6DCF-F57B-A793D783E2C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727960" y="121921"/>
              <a:ext cx="1828800" cy="1546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91446</xdr:colOff>
      <xdr:row>9</xdr:row>
      <xdr:rowOff>57150</xdr:rowOff>
    </xdr:from>
    <xdr:to>
      <xdr:col>4</xdr:col>
      <xdr:colOff>678186</xdr:colOff>
      <xdr:row>23</xdr:row>
      <xdr:rowOff>133350</xdr:rowOff>
    </xdr:to>
    <xdr:graphicFrame macro="">
      <xdr:nvGraphicFramePr>
        <xdr:cNvPr id="3" name="Chart 2">
          <a:extLst>
            <a:ext uri="{FF2B5EF4-FFF2-40B4-BE49-F238E27FC236}">
              <a16:creationId xmlns:a16="http://schemas.microsoft.com/office/drawing/2014/main" id="{05395A01-2FC8-0577-DBC5-8AC6CD260C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9</xdr:row>
      <xdr:rowOff>156210</xdr:rowOff>
    </xdr:from>
    <xdr:to>
      <xdr:col>4</xdr:col>
      <xdr:colOff>586740</xdr:colOff>
      <xdr:row>24</xdr:row>
      <xdr:rowOff>41910</xdr:rowOff>
    </xdr:to>
    <xdr:graphicFrame macro="">
      <xdr:nvGraphicFramePr>
        <xdr:cNvPr id="2" name="Chart 1">
          <a:extLst>
            <a:ext uri="{FF2B5EF4-FFF2-40B4-BE49-F238E27FC236}">
              <a16:creationId xmlns:a16="http://schemas.microsoft.com/office/drawing/2014/main" id="{608750C3-4039-9098-0DF4-2332107D5E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160026</xdr:colOff>
      <xdr:row>0</xdr:row>
      <xdr:rowOff>80010</xdr:rowOff>
    </xdr:from>
    <xdr:to>
      <xdr:col>9</xdr:col>
      <xdr:colOff>266700</xdr:colOff>
      <xdr:row>11</xdr:row>
      <xdr:rowOff>167640</xdr:rowOff>
    </xdr:to>
    <xdr:graphicFrame macro="">
      <xdr:nvGraphicFramePr>
        <xdr:cNvPr id="2" name="Chart 1">
          <a:extLst>
            <a:ext uri="{FF2B5EF4-FFF2-40B4-BE49-F238E27FC236}">
              <a16:creationId xmlns:a16="http://schemas.microsoft.com/office/drawing/2014/main" id="{1B05E0F8-CB59-F79C-A274-B8E14B03AD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3</xdr:col>
      <xdr:colOff>434340</xdr:colOff>
      <xdr:row>0</xdr:row>
      <xdr:rowOff>30480</xdr:rowOff>
    </xdr:from>
    <xdr:to>
      <xdr:col>6</xdr:col>
      <xdr:colOff>68580</xdr:colOff>
      <xdr:row>14</xdr:row>
      <xdr:rowOff>59055</xdr:rowOff>
    </xdr:to>
    <mc:AlternateContent xmlns:mc="http://schemas.openxmlformats.org/markup-compatibility/2006" xmlns:a14="http://schemas.microsoft.com/office/drawing/2010/main">
      <mc:Choice Requires="a14">
        <xdr:graphicFrame macro="">
          <xdr:nvGraphicFramePr>
            <xdr:cNvPr id="2" name="Order Date">
              <a:extLst>
                <a:ext uri="{FF2B5EF4-FFF2-40B4-BE49-F238E27FC236}">
                  <a16:creationId xmlns:a16="http://schemas.microsoft.com/office/drawing/2014/main" id="{8E622192-9BF4-00E0-FEEB-74793823D32E}"/>
                </a:ext>
              </a:extLst>
            </xdr:cNvPr>
            <xdr:cNvGraphicFramePr/>
          </xdr:nvGraphicFramePr>
          <xdr:xfrm>
            <a:off x="0" y="0"/>
            <a:ext cx="0" cy="0"/>
          </xdr:xfrm>
          <a:graphic>
            <a:graphicData uri="http://schemas.microsoft.com/office/drawing/2010/slicer">
              <sle:slicer xmlns:sle="http://schemas.microsoft.com/office/drawing/2010/slicer" name="Order Date"/>
            </a:graphicData>
          </a:graphic>
        </xdr:graphicFrame>
      </mc:Choice>
      <mc:Fallback xmlns="">
        <xdr:sp macro="" textlink="">
          <xdr:nvSpPr>
            <xdr:cNvPr id="0" name=""/>
            <xdr:cNvSpPr>
              <a:spLocks noTextEdit="1"/>
            </xdr:cNvSpPr>
          </xdr:nvSpPr>
          <xdr:spPr>
            <a:xfrm>
              <a:off x="3688080" y="304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129540</xdr:colOff>
      <xdr:row>8</xdr:row>
      <xdr:rowOff>144780</xdr:rowOff>
    </xdr:from>
    <xdr:to>
      <xdr:col>3</xdr:col>
      <xdr:colOff>213360</xdr:colOff>
      <xdr:row>15</xdr:row>
      <xdr:rowOff>182880</xdr:rowOff>
    </xdr:to>
    <mc:AlternateContent xmlns:mc="http://schemas.openxmlformats.org/markup-compatibility/2006" xmlns:tsle="http://schemas.microsoft.com/office/drawing/2012/timeslicer">
      <mc:Choice Requires="tsle">
        <xdr:graphicFrame macro="">
          <xdr:nvGraphicFramePr>
            <xdr:cNvPr id="3" name="Order Date 1">
              <a:extLst>
                <a:ext uri="{FF2B5EF4-FFF2-40B4-BE49-F238E27FC236}">
                  <a16:creationId xmlns:a16="http://schemas.microsoft.com/office/drawing/2014/main" id="{997807F7-FEBF-4F1A-1F5A-0105CAF6EA73}"/>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29540" y="1668780"/>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106680</xdr:colOff>
      <xdr:row>15</xdr:row>
      <xdr:rowOff>80010</xdr:rowOff>
    </xdr:from>
    <xdr:to>
      <xdr:col>4</xdr:col>
      <xdr:colOff>693420</xdr:colOff>
      <xdr:row>29</xdr:row>
      <xdr:rowOff>156210</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8243D5F3-8AFA-B88D-2278-23736A78A43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6680" y="334899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jwal Sonawane" refreshedDate="45221.966670833332" createdVersion="8" refreshedVersion="8" minRefreshableVersion="3" recordCount="30" xr:uid="{AE5F583F-EC90-4D10-AFD0-197AB00E40FC}">
  <cacheSource type="worksheet">
    <worksheetSource ref="A1:N31" sheet="38) Pivot Table"/>
  </cacheSource>
  <cacheFields count="15">
    <cacheField name="Order Date" numFmtId="14">
      <sharedItems containsSemiMixedTypes="0" containsNonDate="0" containsDate="1" containsString="0" minDate="2022-04-01T00:00:00" maxDate="2022-05-01T00:00:00" count="3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sharedItems>
    </cacheField>
    <cacheField name="Product Code" numFmtId="0">
      <sharedItems/>
    </cacheField>
    <cacheField name="Product Name" numFmtId="0">
      <sharedItems/>
    </cacheField>
    <cacheField name="Price/Unit" numFmtId="0">
      <sharedItems containsSemiMixedTypes="0" containsString="0" containsNumber="1" containsInteger="1" minValue="12" maxValue="150"/>
    </cacheField>
    <cacheField name="Basic Price" numFmtId="0">
      <sharedItems containsSemiMixedTypes="0" containsString="0" containsNumber="1" containsInteger="1" minValue="15" maxValue="160"/>
    </cacheField>
    <cacheField name="Month" numFmtId="0">
      <sharedItems count="6">
        <s v="Jan"/>
        <s v="Feb"/>
        <s v="Mar"/>
        <s v="Apr"/>
        <s v="Jun"/>
        <s v="Jul"/>
      </sharedItems>
    </cacheField>
    <cacheField name="Region" numFmtId="0">
      <sharedItems count="4">
        <s v="East"/>
        <s v="West"/>
        <s v="North"/>
        <s v="South"/>
      </sharedItems>
    </cacheField>
    <cacheField name="Area" numFmtId="0">
      <sharedItems count="18">
        <s v="Assam"/>
        <s v="Gujarat"/>
        <s v="J&amp;K"/>
        <s v="Karnataka"/>
        <s v="Meghalaya"/>
        <s v="Rajesthan"/>
        <s v="HP"/>
        <s v="Kerala"/>
        <s v="Manipur"/>
        <s v="Punjab"/>
        <s v="TN"/>
        <s v="Nagaland"/>
        <s v="Uttaranchal"/>
        <s v="AP"/>
        <s v="Tripura"/>
        <s v="Maharastra"/>
        <s v="Delhi"/>
        <s v="Arunachal Pradesh"/>
      </sharedItems>
    </cacheField>
    <cacheField name="Territory" numFmtId="0">
      <sharedItems/>
    </cacheField>
    <cacheField name="Agent" numFmtId="0">
      <sharedItems/>
    </cacheField>
    <cacheField name="Units Sold" numFmtId="0">
      <sharedItems containsSemiMixedTypes="0" containsString="0" containsNumber="1" containsInteger="1" minValue="577" maxValue="9000"/>
    </cacheField>
    <cacheField name="Sales Value" numFmtId="0">
      <sharedItems containsSemiMixedTypes="0" containsString="0" containsNumber="1" containsInteger="1" minValue="9840" maxValue="200000"/>
    </cacheField>
    <cacheField name="Commission" numFmtId="0">
      <sharedItems containsSemiMixedTypes="0" containsString="0" containsNumber="1" minValue="492" maxValue="10000"/>
    </cacheField>
    <cacheField name="Profit" numFmtId="0">
      <sharedItems containsSemiMixedTypes="0" containsString="0" containsNumber="1" minValue="1462.5" maxValue="20250"/>
    </cacheField>
    <cacheField name="Amount" numFmtId="0" formula="'Price/Unit'*'Units Sold'" databaseField="0"/>
  </cacheFields>
  <extLst>
    <ext xmlns:x14="http://schemas.microsoft.com/office/spreadsheetml/2009/9/main" uri="{725AE2AE-9491-48be-B2B4-4EB974FC3084}">
      <x14:pivotCacheDefinition pivotCacheId="14480757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s v="PC019"/>
    <s v="Dettol"/>
    <n v="50"/>
    <n v="55"/>
    <x v="0"/>
    <x v="0"/>
    <x v="0"/>
    <s v="Dispur"/>
    <s v="ABC"/>
    <n v="2000"/>
    <n v="110000"/>
    <n v="5500"/>
    <n v="4500"/>
  </r>
  <r>
    <x v="1"/>
    <s v="PC001"/>
    <s v="Lux"/>
    <n v="15"/>
    <n v="20"/>
    <x v="0"/>
    <x v="1"/>
    <x v="1"/>
    <s v="Vadodara"/>
    <s v="GTC"/>
    <n v="1000"/>
    <n v="20000"/>
    <n v="1000"/>
    <n v="4000"/>
  </r>
  <r>
    <x v="2"/>
    <s v="PC003"/>
    <s v="Cello Pen"/>
    <n v="12"/>
    <n v="15"/>
    <x v="0"/>
    <x v="2"/>
    <x v="2"/>
    <s v="Jammu"/>
    <s v="JKTC"/>
    <n v="1200"/>
    <n v="18000"/>
    <n v="900"/>
    <n v="2700"/>
  </r>
  <r>
    <x v="3"/>
    <s v="PC043"/>
    <s v="Print Paper"/>
    <n v="150"/>
    <n v="160"/>
    <x v="0"/>
    <x v="3"/>
    <x v="3"/>
    <s v="Bangalore"/>
    <s v="KATC"/>
    <n v="1250"/>
    <n v="200000"/>
    <n v="10000"/>
    <n v="2500"/>
  </r>
  <r>
    <x v="4"/>
    <s v="PC021"/>
    <s v="Pepsodent"/>
    <n v="50"/>
    <n v="60"/>
    <x v="0"/>
    <x v="0"/>
    <x v="4"/>
    <s v="Shillong"/>
    <s v="MTC"/>
    <n v="1300"/>
    <n v="78000"/>
    <n v="3900"/>
    <n v="9100"/>
  </r>
  <r>
    <x v="5"/>
    <s v="PC019"/>
    <s v="Dettol"/>
    <n v="50"/>
    <n v="55"/>
    <x v="1"/>
    <x v="1"/>
    <x v="5"/>
    <s v="Bikaner"/>
    <s v="RTC"/>
    <n v="1350"/>
    <n v="74250"/>
    <n v="3712.5"/>
    <n v="3037.5"/>
  </r>
  <r>
    <x v="6"/>
    <s v="PC001"/>
    <s v="Lux"/>
    <n v="15"/>
    <n v="20"/>
    <x v="1"/>
    <x v="2"/>
    <x v="6"/>
    <s v="Simla"/>
    <s v="HPTC"/>
    <n v="1400"/>
    <n v="28000"/>
    <n v="1400"/>
    <n v="5600"/>
  </r>
  <r>
    <x v="7"/>
    <s v="PC003"/>
    <s v="Cello Pen"/>
    <n v="12"/>
    <n v="15"/>
    <x v="1"/>
    <x v="3"/>
    <x v="7"/>
    <s v="Kochi"/>
    <s v="KETC"/>
    <n v="9000"/>
    <n v="135000"/>
    <n v="6750"/>
    <n v="20250"/>
  </r>
  <r>
    <x v="8"/>
    <s v="PC043"/>
    <s v="Print Paper"/>
    <n v="150"/>
    <n v="160"/>
    <x v="1"/>
    <x v="0"/>
    <x v="8"/>
    <s v="Imphal"/>
    <s v="MATC"/>
    <n v="800"/>
    <n v="128000"/>
    <n v="6400"/>
    <n v="1600"/>
  </r>
  <r>
    <x v="9"/>
    <s v="PC021"/>
    <s v="Pepsodent"/>
    <n v="50"/>
    <n v="60"/>
    <x v="1"/>
    <x v="1"/>
    <x v="5"/>
    <s v="Ajmer"/>
    <s v="RTC"/>
    <n v="1700"/>
    <n v="102000"/>
    <n v="5100"/>
    <n v="11900"/>
  </r>
  <r>
    <x v="10"/>
    <s v="PC019"/>
    <s v="Dettol"/>
    <n v="50"/>
    <n v="55"/>
    <x v="2"/>
    <x v="2"/>
    <x v="9"/>
    <s v="Amrithsar"/>
    <s v="PTC"/>
    <n v="650"/>
    <n v="35750"/>
    <n v="1787.5"/>
    <n v="1462.5"/>
  </r>
  <r>
    <x v="11"/>
    <s v="PC001"/>
    <s v="Lux"/>
    <n v="15"/>
    <n v="20"/>
    <x v="2"/>
    <x v="3"/>
    <x v="10"/>
    <s v="Chennai"/>
    <s v="TNTC"/>
    <n v="780"/>
    <n v="15600"/>
    <n v="780"/>
    <n v="3120"/>
  </r>
  <r>
    <x v="12"/>
    <s v="PC003"/>
    <s v="Cello Pen"/>
    <n v="12"/>
    <n v="15"/>
    <x v="2"/>
    <x v="0"/>
    <x v="11"/>
    <s v="Kohima"/>
    <s v="NTC"/>
    <n v="820"/>
    <n v="12300"/>
    <n v="615"/>
    <n v="1845"/>
  </r>
  <r>
    <x v="13"/>
    <s v="PC043"/>
    <s v="Print Paper"/>
    <n v="150"/>
    <n v="160"/>
    <x v="2"/>
    <x v="1"/>
    <x v="1"/>
    <s v="Ahmedabad"/>
    <s v="GTC"/>
    <n v="780"/>
    <n v="124800"/>
    <n v="6240"/>
    <n v="1560"/>
  </r>
  <r>
    <x v="14"/>
    <s v="PC021"/>
    <s v="Pepsodent"/>
    <n v="50"/>
    <n v="60"/>
    <x v="2"/>
    <x v="2"/>
    <x v="12"/>
    <s v="Nanital"/>
    <s v="UTC"/>
    <n v="850"/>
    <n v="51000"/>
    <n v="2550"/>
    <n v="5950"/>
  </r>
  <r>
    <x v="15"/>
    <s v="PC019"/>
    <s v="Dettol"/>
    <n v="50"/>
    <n v="55"/>
    <x v="3"/>
    <x v="3"/>
    <x v="13"/>
    <s v="Hyderabad"/>
    <s v="APTC"/>
    <n v="980"/>
    <n v="53900"/>
    <n v="2695"/>
    <n v="2205"/>
  </r>
  <r>
    <x v="16"/>
    <s v="PC001"/>
    <s v="Lux"/>
    <n v="15"/>
    <n v="20"/>
    <x v="3"/>
    <x v="0"/>
    <x v="14"/>
    <s v="Agarthala"/>
    <s v="TTC"/>
    <n v="900"/>
    <n v="18000"/>
    <n v="900"/>
    <n v="3600"/>
  </r>
  <r>
    <x v="17"/>
    <s v="PC003"/>
    <s v="Cello Pen"/>
    <n v="12"/>
    <n v="15"/>
    <x v="3"/>
    <x v="1"/>
    <x v="15"/>
    <s v="Mumbai"/>
    <s v="MHTC"/>
    <n v="656"/>
    <n v="9840"/>
    <n v="492"/>
    <n v="1476"/>
  </r>
  <r>
    <x v="18"/>
    <s v="PC043"/>
    <s v="Print Paper"/>
    <n v="150"/>
    <n v="160"/>
    <x v="3"/>
    <x v="2"/>
    <x v="16"/>
    <s v="Delhi"/>
    <s v="DTC"/>
    <n v="985"/>
    <n v="157600"/>
    <n v="7880"/>
    <n v="1970"/>
  </r>
  <r>
    <x v="19"/>
    <s v="PC021"/>
    <s v="Pepsodent"/>
    <n v="50"/>
    <n v="60"/>
    <x v="3"/>
    <x v="3"/>
    <x v="10"/>
    <s v="Trichy"/>
    <s v="TNTC"/>
    <n v="658"/>
    <n v="39480"/>
    <n v="1974"/>
    <n v="4606"/>
  </r>
  <r>
    <x v="20"/>
    <s v="PC019"/>
    <s v="Dettol"/>
    <n v="50"/>
    <n v="55"/>
    <x v="4"/>
    <x v="0"/>
    <x v="14"/>
    <s v="Agarthala"/>
    <s v="TRTC"/>
    <n v="657"/>
    <n v="36135"/>
    <n v="1806.75"/>
    <n v="1478.25"/>
  </r>
  <r>
    <x v="21"/>
    <s v="PC001"/>
    <s v="Lux"/>
    <n v="15"/>
    <n v="20"/>
    <x v="4"/>
    <x v="1"/>
    <x v="15"/>
    <s v="Nasik"/>
    <s v="MHTC"/>
    <n v="895"/>
    <n v="17900"/>
    <n v="895"/>
    <n v="3580"/>
  </r>
  <r>
    <x v="22"/>
    <s v="PC003"/>
    <s v="Cello Pen"/>
    <n v="12"/>
    <n v="15"/>
    <x v="4"/>
    <x v="2"/>
    <x v="9"/>
    <s v="Kapurthala"/>
    <s v="PTC"/>
    <n v="856"/>
    <n v="12840"/>
    <n v="642"/>
    <n v="1926"/>
  </r>
  <r>
    <x v="23"/>
    <s v="PC043"/>
    <s v="Print Paper"/>
    <n v="150"/>
    <n v="160"/>
    <x v="4"/>
    <x v="3"/>
    <x v="13"/>
    <s v="Warangal"/>
    <s v="APTC"/>
    <n v="985"/>
    <n v="157600"/>
    <n v="7880"/>
    <n v="1970"/>
  </r>
  <r>
    <x v="24"/>
    <s v="PC021"/>
    <s v="Pepsodent"/>
    <n v="50"/>
    <n v="60"/>
    <x v="4"/>
    <x v="0"/>
    <x v="17"/>
    <s v="Itanagar"/>
    <s v="ARTC"/>
    <n v="658"/>
    <n v="39480"/>
    <n v="1974"/>
    <n v="4606"/>
  </r>
  <r>
    <x v="25"/>
    <s v="PC019"/>
    <s v="Dettol"/>
    <n v="50"/>
    <n v="55"/>
    <x v="5"/>
    <x v="1"/>
    <x v="5"/>
    <s v="Jaipur"/>
    <s v="RTC"/>
    <n v="896"/>
    <n v="49280"/>
    <n v="2464"/>
    <n v="2016"/>
  </r>
  <r>
    <x v="26"/>
    <s v="PC001"/>
    <s v="Lux"/>
    <n v="15"/>
    <n v="20"/>
    <x v="5"/>
    <x v="2"/>
    <x v="6"/>
    <s v="Manali"/>
    <s v="HPTC"/>
    <n v="577"/>
    <n v="11540"/>
    <n v="577"/>
    <n v="2308"/>
  </r>
  <r>
    <x v="27"/>
    <s v="PC003"/>
    <s v="Cello Pen"/>
    <n v="12"/>
    <n v="15"/>
    <x v="5"/>
    <x v="3"/>
    <x v="7"/>
    <s v="Kollam"/>
    <s v="KETC"/>
    <n v="987"/>
    <n v="14805"/>
    <n v="740.25"/>
    <n v="2220.75"/>
  </r>
  <r>
    <x v="28"/>
    <s v="PC043"/>
    <s v="Print Paper"/>
    <n v="150"/>
    <n v="160"/>
    <x v="5"/>
    <x v="0"/>
    <x v="8"/>
    <s v="Bishnupur"/>
    <s v="MATC"/>
    <n v="897"/>
    <n v="143520"/>
    <n v="7176"/>
    <n v="1794"/>
  </r>
  <r>
    <x v="29"/>
    <s v="PC021"/>
    <s v="Pepsodent"/>
    <n v="50"/>
    <n v="60"/>
    <x v="5"/>
    <x v="1"/>
    <x v="5"/>
    <s v="Jaipur"/>
    <s v="RTC"/>
    <n v="852"/>
    <n v="51120"/>
    <n v="2556"/>
    <n v="59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1370F9-371D-4FCD-B41D-792A3B2FB4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Region">
  <location ref="A3:B8" firstHeaderRow="1" firstDataRow="1" firstDataCol="1"/>
  <pivotFields count="15">
    <pivotField numFmtId="14" showAll="0"/>
    <pivotField showAll="0"/>
    <pivotField showAll="0"/>
    <pivotField showAll="0"/>
    <pivotField showAll="0"/>
    <pivotField showAll="0">
      <items count="7">
        <item x="0"/>
        <item x="1"/>
        <item x="2"/>
        <item x="3"/>
        <item x="4"/>
        <item x="5"/>
        <item t="default"/>
      </items>
    </pivotField>
    <pivotField axis="axisRow" showAll="0">
      <items count="5">
        <item x="0"/>
        <item x="2"/>
        <item x="3"/>
        <item x="1"/>
        <item t="default"/>
      </items>
    </pivotField>
    <pivotField showAll="0">
      <items count="19">
        <item x="13"/>
        <item x="17"/>
        <item x="0"/>
        <item x="16"/>
        <item x="1"/>
        <item x="6"/>
        <item x="2"/>
        <item x="3"/>
        <item x="7"/>
        <item x="15"/>
        <item x="8"/>
        <item x="4"/>
        <item x="11"/>
        <item x="9"/>
        <item x="5"/>
        <item x="10"/>
        <item x="14"/>
        <item x="12"/>
        <item t="default"/>
      </items>
    </pivotField>
    <pivotField showAll="0"/>
    <pivotField showAll="0"/>
    <pivotField showAll="0"/>
    <pivotField dataField="1" showAll="0"/>
    <pivotField showAll="0"/>
    <pivotField showAll="0"/>
    <pivotField dragToRow="0" dragToCol="0" dragToPage="0" showAll="0" defaultSubtotal="0"/>
  </pivotFields>
  <rowFields count="1">
    <field x="6"/>
  </rowFields>
  <rowItems count="5">
    <i>
      <x/>
    </i>
    <i>
      <x v="1"/>
    </i>
    <i>
      <x v="2"/>
    </i>
    <i>
      <x v="3"/>
    </i>
    <i t="grand">
      <x/>
    </i>
  </rowItems>
  <colItems count="1">
    <i/>
  </colItems>
  <dataFields count="1">
    <dataField name="Sales Value as per Region" fld="11" baseField="6"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0" format="4">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9C54E5-2833-4DC2-A830-CA45C59D3FA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1" firstHeaderRow="1" firstDataRow="2" firstDataCol="1"/>
  <pivotFields count="15">
    <pivotField numFmtId="14" showAll="0"/>
    <pivotField showAll="0"/>
    <pivotField showAll="0"/>
    <pivotField showAll="0"/>
    <pivotField showAll="0"/>
    <pivotField axis="axisRow" showAll="0">
      <items count="7">
        <item x="0"/>
        <item x="1"/>
        <item x="2"/>
        <item x="3"/>
        <item x="4"/>
        <item x="5"/>
        <item t="default"/>
      </items>
    </pivotField>
    <pivotField axis="axisCol" showAll="0">
      <items count="5">
        <item x="0"/>
        <item x="2"/>
        <item x="3"/>
        <item x="1"/>
        <item t="default"/>
      </items>
    </pivotField>
    <pivotField showAll="0"/>
    <pivotField showAll="0"/>
    <pivotField showAll="0"/>
    <pivotField showAll="0"/>
    <pivotField dataField="1" showAll="0"/>
    <pivotField showAll="0"/>
    <pivotField showAll="0"/>
    <pivotField dragToRow="0" dragToCol="0" dragToPage="0" showAll="0" defaultSubtotal="0"/>
  </pivotFields>
  <rowFields count="1">
    <field x="5"/>
  </rowFields>
  <rowItems count="7">
    <i>
      <x/>
    </i>
    <i>
      <x v="1"/>
    </i>
    <i>
      <x v="2"/>
    </i>
    <i>
      <x v="3"/>
    </i>
    <i>
      <x v="4"/>
    </i>
    <i>
      <x v="5"/>
    </i>
    <i t="grand">
      <x/>
    </i>
  </rowItems>
  <colFields count="1">
    <field x="6"/>
  </colFields>
  <colItems count="5">
    <i>
      <x/>
    </i>
    <i>
      <x v="1"/>
    </i>
    <i>
      <x v="2"/>
    </i>
    <i>
      <x v="3"/>
    </i>
    <i t="grand">
      <x/>
    </i>
  </colItems>
  <dataFields count="1">
    <dataField name="Sum of Sales Value" fld="11"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9612F2-F20D-473B-B331-6226CBB8B11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7" firstHeaderRow="1" firstDataRow="2" firstDataCol="1" rowPageCount="1" colPageCount="1"/>
  <pivotFields count="15">
    <pivotField numFmtId="14" showAll="0"/>
    <pivotField showAll="0"/>
    <pivotField showAll="0"/>
    <pivotField showAll="0"/>
    <pivotField showAll="0"/>
    <pivotField axis="axisRow" showAll="0">
      <items count="7">
        <item x="0"/>
        <item x="1"/>
        <item x="2"/>
        <item x="3"/>
        <item x="4"/>
        <item x="5"/>
        <item t="default"/>
      </items>
    </pivotField>
    <pivotField axis="axisCol" showAll="0">
      <items count="5">
        <item x="0"/>
        <item x="2"/>
        <item x="3"/>
        <item x="1"/>
        <item t="default"/>
      </items>
    </pivotField>
    <pivotField axis="axisPage" multipleItemSelectionAllowed="1" showAll="0">
      <items count="19">
        <item h="1" x="13"/>
        <item h="1" x="17"/>
        <item h="1" x="0"/>
        <item h="1" x="16"/>
        <item h="1" x="1"/>
        <item h="1" x="6"/>
        <item h="1" x="2"/>
        <item h="1" x="3"/>
        <item h="1" x="7"/>
        <item x="15"/>
        <item h="1" x="8"/>
        <item h="1" x="4"/>
        <item h="1" x="11"/>
        <item h="1" x="9"/>
        <item h="1" x="5"/>
        <item h="1" x="10"/>
        <item h="1" x="14"/>
        <item h="1" x="12"/>
        <item t="default"/>
      </items>
    </pivotField>
    <pivotField showAll="0"/>
    <pivotField showAll="0"/>
    <pivotField showAll="0"/>
    <pivotField dataField="1" showAll="0"/>
    <pivotField showAll="0"/>
    <pivotField showAll="0"/>
    <pivotField dragToRow="0" dragToCol="0" dragToPage="0" showAll="0" defaultSubtotal="0"/>
  </pivotFields>
  <rowFields count="1">
    <field x="5"/>
  </rowFields>
  <rowItems count="3">
    <i>
      <x v="3"/>
    </i>
    <i>
      <x v="4"/>
    </i>
    <i t="grand">
      <x/>
    </i>
  </rowItems>
  <colFields count="1">
    <field x="6"/>
  </colFields>
  <colItems count="2">
    <i>
      <x v="3"/>
    </i>
    <i t="grand">
      <x/>
    </i>
  </colItems>
  <pageFields count="1">
    <pageField fld="7" hier="-1"/>
  </pageFields>
  <dataFields count="1">
    <dataField name="Sum of Sales Value" fld="11" baseField="0" baseItem="0"/>
  </dataFields>
  <chartFormats count="3">
    <chartFormat chart="0" format="0" series="1">
      <pivotArea type="data" outline="0" fieldPosition="0">
        <references count="2">
          <reference field="4294967294" count="1" selected="0">
            <x v="0"/>
          </reference>
          <reference field="6" count="1" selected="0">
            <x v="3"/>
          </reference>
        </references>
      </pivotArea>
    </chartFormat>
    <chartFormat chart="0" format="1" series="1">
      <pivotArea type="data" outline="0" fieldPosition="0">
        <references count="2">
          <reference field="4294967294" count="1" selected="0">
            <x v="0"/>
          </reference>
          <reference field="6" count="1" selected="0">
            <x v="2"/>
          </reference>
        </references>
      </pivotArea>
    </chartFormat>
    <chartFormat chart="0" format="2"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094074-382E-4FB1-843A-BE90382BC6B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6" firstHeaderRow="1" firstDataRow="1" firstDataCol="1" rowPageCount="1" colPageCount="1"/>
  <pivotFields count="15">
    <pivotField numFmtId="14" showAll="0"/>
    <pivotField showAll="0"/>
    <pivotField showAll="0"/>
    <pivotField showAll="0"/>
    <pivotField showAll="0"/>
    <pivotField axis="axisPage" showAll="0">
      <items count="7">
        <item x="0"/>
        <item x="1"/>
        <item x="2"/>
        <item x="3"/>
        <item x="4"/>
        <item x="5"/>
        <item t="default"/>
      </items>
    </pivotField>
    <pivotField axis="axisRow" showAll="0">
      <items count="5">
        <item h="1" x="0"/>
        <item h="1" x="2"/>
        <item x="3"/>
        <item x="1"/>
        <item t="default"/>
      </items>
    </pivotField>
    <pivotField showAll="0"/>
    <pivotField showAll="0"/>
    <pivotField showAll="0"/>
    <pivotField showAll="0"/>
    <pivotField dataField="1" showAll="0"/>
    <pivotField showAll="0"/>
    <pivotField showAll="0"/>
    <pivotField dragToRow="0" dragToCol="0" dragToPage="0" showAll="0" defaultSubtotal="0"/>
  </pivotFields>
  <rowFields count="1">
    <field x="6"/>
  </rowFields>
  <rowItems count="3">
    <i>
      <x v="2"/>
    </i>
    <i>
      <x v="3"/>
    </i>
    <i t="grand">
      <x/>
    </i>
  </rowItems>
  <colItems count="1">
    <i/>
  </colItems>
  <pageFields count="1">
    <pageField fld="5" hier="-1"/>
  </pageFields>
  <dataFields count="1">
    <dataField name="Sum of Sales Value" fld="11"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2"/>
          </reference>
        </references>
      </pivotArea>
    </chartFormat>
    <chartFormat chart="0" format="2">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D1D1D68-364F-4F0B-A639-D3EE911D1A4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15">
    <pivotField numFmtId="14" showAll="0"/>
    <pivotField showAll="0"/>
    <pivotField showAll="0"/>
    <pivotField showAll="0"/>
    <pivotField showAll="0"/>
    <pivotField showAll="0"/>
    <pivotField axis="axisRow" showAll="0">
      <items count="5">
        <item x="0"/>
        <item x="2"/>
        <item x="3"/>
        <item x="1"/>
        <item t="default"/>
      </items>
    </pivotField>
    <pivotField showAll="0"/>
    <pivotField showAll="0"/>
    <pivotField showAll="0"/>
    <pivotField showAll="0"/>
    <pivotField dataField="1" showAll="0"/>
    <pivotField showAll="0"/>
    <pivotField showAll="0"/>
    <pivotField dragToRow="0" dragToCol="0" dragToPage="0" showAll="0" defaultSubtotal="0"/>
  </pivotFields>
  <rowFields count="1">
    <field x="6"/>
  </rowFields>
  <rowItems count="5">
    <i>
      <x/>
    </i>
    <i>
      <x v="1"/>
    </i>
    <i>
      <x v="2"/>
    </i>
    <i>
      <x v="3"/>
    </i>
    <i t="grand">
      <x/>
    </i>
  </rowItems>
  <colItems count="1">
    <i/>
  </colItems>
  <dataFields count="1">
    <dataField name="Sum of Sales Value" fld="11" baseField="0" baseItem="0"/>
  </dataFields>
  <chartFormats count="5">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6" count="1" selected="0">
            <x v="0"/>
          </reference>
        </references>
      </pivotArea>
    </chartFormat>
    <chartFormat chart="3" format="2">
      <pivotArea type="data" outline="0" fieldPosition="0">
        <references count="2">
          <reference field="4294967294" count="1" selected="0">
            <x v="0"/>
          </reference>
          <reference field="6" count="1" selected="0">
            <x v="1"/>
          </reference>
        </references>
      </pivotArea>
    </chartFormat>
    <chartFormat chart="3" format="3">
      <pivotArea type="data" outline="0" fieldPosition="0">
        <references count="2">
          <reference field="4294967294" count="1" selected="0">
            <x v="0"/>
          </reference>
          <reference field="6" count="1" selected="0">
            <x v="2"/>
          </reference>
        </references>
      </pivotArea>
    </chartFormat>
    <chartFormat chart="3" format="4">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1A44E60-4EBA-4ADD-B5EF-F9385F16E14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Month">
  <location ref="A3:C10" firstHeaderRow="0" firstDataRow="1" firstDataCol="1"/>
  <pivotFields count="15">
    <pivotField numFmtId="14" showAll="0"/>
    <pivotField showAll="0"/>
    <pivotField showAll="0"/>
    <pivotField showAll="0"/>
    <pivotField showAll="0"/>
    <pivotField axis="axisRow" showAll="0">
      <items count="7">
        <item x="0"/>
        <item x="1"/>
        <item x="2"/>
        <item x="3"/>
        <item x="4"/>
        <item x="5"/>
        <item t="default"/>
      </items>
    </pivotField>
    <pivotField showAll="0"/>
    <pivotField showAll="0"/>
    <pivotField showAll="0"/>
    <pivotField showAll="0"/>
    <pivotField showAll="0"/>
    <pivotField dataField="1" showAll="0"/>
    <pivotField showAll="0"/>
    <pivotField showAll="0"/>
    <pivotField dataField="1" dragToRow="0" dragToCol="0" dragToPage="0" showAll="0" defaultSubtotal="0"/>
  </pivotFields>
  <rowFields count="1">
    <field x="5"/>
  </rowFields>
  <rowItems count="7">
    <i>
      <x/>
    </i>
    <i>
      <x v="1"/>
    </i>
    <i>
      <x v="2"/>
    </i>
    <i>
      <x v="3"/>
    </i>
    <i>
      <x v="4"/>
    </i>
    <i>
      <x v="5"/>
    </i>
    <i t="grand">
      <x/>
    </i>
  </rowItems>
  <colFields count="1">
    <field x="-2"/>
  </colFields>
  <colItems count="2">
    <i>
      <x/>
    </i>
    <i i="1">
      <x v="1"/>
    </i>
  </colItems>
  <dataFields count="2">
    <dataField name="Sales_Value" fld="11" baseField="5" baseItem="0"/>
    <dataField name="Amount_cal" fld="14" baseField="5"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Medium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BBECCC1-FFFE-4975-A944-9C59D50E8D54}"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8" firstHeaderRow="1" firstDataRow="1" firstDataCol="1"/>
  <pivotFields count="15">
    <pivotField numFmtId="1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showAll="0"/>
    <pivotField showAll="0"/>
    <pivotField showAll="0"/>
    <pivotField showAll="0"/>
    <pivotField axis="axisRow" showAll="0">
      <items count="5">
        <item x="0"/>
        <item x="2"/>
        <item x="3"/>
        <item x="1"/>
        <item t="default"/>
      </items>
    </pivotField>
    <pivotField showAll="0"/>
    <pivotField showAll="0"/>
    <pivotField showAll="0"/>
    <pivotField showAll="0"/>
    <pivotField dataField="1" showAll="0"/>
    <pivotField showAll="0"/>
    <pivotField showAll="0"/>
    <pivotField dragToRow="0" dragToCol="0" dragToPage="0" showAll="0" defaultSubtotal="0"/>
  </pivotFields>
  <rowFields count="1">
    <field x="6"/>
  </rowFields>
  <rowItems count="5">
    <i>
      <x/>
    </i>
    <i>
      <x v="1"/>
    </i>
    <i>
      <x v="2"/>
    </i>
    <i>
      <x v="3"/>
    </i>
    <i t="grand">
      <x/>
    </i>
  </rowItems>
  <colItems count="1">
    <i/>
  </colItems>
  <dataFields count="1">
    <dataField name="Sum of Sales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150A403-ECD9-4733-8CDB-FEBB6575160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rowPageCount="1" colPageCount="1"/>
  <pivotFields count="15">
    <pivotField numFmtId="14" showAll="0"/>
    <pivotField showAll="0"/>
    <pivotField showAll="0"/>
    <pivotField showAll="0"/>
    <pivotField showAll="0"/>
    <pivotField axis="axisPage" showAll="0">
      <items count="7">
        <item x="0"/>
        <item x="1"/>
        <item x="2"/>
        <item x="3"/>
        <item x="4"/>
        <item x="5"/>
        <item t="default"/>
      </items>
    </pivotField>
    <pivotField axis="axisRow" showAll="0">
      <items count="5">
        <item x="0"/>
        <item x="2"/>
        <item x="3"/>
        <item x="1"/>
        <item t="default"/>
      </items>
    </pivotField>
    <pivotField showAll="0"/>
    <pivotField showAll="0"/>
    <pivotField showAll="0"/>
    <pivotField showAll="0"/>
    <pivotField dataField="1" showAll="0"/>
    <pivotField showAll="0"/>
    <pivotField showAll="0"/>
    <pivotField dragToRow="0" dragToCol="0" dragToPage="0" showAll="0" defaultSubtotal="0"/>
  </pivotFields>
  <rowFields count="1">
    <field x="6"/>
  </rowFields>
  <rowItems count="5">
    <i>
      <x/>
    </i>
    <i>
      <x v="1"/>
    </i>
    <i>
      <x v="2"/>
    </i>
    <i>
      <x v="3"/>
    </i>
    <i t="grand">
      <x/>
    </i>
  </rowItems>
  <colItems count="1">
    <i/>
  </colItems>
  <pageFields count="1">
    <pageField fld="5" hier="-1"/>
  </pageFields>
  <dataFields count="1">
    <dataField name="Sum of Sales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7B3B27B-EB91-436D-88F7-B79B13B33BB2}" sourceName="Region">
  <pivotTables>
    <pivotTable tabId="97" name="PivotTable4"/>
  </pivotTables>
  <data>
    <tabular pivotCacheId="1448075737">
      <items count="4">
        <i x="0"/>
        <i x="2"/>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166CB096-5D74-4D21-9D10-AE5E5186D329}" sourceName="Order Date">
  <pivotTables>
    <pivotTable tabId="100" name="PivotTable3"/>
  </pivotTables>
  <data>
    <tabular pivotCacheId="1448075737">
      <items count="30">
        <i x="0" s="1"/>
        <i x="1" s="1"/>
        <i x="2" s="1"/>
        <i x="3" s="1"/>
        <i x="4" s="1"/>
        <i x="5" s="1"/>
        <i x="6" s="1"/>
        <i x="7" s="1"/>
        <i x="8" s="1"/>
        <i x="9" s="1"/>
        <i x="10" s="1"/>
        <i x="11" s="1"/>
        <i x="12" s="1"/>
        <i x="13" s="1"/>
        <i x="14" s="1"/>
        <i x="15" s="1"/>
        <i x="16" s="1"/>
        <i x="17" s="1"/>
        <i x="18" s="1"/>
        <i x="19" s="1"/>
        <i x="20" s="1"/>
        <i x="21" s="1"/>
        <i x="22" s="1"/>
        <i x="23" s="1"/>
        <i x="24" s="1"/>
        <i x="25" s="1"/>
        <i x="26" s="1"/>
        <i x="27" s="1"/>
        <i x="28" s="1"/>
        <i x="2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74455B2-3F31-4CFA-8EC8-2D166DDD12FA}" cache="Slicer_Region" caption="Region" style="SlicerStyleDark2"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Date" xr10:uid="{FB0D6AE1-2BEC-4F2E-83B6-6CD4CB203DF2}" cache="Slicer_Order_Date" caption="Order Dat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6170479-25E3-427D-9802-F2091C70B57F}" name="DataT1" displayName="DataT1" ref="A1:H29" totalsRowShown="0" headerRowDxfId="41" headerRowBorderDxfId="40" tableBorderDxfId="39" totalsRowBorderDxfId="38" headerRowCellStyle="Normal 2">
  <autoFilter ref="A1:H29" xr:uid="{F6170479-25E3-427D-9802-F2091C70B57F}"/>
  <tableColumns count="8">
    <tableColumn id="1" xr3:uid="{1C25C626-50AC-4C57-A95D-5A67150638BA}" name="EMP ID" dataDxfId="37" dataCellStyle="Normal 2"/>
    <tableColumn id="2" xr3:uid="{7EB659DE-1E20-4DF0-BB3C-3D1AEC01CC9F}" name="FIRST" dataDxfId="36" dataCellStyle="Normal 2"/>
    <tableColumn id="3" xr3:uid="{591292C1-0B9C-495D-ADAB-4B350A3526DD}" name="LAST" dataDxfId="35" dataCellStyle="Normal 2"/>
    <tableColumn id="4" xr3:uid="{57EB0729-7E49-44D2-9A33-83E9552B3560}" name="DATE of HIRE" dataDxfId="34" dataCellStyle="Normal 2"/>
    <tableColumn id="5" xr3:uid="{CF6D9412-32BD-4A76-84F7-8BFABBD3007C}" name="DEPT" dataDxfId="33" dataCellStyle="Normal 2"/>
    <tableColumn id="6" xr3:uid="{4799EA04-660B-4500-837D-D1F305F5301F}" name="HRS" dataDxfId="32" dataCellStyle="Normal 2"/>
    <tableColumn id="7" xr3:uid="{D24D5DDC-51B8-4329-B44A-7C6EBCF4BFE3}" name="HOURLY RATE" dataDxfId="31" dataCellStyle="Normal 2"/>
    <tableColumn id="8" xr3:uid="{58B61F2D-4314-43F6-B695-77292F7F6584}" name="GROSS PAY" dataDxfId="30" dataCellStyle="Normal 2">
      <calculatedColumnFormula>F2*G2</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E30CE47-B212-48DA-88BB-CB23C021F1E3}" name="DataT2" displayName="DataT2" ref="A1:H30" totalsRowShown="0" headerRowDxfId="29" headerRowBorderDxfId="28" tableBorderDxfId="27" headerRowCellStyle="Normal 2">
  <autoFilter ref="A1:H30" xr:uid="{7E30CE47-B212-48DA-88BB-CB23C021F1E3}"/>
  <tableColumns count="8">
    <tableColumn id="1" xr3:uid="{C2BA6026-029B-473F-B71E-EC7229322854}" name="EMP ID" dataDxfId="26" dataCellStyle="Normal 2"/>
    <tableColumn id="2" xr3:uid="{6CD0708D-E9D0-47F8-B059-A58E7FD6F576}" name="FIRST" dataDxfId="25" dataCellStyle="Normal 2"/>
    <tableColumn id="3" xr3:uid="{D8B2B290-3E08-4766-92EE-699F9C2AAD8F}" name="LAST" dataDxfId="24" dataCellStyle="Normal 2"/>
    <tableColumn id="4" xr3:uid="{D3B4BBF0-FE0A-4AF9-BBF5-DACA9524428B}" name="DATE of HIRE" dataDxfId="23" dataCellStyle="Normal 2"/>
    <tableColumn id="5" xr3:uid="{1FF16826-A3E0-4A53-8AA2-A4EE91A10B77}" name="DEPT" dataDxfId="22" dataCellStyle="Normal 2"/>
    <tableColumn id="6" xr3:uid="{9B7B56F5-BABB-4819-AC79-A9CFC3BCB92F}" name="HRS" dataDxfId="21" dataCellStyle="Normal 2"/>
    <tableColumn id="7" xr3:uid="{93C30DC2-7B74-4EC9-B743-4099C2320503}" name="HOURLY RATE" dataDxfId="20" dataCellStyle="Normal 2"/>
    <tableColumn id="8" xr3:uid="{25804853-1833-4F9C-A9AE-54E4D9A25E0F}" name="GROSS PAY" dataDxfId="19" dataCellStyle="Normal 2">
      <calculatedColumnFormula>F2*G2</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32DCBB-1C0E-4BFD-B8FA-10602CB0686D}" name="DataT3" displayName="DataT3" ref="A1:H38" totalsRowShown="0" headerRowDxfId="18" headerRowBorderDxfId="17" tableBorderDxfId="16" headerRowCellStyle="Normal 2">
  <autoFilter ref="A1:H38" xr:uid="{4F32DCBB-1C0E-4BFD-B8FA-10602CB0686D}"/>
  <tableColumns count="8">
    <tableColumn id="1" xr3:uid="{3D9E6BDD-3FC7-4DAA-A93A-6C41CC55657B}" name="EMP ID" dataDxfId="15" dataCellStyle="Normal 2"/>
    <tableColumn id="2" xr3:uid="{DF2B5B33-6AE7-432D-A475-EB5BE73DF65F}" name="FIRST" dataDxfId="14" dataCellStyle="Normal 2"/>
    <tableColumn id="3" xr3:uid="{67673FD3-0A29-43E3-B056-9C3A00C55CA9}" name="LAST" dataDxfId="13" dataCellStyle="Normal 2"/>
    <tableColumn id="4" xr3:uid="{20898E43-77CD-492F-8012-984EE916EEEA}" name="DATE of HIRE" dataDxfId="12" dataCellStyle="Normal 2"/>
    <tableColumn id="5" xr3:uid="{28CF2269-7CE2-4924-BC08-8E6C0B8ECE2C}" name="DEPT" dataDxfId="11" dataCellStyle="Normal 2"/>
    <tableColumn id="6" xr3:uid="{373BA0CE-DF34-4CFB-A0DA-7369B668DD5B}" name="HRS" dataDxfId="10" dataCellStyle="Normal 2"/>
    <tableColumn id="7" xr3:uid="{BFD26754-D75E-4A0B-A203-6A79C479C228}" name="HOURLY RATE" dataDxfId="9" dataCellStyle="Normal 2"/>
    <tableColumn id="8" xr3:uid="{0797B33D-3CC0-47F0-990E-C58003E9AC7B}" name="GROSS PAY" dataDxfId="8" dataCellStyle="Normal 2">
      <calculatedColumnFormula>F2*G2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0E39AC7-59BB-4AFC-98BD-9F24B68E0E08}" sourceName="Order Date">
  <pivotTables>
    <pivotTable tabId="100" name="PivotTable3"/>
  </pivotTables>
  <state minimalRefreshVersion="6" lastRefreshVersion="6" pivotCacheId="1448075737" filterType="unknown">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FDE6C3EF-2029-46AE-A3C4-CEDEF56FC43C}" cache="NativeTimeline_Order_Date" caption="Order Date" level="1" selectionLevel="1" scrollPosition="2022-01-01T00:00:00"/>
</timeline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3.xml"/></Relationships>
</file>

<file path=xl/worksheets/_rels/sheet42.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0.bin"/><Relationship Id="rId1" Type="http://schemas.openxmlformats.org/officeDocument/2006/relationships/pivotTable" Target="../pivotTables/pivotTable4.xml"/><Relationship Id="rId4" Type="http://schemas.microsoft.com/office/2007/relationships/slicer" Target="../slicers/slicer1.xml"/></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6.xml"/></Relationships>
</file>

<file path=xl/worksheets/_rels/sheet4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1.xml"/><Relationship Id="rId1" Type="http://schemas.openxmlformats.org/officeDocument/2006/relationships/pivotTable" Target="../pivotTables/pivotTable7.xml"/><Relationship Id="rId4" Type="http://schemas.microsoft.com/office/2011/relationships/timeline" Target="../timelines/timeline1.xm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16171-6891-42C4-955D-D3E86FB340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M32"/>
  <sheetViews>
    <sheetView topLeftCell="A14" zoomScale="120" zoomScaleNormal="120" workbookViewId="0">
      <selection activeCell="H25" sqref="H25"/>
    </sheetView>
  </sheetViews>
  <sheetFormatPr defaultColWidth="8.90625" defaultRowHeight="13.2" x14ac:dyDescent="0.25"/>
  <cols>
    <col min="1" max="1" width="14" style="11" bestFit="1" customWidth="1"/>
    <col min="2" max="3" width="8.90625" style="11"/>
    <col min="4" max="4" width="12.6328125" style="11" bestFit="1" customWidth="1"/>
    <col min="5" max="6" width="8.90625" style="11"/>
    <col min="7" max="7" width="12.6328125" style="11" bestFit="1" customWidth="1"/>
    <col min="8" max="8" width="8.90625" style="11"/>
    <col min="9" max="9" width="13.08984375" style="11" bestFit="1" customWidth="1"/>
    <col min="10" max="10" width="15.6328125" style="11" bestFit="1" customWidth="1"/>
    <col min="11" max="11" width="8.90625" style="11"/>
    <col min="12" max="12" width="12.6328125" style="11" bestFit="1" customWidth="1"/>
    <col min="13" max="16384" width="8.90625" style="11"/>
  </cols>
  <sheetData>
    <row r="1" spans="1:13" s="140" customFormat="1" ht="20.399999999999999" customHeight="1" x14ac:dyDescent="0.25">
      <c r="A1" s="364" t="s">
        <v>19</v>
      </c>
      <c r="B1" s="365"/>
      <c r="D1" s="364" t="s">
        <v>30</v>
      </c>
      <c r="E1" s="366"/>
      <c r="F1" s="366"/>
      <c r="G1" s="365"/>
      <c r="I1" s="364" t="s">
        <v>29</v>
      </c>
      <c r="J1" s="365"/>
      <c r="L1" s="364" t="s">
        <v>17</v>
      </c>
      <c r="M1" s="365"/>
    </row>
    <row r="2" spans="1:13" x14ac:dyDescent="0.25">
      <c r="A2" s="70"/>
      <c r="B2" s="70"/>
      <c r="D2" s="212"/>
      <c r="E2" s="70"/>
      <c r="F2" s="70"/>
      <c r="G2" s="208"/>
      <c r="I2" s="70"/>
      <c r="J2" s="70"/>
      <c r="L2" s="70"/>
      <c r="M2" s="70"/>
    </row>
    <row r="3" spans="1:13" s="214" customFormat="1" x14ac:dyDescent="0.25">
      <c r="A3" s="213" t="s">
        <v>9</v>
      </c>
      <c r="B3" s="213" t="s">
        <v>16</v>
      </c>
      <c r="D3" s="215" t="s">
        <v>28</v>
      </c>
      <c r="E3" s="213" t="s">
        <v>27</v>
      </c>
      <c r="F3" s="213" t="s">
        <v>26</v>
      </c>
      <c r="G3" s="210" t="s">
        <v>25</v>
      </c>
      <c r="I3" s="213" t="s">
        <v>9</v>
      </c>
      <c r="J3" s="213" t="s">
        <v>16</v>
      </c>
      <c r="L3" s="213" t="s">
        <v>9</v>
      </c>
      <c r="M3" s="213" t="s">
        <v>16</v>
      </c>
    </row>
    <row r="4" spans="1:13" x14ac:dyDescent="0.25">
      <c r="A4" s="70" t="s">
        <v>7</v>
      </c>
      <c r="B4" s="70">
        <v>85</v>
      </c>
      <c r="D4" s="212" t="s">
        <v>24</v>
      </c>
      <c r="E4" s="70">
        <v>150</v>
      </c>
      <c r="F4" s="70">
        <v>10</v>
      </c>
      <c r="G4" s="210">
        <f xml:space="preserve"> PRODUCT($E4:$F4)</f>
        <v>1500</v>
      </c>
      <c r="I4" s="70" t="s">
        <v>7</v>
      </c>
      <c r="J4" s="70">
        <v>85</v>
      </c>
      <c r="L4" s="70" t="s">
        <v>7</v>
      </c>
      <c r="M4" s="70">
        <v>85</v>
      </c>
    </row>
    <row r="5" spans="1:13" x14ac:dyDescent="0.25">
      <c r="A5" s="70" t="s">
        <v>6</v>
      </c>
      <c r="B5" s="70">
        <v>96</v>
      </c>
      <c r="D5" s="212" t="s">
        <v>23</v>
      </c>
      <c r="E5" s="70">
        <v>200</v>
      </c>
      <c r="F5" s="70">
        <v>15</v>
      </c>
      <c r="G5" s="210">
        <f t="shared" ref="G5:G8" si="0" xml:space="preserve"> PRODUCT($E5:$F5)</f>
        <v>3000</v>
      </c>
      <c r="I5" s="70" t="s">
        <v>6</v>
      </c>
      <c r="J5" s="70">
        <v>96</v>
      </c>
      <c r="L5" s="70" t="s">
        <v>6</v>
      </c>
      <c r="M5" s="70">
        <v>96</v>
      </c>
    </row>
    <row r="6" spans="1:13" x14ac:dyDescent="0.25">
      <c r="A6" s="70" t="s">
        <v>80</v>
      </c>
      <c r="B6" s="70">
        <v>78</v>
      </c>
      <c r="D6" s="212" t="s">
        <v>22</v>
      </c>
      <c r="E6" s="70">
        <v>250</v>
      </c>
      <c r="F6" s="70">
        <v>20</v>
      </c>
      <c r="G6" s="210">
        <f t="shared" si="0"/>
        <v>5000</v>
      </c>
      <c r="I6" s="70" t="s">
        <v>80</v>
      </c>
      <c r="J6" s="70">
        <v>78</v>
      </c>
      <c r="L6" s="70" t="s">
        <v>80</v>
      </c>
      <c r="M6" s="70">
        <v>78</v>
      </c>
    </row>
    <row r="7" spans="1:13" x14ac:dyDescent="0.25">
      <c r="A7" s="70" t="s">
        <v>5</v>
      </c>
      <c r="B7" s="70">
        <v>65</v>
      </c>
      <c r="D7" s="212" t="s">
        <v>21</v>
      </c>
      <c r="E7" s="70">
        <v>300</v>
      </c>
      <c r="F7" s="70">
        <v>25</v>
      </c>
      <c r="G7" s="210">
        <f t="shared" si="0"/>
        <v>7500</v>
      </c>
      <c r="I7" s="70" t="s">
        <v>5</v>
      </c>
      <c r="J7" s="70">
        <v>65</v>
      </c>
      <c r="L7" s="70" t="s">
        <v>5</v>
      </c>
      <c r="M7" s="70">
        <v>65</v>
      </c>
    </row>
    <row r="8" spans="1:13" ht="13.8" thickBot="1" x14ac:dyDescent="0.3">
      <c r="A8" s="70" t="s">
        <v>3</v>
      </c>
      <c r="B8" s="70">
        <v>89</v>
      </c>
      <c r="D8" s="216" t="s">
        <v>20</v>
      </c>
      <c r="E8" s="207">
        <v>350</v>
      </c>
      <c r="F8" s="207">
        <v>30</v>
      </c>
      <c r="G8" s="210">
        <f t="shared" si="0"/>
        <v>10500</v>
      </c>
      <c r="I8" s="70" t="s">
        <v>3</v>
      </c>
      <c r="J8" s="70">
        <v>89</v>
      </c>
      <c r="L8" s="70" t="s">
        <v>3</v>
      </c>
      <c r="M8" s="70">
        <v>89</v>
      </c>
    </row>
    <row r="9" spans="1:13" s="140" customFormat="1" ht="20.399999999999999" x14ac:dyDescent="0.25">
      <c r="A9" s="211" t="s">
        <v>19</v>
      </c>
      <c r="B9" s="206">
        <f xml:space="preserve"> SUM(B4:B8)</f>
        <v>413</v>
      </c>
      <c r="D9" s="211"/>
      <c r="E9" s="209"/>
      <c r="F9" s="211"/>
      <c r="G9" s="209"/>
      <c r="I9" s="211" t="s">
        <v>18</v>
      </c>
      <c r="J9" s="209">
        <f xml:space="preserve"> AVERAGE(J4:J8)</f>
        <v>82.6</v>
      </c>
      <c r="L9" s="211" t="s">
        <v>17</v>
      </c>
      <c r="M9" s="209">
        <f xml:space="preserve"> MIN(M4:M8)</f>
        <v>65</v>
      </c>
    </row>
    <row r="11" spans="1:13" ht="13.8" thickBot="1" x14ac:dyDescent="0.3"/>
    <row r="12" spans="1:13" s="140" customFormat="1" ht="20.399999999999999" customHeight="1" x14ac:dyDescent="0.25">
      <c r="A12" s="364" t="s">
        <v>14</v>
      </c>
      <c r="B12" s="365"/>
      <c r="D12" s="364" t="s">
        <v>11</v>
      </c>
      <c r="E12" s="365"/>
      <c r="G12" s="364" t="s">
        <v>13</v>
      </c>
      <c r="H12" s="365"/>
      <c r="J12" s="364" t="s">
        <v>12</v>
      </c>
      <c r="K12" s="365"/>
    </row>
    <row r="13" spans="1:13" x14ac:dyDescent="0.25">
      <c r="A13" s="212"/>
      <c r="B13" s="208"/>
      <c r="D13" s="70"/>
      <c r="E13" s="70"/>
      <c r="G13" s="212"/>
      <c r="H13" s="208"/>
      <c r="J13" s="212"/>
      <c r="K13" s="208"/>
    </row>
    <row r="14" spans="1:13" s="214" customFormat="1" x14ac:dyDescent="0.25">
      <c r="A14" s="215" t="s">
        <v>9</v>
      </c>
      <c r="B14" s="210" t="s">
        <v>16</v>
      </c>
      <c r="D14" s="213" t="s">
        <v>9</v>
      </c>
      <c r="E14" s="213" t="s">
        <v>16</v>
      </c>
      <c r="G14" s="215" t="s">
        <v>9</v>
      </c>
      <c r="H14" s="210" t="s">
        <v>16</v>
      </c>
      <c r="J14" s="215" t="s">
        <v>9</v>
      </c>
      <c r="K14" s="210" t="s">
        <v>16</v>
      </c>
    </row>
    <row r="15" spans="1:13" x14ac:dyDescent="0.25">
      <c r="A15" s="212" t="s">
        <v>7</v>
      </c>
      <c r="B15" s="208">
        <v>85</v>
      </c>
      <c r="D15" s="70" t="s">
        <v>7</v>
      </c>
      <c r="E15" s="70">
        <v>85</v>
      </c>
      <c r="G15" s="212" t="s">
        <v>7</v>
      </c>
      <c r="H15" s="208">
        <v>85</v>
      </c>
      <c r="J15" s="212" t="s">
        <v>7</v>
      </c>
      <c r="K15" s="208">
        <v>85</v>
      </c>
    </row>
    <row r="16" spans="1:13" x14ac:dyDescent="0.25">
      <c r="A16" s="212" t="s">
        <v>6</v>
      </c>
      <c r="B16" s="208">
        <v>96</v>
      </c>
      <c r="D16" s="70" t="s">
        <v>6</v>
      </c>
      <c r="E16" s="70">
        <v>96</v>
      </c>
      <c r="G16" s="212" t="s">
        <v>6</v>
      </c>
      <c r="H16" s="208" t="s">
        <v>15</v>
      </c>
      <c r="J16" s="212" t="s">
        <v>6</v>
      </c>
      <c r="K16" s="208"/>
    </row>
    <row r="17" spans="1:11" x14ac:dyDescent="0.25">
      <c r="A17" s="212" t="s">
        <v>80</v>
      </c>
      <c r="B17" s="208">
        <v>78</v>
      </c>
      <c r="D17" s="70" t="s">
        <v>80</v>
      </c>
      <c r="E17" s="70">
        <v>78</v>
      </c>
      <c r="G17" s="212" t="s">
        <v>80</v>
      </c>
      <c r="H17" s="208">
        <v>78</v>
      </c>
      <c r="J17" s="212" t="s">
        <v>80</v>
      </c>
      <c r="K17" s="208">
        <v>78</v>
      </c>
    </row>
    <row r="18" spans="1:11" x14ac:dyDescent="0.25">
      <c r="A18" s="212" t="s">
        <v>5</v>
      </c>
      <c r="B18" s="208">
        <v>65</v>
      </c>
      <c r="D18" s="70" t="s">
        <v>5</v>
      </c>
      <c r="E18" s="70">
        <v>65</v>
      </c>
      <c r="G18" s="212" t="s">
        <v>5</v>
      </c>
      <c r="H18" s="208">
        <v>65</v>
      </c>
      <c r="J18" s="212" t="s">
        <v>5</v>
      </c>
      <c r="K18" s="208">
        <v>65</v>
      </c>
    </row>
    <row r="19" spans="1:11" x14ac:dyDescent="0.25">
      <c r="A19" s="212" t="s">
        <v>3</v>
      </c>
      <c r="B19" s="208">
        <v>89</v>
      </c>
      <c r="D19" s="70" t="s">
        <v>3</v>
      </c>
      <c r="E19" s="70">
        <v>89</v>
      </c>
      <c r="G19" s="212" t="s">
        <v>3</v>
      </c>
      <c r="H19" s="208">
        <v>89</v>
      </c>
      <c r="J19" s="212" t="s">
        <v>3</v>
      </c>
      <c r="K19" s="208">
        <v>89</v>
      </c>
    </row>
    <row r="20" spans="1:11" s="140" customFormat="1" ht="20.399999999999999" x14ac:dyDescent="0.25">
      <c r="A20" s="211" t="s">
        <v>14</v>
      </c>
      <c r="B20" s="209">
        <f xml:space="preserve"> MAX(B15:B19)</f>
        <v>96</v>
      </c>
      <c r="D20" s="211" t="s">
        <v>11</v>
      </c>
      <c r="E20" s="209">
        <f xml:space="preserve"> COUNT(E15:E19)</f>
        <v>5</v>
      </c>
      <c r="F20" s="140" t="s">
        <v>550</v>
      </c>
      <c r="G20" s="211" t="s">
        <v>13</v>
      </c>
      <c r="H20" s="209">
        <f xml:space="preserve"> COUNTA(H15:H19)</f>
        <v>5</v>
      </c>
      <c r="J20" s="211" t="s">
        <v>12</v>
      </c>
      <c r="K20" s="209">
        <f xml:space="preserve"> COUNTBLANK(K15:K19)</f>
        <v>1</v>
      </c>
    </row>
    <row r="21" spans="1:11" s="140" customFormat="1" ht="20.399999999999999" x14ac:dyDescent="0.25">
      <c r="G21" s="211" t="s">
        <v>11</v>
      </c>
      <c r="H21" s="209">
        <f xml:space="preserve"> COUNT(H15:H19)</f>
        <v>4</v>
      </c>
      <c r="J21" s="211" t="s">
        <v>11</v>
      </c>
      <c r="K21" s="209">
        <f xml:space="preserve"> COUNT(K15:K19)</f>
        <v>4</v>
      </c>
    </row>
    <row r="23" spans="1:11" s="140" customFormat="1" ht="21.6" customHeight="1" x14ac:dyDescent="0.25">
      <c r="A23" s="363" t="s">
        <v>10</v>
      </c>
      <c r="B23" s="363"/>
      <c r="E23" s="367" t="s">
        <v>841</v>
      </c>
      <c r="F23" s="368"/>
      <c r="G23" s="214"/>
    </row>
    <row r="24" spans="1:11" ht="15" x14ac:dyDescent="0.25">
      <c r="A24" s="212"/>
      <c r="B24" s="208"/>
      <c r="E24" s="355" t="s">
        <v>19</v>
      </c>
      <c r="F24" s="356"/>
    </row>
    <row r="25" spans="1:11" s="214" customFormat="1" ht="15.6" x14ac:dyDescent="0.3">
      <c r="A25" s="215" t="s">
        <v>9</v>
      </c>
      <c r="B25" s="210" t="s">
        <v>8</v>
      </c>
      <c r="E25" s="361" t="s">
        <v>30</v>
      </c>
      <c r="F25" s="362"/>
    </row>
    <row r="26" spans="1:11" ht="15" x14ac:dyDescent="0.25">
      <c r="A26" s="212" t="s">
        <v>7</v>
      </c>
      <c r="B26" s="208" t="s">
        <v>4</v>
      </c>
      <c r="E26" s="355" t="s">
        <v>29</v>
      </c>
      <c r="F26" s="356"/>
    </row>
    <row r="27" spans="1:11" ht="15" x14ac:dyDescent="0.25">
      <c r="A27" s="212" t="s">
        <v>6</v>
      </c>
      <c r="B27" s="208" t="s">
        <v>2</v>
      </c>
      <c r="E27" s="355" t="s">
        <v>17</v>
      </c>
      <c r="F27" s="356"/>
    </row>
    <row r="28" spans="1:11" ht="15" x14ac:dyDescent="0.25">
      <c r="A28" s="212" t="s">
        <v>80</v>
      </c>
      <c r="B28" s="208" t="s">
        <v>2</v>
      </c>
      <c r="E28" s="355" t="s">
        <v>14</v>
      </c>
      <c r="F28" s="356"/>
    </row>
    <row r="29" spans="1:11" ht="15" x14ac:dyDescent="0.25">
      <c r="A29" s="212" t="s">
        <v>5</v>
      </c>
      <c r="B29" s="208" t="s">
        <v>4</v>
      </c>
      <c r="E29" s="355" t="s">
        <v>11</v>
      </c>
      <c r="F29" s="356"/>
    </row>
    <row r="30" spans="1:11" ht="15" x14ac:dyDescent="0.25">
      <c r="A30" s="212" t="s">
        <v>3</v>
      </c>
      <c r="B30" s="208" t="s">
        <v>2</v>
      </c>
      <c r="E30" s="355" t="s">
        <v>13</v>
      </c>
      <c r="F30" s="356"/>
    </row>
    <row r="31" spans="1:11" s="140" customFormat="1" ht="20.399999999999999" x14ac:dyDescent="0.25">
      <c r="A31" s="211" t="s">
        <v>1</v>
      </c>
      <c r="B31" s="209">
        <f xml:space="preserve"> COUNTIF(B26:B30, "F")</f>
        <v>2</v>
      </c>
      <c r="E31" s="357" t="s">
        <v>12</v>
      </c>
      <c r="F31" s="358"/>
    </row>
    <row r="32" spans="1:11" s="140" customFormat="1" ht="20.399999999999999" x14ac:dyDescent="0.25">
      <c r="A32" s="211" t="s">
        <v>0</v>
      </c>
      <c r="B32" s="209">
        <f xml:space="preserve"> COUNTIF(B26:B30, "M")</f>
        <v>3</v>
      </c>
      <c r="E32" s="359" t="s">
        <v>10</v>
      </c>
      <c r="F32" s="360"/>
    </row>
  </sheetData>
  <customSheetViews>
    <customSheetView guid="{BBE43EB8-AC5B-419E-90E4-72D0C525AF66}">
      <selection sqref="A1:B1"/>
      <pageMargins left="0.7" right="0.7" top="0.75" bottom="0.75" header="0.3" footer="0.3"/>
    </customSheetView>
  </customSheetViews>
  <mergeCells count="19">
    <mergeCell ref="A23:B23"/>
    <mergeCell ref="A1:B1"/>
    <mergeCell ref="D1:G1"/>
    <mergeCell ref="I1:J1"/>
    <mergeCell ref="L1:M1"/>
    <mergeCell ref="A12:B12"/>
    <mergeCell ref="D12:E12"/>
    <mergeCell ref="G12:H12"/>
    <mergeCell ref="J12:K12"/>
    <mergeCell ref="E23:F23"/>
    <mergeCell ref="E29:F29"/>
    <mergeCell ref="E30:F30"/>
    <mergeCell ref="E31:F31"/>
    <mergeCell ref="E32:F32"/>
    <mergeCell ref="E24:F24"/>
    <mergeCell ref="E25:F25"/>
    <mergeCell ref="E26:F26"/>
    <mergeCell ref="E27:F27"/>
    <mergeCell ref="E28:F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dimension ref="A1:G20"/>
  <sheetViews>
    <sheetView zoomScale="150" zoomScaleNormal="150" workbookViewId="0">
      <selection activeCell="E4" sqref="E4"/>
    </sheetView>
  </sheetViews>
  <sheetFormatPr defaultColWidth="8.90625" defaultRowHeight="15" x14ac:dyDescent="0.25"/>
  <cols>
    <col min="1" max="3" width="8.90625" style="90"/>
    <col min="4" max="4" width="18.6328125" style="90" customWidth="1"/>
    <col min="5" max="5" width="16.26953125" style="90" customWidth="1"/>
    <col min="6" max="16384" width="8.90625" style="90"/>
  </cols>
  <sheetData>
    <row r="1" spans="1:7" x14ac:dyDescent="0.25">
      <c r="A1" s="133" t="s">
        <v>37</v>
      </c>
      <c r="B1" s="134" t="s">
        <v>36</v>
      </c>
      <c r="C1" s="134" t="s">
        <v>35</v>
      </c>
      <c r="D1" s="134" t="s">
        <v>774</v>
      </c>
      <c r="E1" s="134" t="s">
        <v>34</v>
      </c>
      <c r="F1" s="3"/>
      <c r="G1" s="3"/>
    </row>
    <row r="2" spans="1:7" x14ac:dyDescent="0.25">
      <c r="A2" s="76" t="s">
        <v>33</v>
      </c>
      <c r="B2" s="75">
        <v>580</v>
      </c>
      <c r="C2" s="75">
        <v>640</v>
      </c>
      <c r="D2" s="91" t="str">
        <f xml:space="preserve"> IF($C2&lt;=$B2,"Achieved","Not Achieved")</f>
        <v>Not Achieved</v>
      </c>
      <c r="E2" s="75" t="str">
        <f xml:space="preserve"> IF($C2&lt;=$B2,"Eligible for Bonus","Not Eligible for Bonus")</f>
        <v>Not Eligible for Bonus</v>
      </c>
    </row>
    <row r="3" spans="1:7" x14ac:dyDescent="0.25">
      <c r="A3" s="76" t="s">
        <v>32</v>
      </c>
      <c r="B3" s="75">
        <v>1200</v>
      </c>
      <c r="C3" s="75">
        <v>1000</v>
      </c>
      <c r="D3" s="91" t="str">
        <f t="shared" ref="D3:D4" si="0" xml:space="preserve"> IF($C3&lt;=$B3,"Achieved","Not Achieved")</f>
        <v>Achieved</v>
      </c>
      <c r="E3" s="75" t="str">
        <f t="shared" ref="E3:E4" si="1" xml:space="preserve"> IF($C3&lt;=$B3,"Eligible for Bonus","Not Eligible for Bonus")</f>
        <v>Eligible for Bonus</v>
      </c>
    </row>
    <row r="4" spans="1:7" x14ac:dyDescent="0.25">
      <c r="A4" s="76" t="s">
        <v>31</v>
      </c>
      <c r="B4" s="75">
        <v>710</v>
      </c>
      <c r="C4" s="75">
        <v>700</v>
      </c>
      <c r="D4" s="91" t="str">
        <f t="shared" si="0"/>
        <v>Achieved</v>
      </c>
      <c r="E4" s="75" t="str">
        <f t="shared" si="1"/>
        <v>Eligible for Bonus</v>
      </c>
    </row>
    <row r="6" spans="1:7" ht="15.6" x14ac:dyDescent="0.3">
      <c r="A6" s="369" t="s">
        <v>841</v>
      </c>
      <c r="B6" s="370"/>
    </row>
    <row r="7" spans="1:7" x14ac:dyDescent="0.25">
      <c r="A7" s="371" t="s">
        <v>842</v>
      </c>
      <c r="B7" s="372"/>
      <c r="C7"/>
    </row>
    <row r="8" spans="1:7" x14ac:dyDescent="0.25">
      <c r="A8"/>
      <c r="B8"/>
      <c r="C8"/>
    </row>
    <row r="9" spans="1:7" x14ac:dyDescent="0.25">
      <c r="A9"/>
      <c r="B9"/>
      <c r="C9"/>
    </row>
    <row r="10" spans="1:7" x14ac:dyDescent="0.25">
      <c r="A10"/>
      <c r="B10"/>
      <c r="C10"/>
    </row>
    <row r="11" spans="1:7" x14ac:dyDescent="0.25">
      <c r="A11"/>
      <c r="B11"/>
      <c r="C11"/>
    </row>
    <row r="20" spans="6:6" x14ac:dyDescent="0.25">
      <c r="F20" s="90" t="s">
        <v>550</v>
      </c>
    </row>
  </sheetData>
  <customSheetViews>
    <customSheetView guid="{BBE43EB8-AC5B-419E-90E4-72D0C525AF66}">
      <pageMargins left="0.7" right="0.7" top="0.75" bottom="0.75" header="0.3" footer="0.3"/>
    </customSheetView>
  </customSheetViews>
  <mergeCells count="2">
    <mergeCell ref="A6:B6"/>
    <mergeCell ref="A7:B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dimension ref="A1:J31"/>
  <sheetViews>
    <sheetView topLeftCell="A7" zoomScale="120" zoomScaleNormal="120" workbookViewId="0">
      <selection activeCell="C20" sqref="C20"/>
    </sheetView>
  </sheetViews>
  <sheetFormatPr defaultColWidth="8.90625" defaultRowHeight="15" x14ac:dyDescent="0.25"/>
  <cols>
    <col min="1" max="1" width="16.90625" style="90" customWidth="1"/>
    <col min="2" max="2" width="11.6328125" style="90" customWidth="1"/>
    <col min="3" max="3" width="15.81640625" style="90" customWidth="1"/>
    <col min="4" max="4" width="16.08984375" style="90" customWidth="1"/>
    <col min="5" max="5" width="23" style="90" customWidth="1"/>
    <col min="6" max="6" width="29.54296875" style="90" customWidth="1"/>
    <col min="7" max="7" width="10.81640625" style="90" bestFit="1" customWidth="1"/>
    <col min="8" max="8" width="15.26953125" style="90" customWidth="1"/>
    <col min="9" max="9" width="16" style="90" customWidth="1"/>
    <col min="10" max="16384" width="8.90625" style="90"/>
  </cols>
  <sheetData>
    <row r="1" spans="1:10" ht="31.2" x14ac:dyDescent="0.25">
      <c r="A1" s="73" t="s">
        <v>678</v>
      </c>
      <c r="B1" s="74" t="s">
        <v>45</v>
      </c>
      <c r="C1" s="74" t="s">
        <v>44</v>
      </c>
      <c r="D1" s="74" t="s">
        <v>43</v>
      </c>
      <c r="E1" s="74" t="s">
        <v>42</v>
      </c>
      <c r="F1" s="74" t="s">
        <v>41</v>
      </c>
      <c r="G1" s="74" t="s">
        <v>40</v>
      </c>
      <c r="H1" s="74" t="s">
        <v>39</v>
      </c>
      <c r="I1" s="74" t="s">
        <v>38</v>
      </c>
    </row>
    <row r="2" spans="1:10" x14ac:dyDescent="0.25">
      <c r="A2" s="181" t="s">
        <v>667</v>
      </c>
      <c r="B2" s="77">
        <v>4900</v>
      </c>
      <c r="C2" s="23">
        <f>$B2*50%</f>
        <v>2450</v>
      </c>
      <c r="D2" s="23">
        <f>$B2*35%</f>
        <v>1715</v>
      </c>
      <c r="E2" s="23">
        <f>$B2*10%</f>
        <v>490</v>
      </c>
      <c r="F2" s="23">
        <f>SUM(B2:E2)</f>
        <v>9555</v>
      </c>
      <c r="G2" s="23">
        <f xml:space="preserve"> _xlfn.IFS($F2&lt;3000,"No Tax", $F2&lt;6000,$F2*10%, $F2&lt;9000,$F2*20%, $F2&gt;9000,$F2*30%)</f>
        <v>2866.5</v>
      </c>
      <c r="H2" s="23">
        <f>$B2*12%</f>
        <v>588</v>
      </c>
      <c r="I2" s="23">
        <f>$F2-$G2-$H2</f>
        <v>6100.5</v>
      </c>
      <c r="J2" s="4"/>
    </row>
    <row r="3" spans="1:10" x14ac:dyDescent="0.25">
      <c r="A3" s="181" t="s">
        <v>668</v>
      </c>
      <c r="B3" s="77">
        <v>3626</v>
      </c>
      <c r="C3" s="23">
        <f t="shared" ref="C3:C9" si="0">$B3*50%</f>
        <v>1813</v>
      </c>
      <c r="D3" s="23">
        <f t="shared" ref="D3:D9" si="1">$B3*35%</f>
        <v>1269.0999999999999</v>
      </c>
      <c r="E3" s="23">
        <f t="shared" ref="E3:E9" si="2">$B3*10%</f>
        <v>362.6</v>
      </c>
      <c r="F3" s="23">
        <f t="shared" ref="F3:F9" si="3">SUM(B3:E3)</f>
        <v>7070.7000000000007</v>
      </c>
      <c r="G3" s="23">
        <f t="shared" ref="G3:G9" si="4" xml:space="preserve"> _xlfn.IFS($F3&lt;3000,"No Tax", $F3&lt;6000,$F3*10%, $F3&lt;9000,$F3*20%, $F3&gt;9000,$F3*30%)</f>
        <v>1414.1400000000003</v>
      </c>
      <c r="H3" s="23">
        <f t="shared" ref="H3:H9" si="5">$B3*12%</f>
        <v>435.12</v>
      </c>
      <c r="I3" s="23">
        <f t="shared" ref="I3:I9" si="6">$F3-$G3-$H3</f>
        <v>5221.4400000000005</v>
      </c>
      <c r="J3" s="4"/>
    </row>
    <row r="4" spans="1:10" x14ac:dyDescent="0.25">
      <c r="A4" s="181" t="s">
        <v>669</v>
      </c>
      <c r="B4" s="77">
        <v>2450</v>
      </c>
      <c r="C4" s="23">
        <f t="shared" si="0"/>
        <v>1225</v>
      </c>
      <c r="D4" s="23">
        <f t="shared" si="1"/>
        <v>857.5</v>
      </c>
      <c r="E4" s="23">
        <f t="shared" si="2"/>
        <v>245</v>
      </c>
      <c r="F4" s="23">
        <f t="shared" si="3"/>
        <v>4777.5</v>
      </c>
      <c r="G4" s="23">
        <f t="shared" si="4"/>
        <v>477.75</v>
      </c>
      <c r="H4" s="23">
        <f t="shared" si="5"/>
        <v>294</v>
      </c>
      <c r="I4" s="23">
        <f t="shared" si="6"/>
        <v>4005.75</v>
      </c>
      <c r="J4" s="4"/>
    </row>
    <row r="5" spans="1:10" x14ac:dyDescent="0.25">
      <c r="A5" s="181" t="s">
        <v>670</v>
      </c>
      <c r="B5" s="77">
        <v>2842</v>
      </c>
      <c r="C5" s="23">
        <f t="shared" si="0"/>
        <v>1421</v>
      </c>
      <c r="D5" s="23">
        <f t="shared" si="1"/>
        <v>994.69999999999993</v>
      </c>
      <c r="E5" s="23">
        <f t="shared" si="2"/>
        <v>284.2</v>
      </c>
      <c r="F5" s="23">
        <f t="shared" si="3"/>
        <v>5541.9</v>
      </c>
      <c r="G5" s="23">
        <f t="shared" si="4"/>
        <v>554.18999999999994</v>
      </c>
      <c r="H5" s="23">
        <f t="shared" si="5"/>
        <v>341.03999999999996</v>
      </c>
      <c r="I5" s="23">
        <f t="shared" si="6"/>
        <v>4646.67</v>
      </c>
      <c r="J5" s="4"/>
    </row>
    <row r="6" spans="1:10" x14ac:dyDescent="0.25">
      <c r="A6" s="181" t="s">
        <v>671</v>
      </c>
      <c r="B6" s="77">
        <v>12000</v>
      </c>
      <c r="C6" s="23">
        <f t="shared" si="0"/>
        <v>6000</v>
      </c>
      <c r="D6" s="23">
        <f t="shared" si="1"/>
        <v>4200</v>
      </c>
      <c r="E6" s="23">
        <f t="shared" si="2"/>
        <v>1200</v>
      </c>
      <c r="F6" s="23">
        <f t="shared" si="3"/>
        <v>23400</v>
      </c>
      <c r="G6" s="23">
        <f t="shared" si="4"/>
        <v>7020</v>
      </c>
      <c r="H6" s="23">
        <f t="shared" si="5"/>
        <v>1440</v>
      </c>
      <c r="I6" s="23">
        <f t="shared" si="6"/>
        <v>14940</v>
      </c>
      <c r="J6" s="4"/>
    </row>
    <row r="7" spans="1:10" x14ac:dyDescent="0.25">
      <c r="A7" s="181" t="s">
        <v>672</v>
      </c>
      <c r="B7" s="77">
        <v>3528</v>
      </c>
      <c r="C7" s="23">
        <f t="shared" si="0"/>
        <v>1764</v>
      </c>
      <c r="D7" s="23">
        <f t="shared" si="1"/>
        <v>1234.8</v>
      </c>
      <c r="E7" s="23">
        <f t="shared" si="2"/>
        <v>352.8</v>
      </c>
      <c r="F7" s="23">
        <f t="shared" si="3"/>
        <v>6879.6</v>
      </c>
      <c r="G7" s="23">
        <f t="shared" si="4"/>
        <v>1375.92</v>
      </c>
      <c r="H7" s="23">
        <f t="shared" si="5"/>
        <v>423.35999999999996</v>
      </c>
      <c r="I7" s="23">
        <f t="shared" si="6"/>
        <v>5080.3200000000006</v>
      </c>
      <c r="J7" s="4"/>
    </row>
    <row r="8" spans="1:10" x14ac:dyDescent="0.25">
      <c r="A8" s="181" t="s">
        <v>673</v>
      </c>
      <c r="B8" s="77">
        <v>18350</v>
      </c>
      <c r="C8" s="23">
        <f t="shared" si="0"/>
        <v>9175</v>
      </c>
      <c r="D8" s="23">
        <f t="shared" si="1"/>
        <v>6422.5</v>
      </c>
      <c r="E8" s="23">
        <f t="shared" si="2"/>
        <v>1835</v>
      </c>
      <c r="F8" s="23">
        <f t="shared" si="3"/>
        <v>35782.5</v>
      </c>
      <c r="G8" s="23">
        <f t="shared" si="4"/>
        <v>10734.75</v>
      </c>
      <c r="H8" s="23">
        <f t="shared" si="5"/>
        <v>2202</v>
      </c>
      <c r="I8" s="23">
        <f t="shared" si="6"/>
        <v>22845.75</v>
      </c>
    </row>
    <row r="9" spans="1:10" x14ac:dyDescent="0.25">
      <c r="A9" s="181" t="s">
        <v>674</v>
      </c>
      <c r="B9" s="77">
        <v>2842</v>
      </c>
      <c r="C9" s="23">
        <f t="shared" si="0"/>
        <v>1421</v>
      </c>
      <c r="D9" s="23">
        <f t="shared" si="1"/>
        <v>994.69999999999993</v>
      </c>
      <c r="E9" s="23">
        <f t="shared" si="2"/>
        <v>284.2</v>
      </c>
      <c r="F9" s="23">
        <f t="shared" si="3"/>
        <v>5541.9</v>
      </c>
      <c r="G9" s="23">
        <f t="shared" si="4"/>
        <v>554.18999999999994</v>
      </c>
      <c r="H9" s="23">
        <f t="shared" si="5"/>
        <v>341.03999999999996</v>
      </c>
      <c r="I9" s="23">
        <f t="shared" si="6"/>
        <v>4646.67</v>
      </c>
    </row>
    <row r="10" spans="1:10" ht="15.6" x14ac:dyDescent="0.3">
      <c r="A10" s="7"/>
      <c r="B10" s="5"/>
    </row>
    <row r="11" spans="1:10" ht="15.6" x14ac:dyDescent="0.3">
      <c r="A11" s="7"/>
      <c r="B11" s="5"/>
      <c r="F11"/>
      <c r="G11" s="22"/>
    </row>
    <row r="12" spans="1:10" ht="17.399999999999999" x14ac:dyDescent="0.3">
      <c r="A12" s="218" t="s">
        <v>779</v>
      </c>
      <c r="F12" s="217" t="s">
        <v>775</v>
      </c>
      <c r="G12" s="219" t="s">
        <v>780</v>
      </c>
    </row>
    <row r="13" spans="1:10" ht="17.399999999999999" x14ac:dyDescent="0.3">
      <c r="A13" s="131" t="s">
        <v>738</v>
      </c>
      <c r="F13" s="90" t="s">
        <v>776</v>
      </c>
    </row>
    <row r="14" spans="1:10" ht="17.399999999999999" x14ac:dyDescent="0.3">
      <c r="A14" s="131" t="s">
        <v>739</v>
      </c>
      <c r="F14" s="90" t="s">
        <v>777</v>
      </c>
    </row>
    <row r="15" spans="1:10" ht="17.399999999999999" x14ac:dyDescent="0.3">
      <c r="A15" s="131" t="s">
        <v>740</v>
      </c>
      <c r="F15" s="90" t="s">
        <v>778</v>
      </c>
    </row>
    <row r="16" spans="1:10" ht="17.399999999999999" x14ac:dyDescent="0.3">
      <c r="A16" s="131" t="s">
        <v>741</v>
      </c>
      <c r="F16" s="22"/>
    </row>
    <row r="17" spans="1:10" ht="15.6" x14ac:dyDescent="0.3">
      <c r="A17" s="7"/>
    </row>
    <row r="18" spans="1:10" ht="34.799999999999997" customHeight="1" x14ac:dyDescent="0.25">
      <c r="A18" s="373" t="s">
        <v>841</v>
      </c>
      <c r="B18" s="374"/>
    </row>
    <row r="19" spans="1:10" ht="15.6" customHeight="1" x14ac:dyDescent="0.25">
      <c r="A19" s="375" t="s">
        <v>19</v>
      </c>
      <c r="B19" s="376"/>
    </row>
    <row r="20" spans="1:10" ht="15.6" customHeight="1" x14ac:dyDescent="0.25">
      <c r="A20" s="377" t="s">
        <v>843</v>
      </c>
      <c r="B20" s="378"/>
      <c r="C20" s="6"/>
      <c r="D20" s="4"/>
    </row>
    <row r="21" spans="1:10" ht="15.6" x14ac:dyDescent="0.3">
      <c r="B21" s="5"/>
      <c r="C21" s="4"/>
      <c r="D21" s="4"/>
    </row>
    <row r="22" spans="1:10" ht="15.6" x14ac:dyDescent="0.3">
      <c r="B22" s="5"/>
      <c r="C22" s="5"/>
      <c r="D22" s="5"/>
      <c r="E22" s="5"/>
      <c r="F22" s="5"/>
      <c r="G22" s="5"/>
      <c r="H22" s="5"/>
      <c r="I22" s="4"/>
    </row>
    <row r="23" spans="1:10" ht="15.6" x14ac:dyDescent="0.3">
      <c r="B23" s="5"/>
      <c r="C23" s="5"/>
      <c r="E23" s="5"/>
      <c r="F23" s="5"/>
      <c r="G23" s="5"/>
      <c r="H23" s="5"/>
      <c r="I23" s="4"/>
    </row>
    <row r="24" spans="1:10" ht="15.6" x14ac:dyDescent="0.3">
      <c r="B24" s="5"/>
      <c r="C24" s="5"/>
      <c r="E24" s="5"/>
      <c r="F24" s="5"/>
      <c r="G24" s="5"/>
      <c r="H24" s="5"/>
      <c r="I24" s="4"/>
    </row>
    <row r="25" spans="1:10" ht="15.6" x14ac:dyDescent="0.3">
      <c r="B25" s="5"/>
      <c r="C25" s="5"/>
      <c r="E25" s="5"/>
      <c r="F25" s="5"/>
      <c r="G25" s="5"/>
      <c r="H25" s="5"/>
      <c r="I25" s="4"/>
    </row>
    <row r="26" spans="1:10" ht="15.6" x14ac:dyDescent="0.3">
      <c r="B26" s="5"/>
      <c r="C26" s="5"/>
      <c r="E26" s="5"/>
      <c r="F26" s="5"/>
      <c r="G26" s="5"/>
      <c r="H26" s="5"/>
      <c r="I26" s="4"/>
    </row>
    <row r="27" spans="1:10" ht="15.6" x14ac:dyDescent="0.3">
      <c r="B27" s="5"/>
      <c r="C27" s="5"/>
      <c r="E27" s="5"/>
      <c r="F27" s="5"/>
      <c r="G27" s="5"/>
      <c r="H27" s="5"/>
      <c r="I27" s="4"/>
    </row>
    <row r="28" spans="1:10" ht="15.6" x14ac:dyDescent="0.3">
      <c r="B28" s="5"/>
      <c r="C28" s="5"/>
      <c r="E28" s="5"/>
      <c r="F28" s="5"/>
      <c r="G28" s="5"/>
      <c r="H28" s="5"/>
      <c r="I28" s="4"/>
    </row>
    <row r="29" spans="1:10" ht="15.6" x14ac:dyDescent="0.3">
      <c r="B29" s="5"/>
      <c r="C29" s="5"/>
      <c r="D29" s="5"/>
      <c r="E29" s="5"/>
      <c r="F29" s="5"/>
      <c r="G29" s="5"/>
      <c r="H29" s="5"/>
      <c r="I29" s="4"/>
    </row>
    <row r="30" spans="1:10" ht="15.6" x14ac:dyDescent="0.3">
      <c r="B30" s="5"/>
      <c r="C30" s="5"/>
      <c r="D30" s="5"/>
      <c r="E30" s="5"/>
      <c r="F30" s="5"/>
      <c r="G30" s="5" t="s">
        <v>550</v>
      </c>
      <c r="H30" s="5"/>
      <c r="I30" s="4"/>
    </row>
    <row r="31" spans="1:10" ht="15.6" x14ac:dyDescent="0.3">
      <c r="B31" s="5"/>
      <c r="C31" s="5"/>
      <c r="D31" s="5"/>
      <c r="E31" s="5"/>
      <c r="F31" s="5"/>
      <c r="G31" s="5"/>
      <c r="H31" s="5"/>
      <c r="I31" s="5"/>
      <c r="J31" s="4"/>
    </row>
  </sheetData>
  <customSheetViews>
    <customSheetView guid="{BBE43EB8-AC5B-419E-90E4-72D0C525AF66}" scale="140">
      <selection activeCell="H2" sqref="H2"/>
      <pageMargins left="0.7" right="0.7" top="0.75" bottom="0.75" header="0.3" footer="0.3"/>
    </customSheetView>
  </customSheetViews>
  <mergeCells count="3">
    <mergeCell ref="A18:B18"/>
    <mergeCell ref="A19:B19"/>
    <mergeCell ref="A20:B2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0"/>
  <dimension ref="A1:L20"/>
  <sheetViews>
    <sheetView zoomScale="120" zoomScaleNormal="120" workbookViewId="0">
      <selection activeCell="H22" sqref="H22"/>
    </sheetView>
  </sheetViews>
  <sheetFormatPr defaultColWidth="8.90625" defaultRowHeight="13.8" x14ac:dyDescent="0.25"/>
  <cols>
    <col min="1" max="1" width="20.81640625" style="8" bestFit="1" customWidth="1"/>
    <col min="2" max="2" width="7.36328125" style="8" customWidth="1"/>
    <col min="3" max="3" width="8.26953125" style="8" customWidth="1"/>
    <col min="4" max="4" width="11.7265625" style="8" customWidth="1"/>
    <col min="5" max="5" width="12.36328125" style="8" customWidth="1"/>
    <col min="6" max="6" width="15.36328125" style="8" customWidth="1"/>
    <col min="7" max="7" width="8.90625" style="8" customWidth="1"/>
    <col min="8" max="8" width="15.81640625" style="8" customWidth="1"/>
    <col min="9" max="9" width="13.81640625" style="8" customWidth="1"/>
    <col min="10" max="10" width="8.90625" style="8" customWidth="1"/>
    <col min="11" max="16384" width="8.90625" style="8"/>
  </cols>
  <sheetData>
    <row r="1" spans="1:12" s="24" customFormat="1" ht="14.4" thickBot="1" x14ac:dyDescent="0.3">
      <c r="A1" s="97" t="s">
        <v>70</v>
      </c>
      <c r="B1" s="98" t="s">
        <v>69</v>
      </c>
      <c r="C1" s="98" t="s">
        <v>68</v>
      </c>
      <c r="D1" s="98" t="s">
        <v>67</v>
      </c>
      <c r="E1" s="98" t="s">
        <v>66</v>
      </c>
      <c r="F1" s="98" t="s">
        <v>65</v>
      </c>
      <c r="G1" s="99"/>
      <c r="H1" s="103" t="s">
        <v>60</v>
      </c>
      <c r="I1" s="104" t="s">
        <v>64</v>
      </c>
    </row>
    <row r="2" spans="1:12" ht="15.75" customHeight="1" thickBot="1" x14ac:dyDescent="0.3">
      <c r="A2" s="96">
        <v>100</v>
      </c>
      <c r="B2" s="86">
        <v>1000</v>
      </c>
      <c r="C2" s="86">
        <v>5.5</v>
      </c>
      <c r="D2" s="87">
        <f>PRODUCT($B2,$C2)</f>
        <v>5500</v>
      </c>
      <c r="E2" s="86">
        <f>_xlfn.IFS($D2&lt;1000,"No Commission", $D2&lt;=5000,$D2*2%, $D2&gt;5000,$D2*5%)</f>
        <v>275</v>
      </c>
      <c r="F2" s="88" t="str">
        <f xml:space="preserve"> _xlfn.IFS($D2&lt;1000,"POOR", $D2&lt;=5000,"GOOD", $D2&gt;5000,"EXCELLENT")</f>
        <v>EXCELLENT</v>
      </c>
      <c r="H2" s="78" t="s">
        <v>58</v>
      </c>
      <c r="I2" s="79" t="s">
        <v>63</v>
      </c>
      <c r="L2" s="19"/>
    </row>
    <row r="3" spans="1:12" ht="14.25" customHeight="1" thickBot="1" x14ac:dyDescent="0.3">
      <c r="A3" s="96">
        <v>101</v>
      </c>
      <c r="B3" s="86">
        <v>1200</v>
      </c>
      <c r="C3" s="86">
        <v>6.75</v>
      </c>
      <c r="D3" s="87">
        <f t="shared" ref="D3:D12" si="0">PRODUCT($B3,$C3)</f>
        <v>8100</v>
      </c>
      <c r="E3" s="86">
        <f t="shared" ref="E3:E12" si="1">_xlfn.IFS($D3&lt;1000,"No Commission", $D3&lt;=5000,$D3*2%, $D3&gt;5000,$D3*5%)</f>
        <v>405</v>
      </c>
      <c r="F3" s="88" t="str">
        <f t="shared" ref="F3:F12" si="2" xml:space="preserve"> _xlfn.IFS($D3&lt;1000,"POOR", $D3&lt;=5000,"GOOD", $D3&gt;5000,"EXCELLENT")</f>
        <v>EXCELLENT</v>
      </c>
      <c r="H3" s="78" t="s">
        <v>56</v>
      </c>
      <c r="I3" s="79" t="s">
        <v>62</v>
      </c>
    </row>
    <row r="4" spans="1:12" ht="13.5" customHeight="1" thickBot="1" x14ac:dyDescent="0.3">
      <c r="A4" s="96">
        <v>102</v>
      </c>
      <c r="B4" s="86">
        <v>1300</v>
      </c>
      <c r="C4" s="86">
        <v>2</v>
      </c>
      <c r="D4" s="87">
        <f t="shared" si="0"/>
        <v>2600</v>
      </c>
      <c r="E4" s="86">
        <f t="shared" si="1"/>
        <v>52</v>
      </c>
      <c r="F4" s="88" t="str">
        <f t="shared" si="2"/>
        <v>GOOD</v>
      </c>
      <c r="H4" s="78" t="s">
        <v>54</v>
      </c>
      <c r="I4" s="79" t="s">
        <v>61</v>
      </c>
    </row>
    <row r="5" spans="1:12" ht="14.4" thickBot="1" x14ac:dyDescent="0.3">
      <c r="A5" s="96">
        <v>103</v>
      </c>
      <c r="B5" s="86">
        <v>800</v>
      </c>
      <c r="C5" s="86">
        <v>4</v>
      </c>
      <c r="D5" s="87">
        <f t="shared" si="0"/>
        <v>3200</v>
      </c>
      <c r="E5" s="86">
        <f t="shared" si="1"/>
        <v>64</v>
      </c>
      <c r="F5" s="88" t="str">
        <f t="shared" si="2"/>
        <v>GOOD</v>
      </c>
    </row>
    <row r="6" spans="1:12" ht="14.4" thickBot="1" x14ac:dyDescent="0.3">
      <c r="A6" s="96">
        <v>104</v>
      </c>
      <c r="B6" s="86">
        <v>1200</v>
      </c>
      <c r="C6" s="86">
        <v>5</v>
      </c>
      <c r="D6" s="87">
        <f t="shared" si="0"/>
        <v>6000</v>
      </c>
      <c r="E6" s="86">
        <f t="shared" si="1"/>
        <v>300</v>
      </c>
      <c r="F6" s="88" t="str">
        <f t="shared" si="2"/>
        <v>EXCELLENT</v>
      </c>
    </row>
    <row r="7" spans="1:12" s="100" customFormat="1" ht="14.4" thickBot="1" x14ac:dyDescent="0.3">
      <c r="A7" s="96">
        <v>105</v>
      </c>
      <c r="B7" s="86">
        <v>1800</v>
      </c>
      <c r="C7" s="86">
        <v>0.5</v>
      </c>
      <c r="D7" s="87">
        <f t="shared" si="0"/>
        <v>900</v>
      </c>
      <c r="E7" s="86" t="str">
        <f t="shared" si="1"/>
        <v>No Commission</v>
      </c>
      <c r="F7" s="88" t="str">
        <f t="shared" si="2"/>
        <v>POOR</v>
      </c>
      <c r="H7" s="102" t="s">
        <v>60</v>
      </c>
      <c r="I7" s="102" t="s">
        <v>59</v>
      </c>
    </row>
    <row r="8" spans="1:12" ht="14.4" thickBot="1" x14ac:dyDescent="0.3">
      <c r="A8" s="96">
        <v>106</v>
      </c>
      <c r="B8" s="86">
        <v>145</v>
      </c>
      <c r="C8" s="86">
        <v>2</v>
      </c>
      <c r="D8" s="87">
        <f t="shared" si="0"/>
        <v>290</v>
      </c>
      <c r="E8" s="86" t="str">
        <f t="shared" si="1"/>
        <v>No Commission</v>
      </c>
      <c r="F8" s="88" t="str">
        <f t="shared" si="2"/>
        <v>POOR</v>
      </c>
      <c r="H8" s="78" t="s">
        <v>58</v>
      </c>
      <c r="I8" s="101" t="s">
        <v>57</v>
      </c>
    </row>
    <row r="9" spans="1:12" ht="14.4" thickBot="1" x14ac:dyDescent="0.3">
      <c r="A9" s="96">
        <v>107</v>
      </c>
      <c r="B9" s="86">
        <v>1900</v>
      </c>
      <c r="C9" s="86">
        <v>3.5</v>
      </c>
      <c r="D9" s="87">
        <f t="shared" si="0"/>
        <v>6650</v>
      </c>
      <c r="E9" s="86">
        <f t="shared" si="1"/>
        <v>332.5</v>
      </c>
      <c r="F9" s="88" t="str">
        <f t="shared" si="2"/>
        <v>EXCELLENT</v>
      </c>
      <c r="H9" s="78" t="s">
        <v>56</v>
      </c>
      <c r="I9" s="101" t="s">
        <v>55</v>
      </c>
    </row>
    <row r="10" spans="1:12" ht="14.4" thickBot="1" x14ac:dyDescent="0.3">
      <c r="A10" s="96">
        <v>108</v>
      </c>
      <c r="B10" s="86">
        <v>1550</v>
      </c>
      <c r="C10" s="86">
        <v>2.25</v>
      </c>
      <c r="D10" s="87">
        <f t="shared" si="0"/>
        <v>3487.5</v>
      </c>
      <c r="E10" s="86">
        <f t="shared" si="1"/>
        <v>69.75</v>
      </c>
      <c r="F10" s="88" t="str">
        <f t="shared" si="2"/>
        <v>GOOD</v>
      </c>
      <c r="H10" s="78" t="s">
        <v>54</v>
      </c>
      <c r="I10" s="101" t="s">
        <v>53</v>
      </c>
    </row>
    <row r="11" spans="1:12" ht="14.4" thickBot="1" x14ac:dyDescent="0.3">
      <c r="A11" s="96">
        <v>109</v>
      </c>
      <c r="B11" s="86">
        <v>2000</v>
      </c>
      <c r="C11" s="86">
        <v>2</v>
      </c>
      <c r="D11" s="87">
        <f t="shared" si="0"/>
        <v>4000</v>
      </c>
      <c r="E11" s="86">
        <f t="shared" si="1"/>
        <v>80</v>
      </c>
      <c r="F11" s="88" t="str">
        <f t="shared" si="2"/>
        <v>GOOD</v>
      </c>
    </row>
    <row r="12" spans="1:12" ht="14.4" thickBot="1" x14ac:dyDescent="0.3">
      <c r="A12" s="96">
        <v>110</v>
      </c>
      <c r="B12" s="86">
        <v>2200</v>
      </c>
      <c r="C12" s="86">
        <v>3</v>
      </c>
      <c r="D12" s="87">
        <f t="shared" si="0"/>
        <v>6600</v>
      </c>
      <c r="E12" s="86">
        <f t="shared" si="1"/>
        <v>330</v>
      </c>
      <c r="F12" s="88" t="str">
        <f t="shared" si="2"/>
        <v>EXCELLENT</v>
      </c>
    </row>
    <row r="13" spans="1:12" ht="15.6" customHeight="1" thickTop="1" x14ac:dyDescent="0.3">
      <c r="A13" s="81" t="s">
        <v>52</v>
      </c>
      <c r="B13" s="389">
        <f>SUM($D$2:$D$12)</f>
        <v>47327.5</v>
      </c>
      <c r="C13" s="390"/>
      <c r="D13" s="390"/>
      <c r="E13" s="390"/>
      <c r="F13" s="391"/>
      <c r="H13" s="381" t="s">
        <v>841</v>
      </c>
      <c r="I13" s="382"/>
    </row>
    <row r="14" spans="1:12" ht="15" customHeight="1" x14ac:dyDescent="0.25">
      <c r="A14" s="82" t="s">
        <v>51</v>
      </c>
      <c r="B14" s="392">
        <f>MAX($D$2:$D$12)</f>
        <v>8100</v>
      </c>
      <c r="C14" s="384"/>
      <c r="D14" s="384"/>
      <c r="E14" s="384"/>
      <c r="F14" s="385"/>
      <c r="H14" s="355" t="s">
        <v>30</v>
      </c>
      <c r="I14" s="356"/>
    </row>
    <row r="15" spans="1:12" ht="15" customHeight="1" x14ac:dyDescent="0.25">
      <c r="A15" s="84" t="s">
        <v>50</v>
      </c>
      <c r="B15" s="392">
        <f>MIN($D$2:$D$12)</f>
        <v>290</v>
      </c>
      <c r="C15" s="384"/>
      <c r="D15" s="384"/>
      <c r="E15" s="384"/>
      <c r="F15" s="385"/>
      <c r="H15" s="355" t="s">
        <v>843</v>
      </c>
      <c r="I15" s="356"/>
    </row>
    <row r="16" spans="1:12" ht="15" customHeight="1" x14ac:dyDescent="0.25">
      <c r="A16" s="85" t="s">
        <v>49</v>
      </c>
      <c r="B16" s="392">
        <f>AVERAGE($D$2:$D$12)</f>
        <v>4302.5</v>
      </c>
      <c r="C16" s="384"/>
      <c r="D16" s="384"/>
      <c r="E16" s="384"/>
      <c r="F16" s="385"/>
      <c r="H16" s="355" t="s">
        <v>19</v>
      </c>
      <c r="I16" s="356"/>
    </row>
    <row r="17" spans="1:9" ht="15" customHeight="1" x14ac:dyDescent="0.25">
      <c r="A17" s="82" t="s">
        <v>48</v>
      </c>
      <c r="B17" s="383">
        <f>COUNTIF($F$2:$F$12,"EXCELLENT")</f>
        <v>5</v>
      </c>
      <c r="C17" s="384"/>
      <c r="D17" s="384"/>
      <c r="E17" s="384"/>
      <c r="F17" s="385"/>
      <c r="H17" s="355" t="s">
        <v>14</v>
      </c>
      <c r="I17" s="356"/>
    </row>
    <row r="18" spans="1:9" ht="15" customHeight="1" x14ac:dyDescent="0.25">
      <c r="A18" s="84" t="s">
        <v>47</v>
      </c>
      <c r="B18" s="383">
        <f>COUNTIF($F$2:$F$12,"GOOD")</f>
        <v>4</v>
      </c>
      <c r="C18" s="384"/>
      <c r="D18" s="384"/>
      <c r="E18" s="384"/>
      <c r="F18" s="385"/>
      <c r="H18" s="355" t="s">
        <v>17</v>
      </c>
      <c r="I18" s="356"/>
    </row>
    <row r="19" spans="1:9" ht="15.6" customHeight="1" thickBot="1" x14ac:dyDescent="0.3">
      <c r="A19" s="83" t="s">
        <v>46</v>
      </c>
      <c r="B19" s="386">
        <f>COUNTIF($F$2:$F$12,"POOR")</f>
        <v>2</v>
      </c>
      <c r="C19" s="387"/>
      <c r="D19" s="387"/>
      <c r="E19" s="387"/>
      <c r="F19" s="388"/>
      <c r="H19" s="355" t="s">
        <v>29</v>
      </c>
      <c r="I19" s="356"/>
    </row>
    <row r="20" spans="1:9" ht="15.6" thickTop="1" x14ac:dyDescent="0.25">
      <c r="A20" s="80"/>
      <c r="H20" s="379" t="s">
        <v>10</v>
      </c>
      <c r="I20" s="380"/>
    </row>
  </sheetData>
  <customSheetViews>
    <customSheetView guid="{BBE43EB8-AC5B-419E-90E4-72D0C525AF66}">
      <pageMargins left="0.7" right="0.7" top="0.75" bottom="0.75" header="0.3" footer="0.3"/>
    </customSheetView>
  </customSheetViews>
  <mergeCells count="15">
    <mergeCell ref="B18:F18"/>
    <mergeCell ref="B19:F19"/>
    <mergeCell ref="B13:F13"/>
    <mergeCell ref="B14:F14"/>
    <mergeCell ref="B15:F15"/>
    <mergeCell ref="B16:F16"/>
    <mergeCell ref="B17:F17"/>
    <mergeCell ref="H18:I18"/>
    <mergeCell ref="H19:I19"/>
    <mergeCell ref="H20:I20"/>
    <mergeCell ref="H13:I13"/>
    <mergeCell ref="H14:I14"/>
    <mergeCell ref="H15:I15"/>
    <mergeCell ref="H16:I16"/>
    <mergeCell ref="H17:I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B2:O23"/>
  <sheetViews>
    <sheetView zoomScale="140" zoomScaleNormal="140" workbookViewId="0">
      <selection activeCell="N9" sqref="N9"/>
    </sheetView>
  </sheetViews>
  <sheetFormatPr defaultRowHeight="15" x14ac:dyDescent="0.25"/>
  <cols>
    <col min="2" max="2" width="4.54296875" customWidth="1"/>
    <col min="3" max="3" width="5.08984375" customWidth="1"/>
    <col min="4" max="4" width="5.1796875" customWidth="1"/>
    <col min="5" max="5" width="5.26953125" customWidth="1"/>
    <col min="6" max="6" width="5.36328125" customWidth="1"/>
    <col min="7" max="7" width="5.453125" customWidth="1"/>
    <col min="8" max="8" width="4.90625" customWidth="1"/>
    <col min="9" max="9" width="4.7265625" customWidth="1"/>
    <col min="10" max="10" width="5.90625" customWidth="1"/>
    <col min="11" max="11" width="6.26953125" customWidth="1"/>
    <col min="12" max="12" width="6.36328125" customWidth="1"/>
  </cols>
  <sheetData>
    <row r="2" spans="2:15" ht="15.6" x14ac:dyDescent="0.3">
      <c r="B2" s="89">
        <v>1</v>
      </c>
      <c r="C2" s="89">
        <v>2</v>
      </c>
      <c r="D2" s="89">
        <v>3</v>
      </c>
      <c r="E2" s="89">
        <v>4</v>
      </c>
      <c r="F2" s="89">
        <v>5</v>
      </c>
      <c r="G2" s="89">
        <v>6</v>
      </c>
      <c r="H2" s="89">
        <v>7</v>
      </c>
      <c r="I2" s="89">
        <v>8</v>
      </c>
      <c r="J2" s="89">
        <v>9</v>
      </c>
      <c r="K2" s="89">
        <v>10</v>
      </c>
      <c r="M2" s="269" t="s">
        <v>775</v>
      </c>
      <c r="N2" s="258"/>
      <c r="O2" s="259"/>
    </row>
    <row r="3" spans="2:15" x14ac:dyDescent="0.25">
      <c r="B3" s="89">
        <v>2</v>
      </c>
      <c r="C3" s="54">
        <f>$B3*C$2</f>
        <v>4</v>
      </c>
      <c r="D3" s="54">
        <f>$B3*D$2</f>
        <v>6</v>
      </c>
      <c r="E3" s="54">
        <f t="shared" ref="E3:K3" si="0">$B3*E$2</f>
        <v>8</v>
      </c>
      <c r="F3" s="54">
        <f t="shared" si="0"/>
        <v>10</v>
      </c>
      <c r="G3" s="54">
        <f t="shared" si="0"/>
        <v>12</v>
      </c>
      <c r="H3" s="54">
        <f t="shared" si="0"/>
        <v>14</v>
      </c>
      <c r="I3" s="54">
        <f t="shared" si="0"/>
        <v>16</v>
      </c>
      <c r="J3" s="54">
        <f t="shared" si="0"/>
        <v>18</v>
      </c>
      <c r="K3" s="54">
        <f t="shared" si="0"/>
        <v>20</v>
      </c>
      <c r="M3" s="270" t="s">
        <v>776</v>
      </c>
      <c r="O3" s="260"/>
    </row>
    <row r="4" spans="2:15" x14ac:dyDescent="0.25">
      <c r="B4" s="89">
        <v>3</v>
      </c>
      <c r="C4" s="54">
        <f t="shared" ref="C4:K11" si="1">$B4*C$2</f>
        <v>6</v>
      </c>
      <c r="D4" s="54">
        <f t="shared" si="1"/>
        <v>9</v>
      </c>
      <c r="E4" s="54">
        <f t="shared" si="1"/>
        <v>12</v>
      </c>
      <c r="F4" s="54">
        <f t="shared" si="1"/>
        <v>15</v>
      </c>
      <c r="G4" s="54">
        <f t="shared" si="1"/>
        <v>18</v>
      </c>
      <c r="H4" s="54">
        <f t="shared" si="1"/>
        <v>21</v>
      </c>
      <c r="I4" s="54">
        <f t="shared" si="1"/>
        <v>24</v>
      </c>
      <c r="J4" s="54">
        <f t="shared" si="1"/>
        <v>27</v>
      </c>
      <c r="K4" s="54">
        <f t="shared" si="1"/>
        <v>30</v>
      </c>
      <c r="M4" s="270" t="s">
        <v>777</v>
      </c>
      <c r="O4" s="260"/>
    </row>
    <row r="5" spans="2:15" x14ac:dyDescent="0.25">
      <c r="B5" s="89">
        <v>4</v>
      </c>
      <c r="C5" s="54">
        <f t="shared" si="1"/>
        <v>8</v>
      </c>
      <c r="D5" s="54">
        <f t="shared" si="1"/>
        <v>12</v>
      </c>
      <c r="E5" s="54">
        <f t="shared" si="1"/>
        <v>16</v>
      </c>
      <c r="F5" s="54">
        <f t="shared" si="1"/>
        <v>20</v>
      </c>
      <c r="G5" s="54">
        <f t="shared" si="1"/>
        <v>24</v>
      </c>
      <c r="H5" s="54">
        <f t="shared" si="1"/>
        <v>28</v>
      </c>
      <c r="I5" s="54">
        <f t="shared" si="1"/>
        <v>32</v>
      </c>
      <c r="J5" s="54">
        <f t="shared" si="1"/>
        <v>36</v>
      </c>
      <c r="K5" s="54">
        <f t="shared" si="1"/>
        <v>40</v>
      </c>
      <c r="M5" s="267" t="s">
        <v>778</v>
      </c>
      <c r="N5" s="261"/>
      <c r="O5" s="262"/>
    </row>
    <row r="6" spans="2:15" x14ac:dyDescent="0.25">
      <c r="B6" s="89">
        <v>5</v>
      </c>
      <c r="C6" s="54">
        <f t="shared" si="1"/>
        <v>10</v>
      </c>
      <c r="D6" s="54">
        <f t="shared" si="1"/>
        <v>15</v>
      </c>
      <c r="E6" s="54">
        <f t="shared" si="1"/>
        <v>20</v>
      </c>
      <c r="F6" s="54">
        <f t="shared" si="1"/>
        <v>25</v>
      </c>
      <c r="G6" s="54">
        <f t="shared" si="1"/>
        <v>30</v>
      </c>
      <c r="H6" s="54">
        <f t="shared" si="1"/>
        <v>35</v>
      </c>
      <c r="I6" s="54">
        <f t="shared" si="1"/>
        <v>40</v>
      </c>
      <c r="J6" s="54">
        <f t="shared" si="1"/>
        <v>45</v>
      </c>
      <c r="K6" s="54">
        <f t="shared" si="1"/>
        <v>50</v>
      </c>
    </row>
    <row r="7" spans="2:15" x14ac:dyDescent="0.25">
      <c r="B7" s="89">
        <v>6</v>
      </c>
      <c r="C7" s="54">
        <f t="shared" si="1"/>
        <v>12</v>
      </c>
      <c r="D7" s="54">
        <f t="shared" si="1"/>
        <v>18</v>
      </c>
      <c r="E7" s="54">
        <f t="shared" si="1"/>
        <v>24</v>
      </c>
      <c r="F7" s="54">
        <f t="shared" si="1"/>
        <v>30</v>
      </c>
      <c r="G7" s="54">
        <f t="shared" si="1"/>
        <v>36</v>
      </c>
      <c r="H7" s="54">
        <f t="shared" si="1"/>
        <v>42</v>
      </c>
      <c r="I7" s="54">
        <f t="shared" si="1"/>
        <v>48</v>
      </c>
      <c r="J7" s="54">
        <f t="shared" si="1"/>
        <v>54</v>
      </c>
      <c r="K7" s="54">
        <f t="shared" si="1"/>
        <v>60</v>
      </c>
    </row>
    <row r="8" spans="2:15" x14ac:dyDescent="0.25">
      <c r="B8" s="89">
        <v>7</v>
      </c>
      <c r="C8" s="54">
        <f t="shared" si="1"/>
        <v>14</v>
      </c>
      <c r="D8" s="54">
        <f t="shared" si="1"/>
        <v>21</v>
      </c>
      <c r="E8" s="54">
        <f t="shared" si="1"/>
        <v>28</v>
      </c>
      <c r="F8" s="54">
        <f t="shared" si="1"/>
        <v>35</v>
      </c>
      <c r="G8" s="54">
        <f t="shared" si="1"/>
        <v>42</v>
      </c>
      <c r="H8" s="54">
        <f t="shared" si="1"/>
        <v>49</v>
      </c>
      <c r="I8" s="54">
        <f t="shared" si="1"/>
        <v>56</v>
      </c>
      <c r="J8" s="54">
        <f t="shared" si="1"/>
        <v>63</v>
      </c>
      <c r="K8" s="54">
        <f t="shared" si="1"/>
        <v>70</v>
      </c>
    </row>
    <row r="9" spans="2:15" x14ac:dyDescent="0.25">
      <c r="B9" s="89">
        <v>8</v>
      </c>
      <c r="C9" s="54">
        <f t="shared" si="1"/>
        <v>16</v>
      </c>
      <c r="D9" s="54">
        <f t="shared" si="1"/>
        <v>24</v>
      </c>
      <c r="E9" s="54">
        <f t="shared" si="1"/>
        <v>32</v>
      </c>
      <c r="F9" s="54">
        <f t="shared" si="1"/>
        <v>40</v>
      </c>
      <c r="G9" s="54">
        <f t="shared" si="1"/>
        <v>48</v>
      </c>
      <c r="H9" s="54">
        <f t="shared" si="1"/>
        <v>56</v>
      </c>
      <c r="I9" s="54">
        <f t="shared" si="1"/>
        <v>64</v>
      </c>
      <c r="J9" s="54">
        <f t="shared" si="1"/>
        <v>72</v>
      </c>
      <c r="K9" s="54">
        <f t="shared" si="1"/>
        <v>80</v>
      </c>
    </row>
    <row r="10" spans="2:15" x14ac:dyDescent="0.25">
      <c r="B10" s="89">
        <v>9</v>
      </c>
      <c r="C10" s="54">
        <f t="shared" si="1"/>
        <v>18</v>
      </c>
      <c r="D10" s="54">
        <f t="shared" si="1"/>
        <v>27</v>
      </c>
      <c r="E10" s="54">
        <f t="shared" si="1"/>
        <v>36</v>
      </c>
      <c r="F10" s="54">
        <f t="shared" si="1"/>
        <v>45</v>
      </c>
      <c r="G10" s="54">
        <f t="shared" si="1"/>
        <v>54</v>
      </c>
      <c r="H10" s="54">
        <f t="shared" si="1"/>
        <v>63</v>
      </c>
      <c r="I10" s="54">
        <f t="shared" si="1"/>
        <v>72</v>
      </c>
      <c r="J10" s="54">
        <f t="shared" si="1"/>
        <v>81</v>
      </c>
      <c r="K10" s="54">
        <f t="shared" si="1"/>
        <v>90</v>
      </c>
    </row>
    <row r="11" spans="2:15" x14ac:dyDescent="0.25">
      <c r="B11" s="89">
        <v>10</v>
      </c>
      <c r="C11" s="54">
        <f t="shared" si="1"/>
        <v>20</v>
      </c>
      <c r="D11" s="54">
        <f t="shared" si="1"/>
        <v>30</v>
      </c>
      <c r="E11" s="54">
        <f t="shared" si="1"/>
        <v>40</v>
      </c>
      <c r="F11" s="54">
        <f t="shared" si="1"/>
        <v>50</v>
      </c>
      <c r="G11" s="54">
        <f t="shared" si="1"/>
        <v>60</v>
      </c>
      <c r="H11" s="54">
        <f t="shared" si="1"/>
        <v>70</v>
      </c>
      <c r="I11" s="54">
        <f t="shared" si="1"/>
        <v>80</v>
      </c>
      <c r="J11" s="54">
        <f t="shared" si="1"/>
        <v>90</v>
      </c>
      <c r="K11" s="54">
        <f t="shared" si="1"/>
        <v>100</v>
      </c>
    </row>
    <row r="14" spans="2:15" x14ac:dyDescent="0.25">
      <c r="B14" s="89">
        <v>1</v>
      </c>
      <c r="C14" s="89">
        <v>11</v>
      </c>
      <c r="D14" s="89">
        <v>12</v>
      </c>
      <c r="E14" s="89">
        <v>13</v>
      </c>
      <c r="F14" s="89">
        <v>14</v>
      </c>
      <c r="G14" s="89">
        <v>15</v>
      </c>
      <c r="H14" s="89">
        <v>16</v>
      </c>
      <c r="I14" s="89">
        <v>17</v>
      </c>
      <c r="J14" s="89">
        <v>18</v>
      </c>
      <c r="K14" s="89">
        <v>19</v>
      </c>
      <c r="L14" s="89">
        <v>20</v>
      </c>
    </row>
    <row r="15" spans="2:15" x14ac:dyDescent="0.25">
      <c r="B15" s="89">
        <v>2</v>
      </c>
      <c r="C15" s="54">
        <f t="shared" ref="C15:L23" si="2" xml:space="preserve"> $B15*C$14</f>
        <v>22</v>
      </c>
      <c r="D15" s="54">
        <f t="shared" si="2"/>
        <v>24</v>
      </c>
      <c r="E15" s="54">
        <f t="shared" si="2"/>
        <v>26</v>
      </c>
      <c r="F15" s="54">
        <f t="shared" si="2"/>
        <v>28</v>
      </c>
      <c r="G15" s="54">
        <f t="shared" si="2"/>
        <v>30</v>
      </c>
      <c r="H15" s="54">
        <f t="shared" si="2"/>
        <v>32</v>
      </c>
      <c r="I15" s="54">
        <f t="shared" si="2"/>
        <v>34</v>
      </c>
      <c r="J15" s="54">
        <f t="shared" si="2"/>
        <v>36</v>
      </c>
      <c r="K15" s="54">
        <f t="shared" si="2"/>
        <v>38</v>
      </c>
      <c r="L15" s="54">
        <f t="shared" si="2"/>
        <v>40</v>
      </c>
    </row>
    <row r="16" spans="2:15" x14ac:dyDescent="0.25">
      <c r="B16" s="89">
        <v>3</v>
      </c>
      <c r="C16" s="54">
        <f t="shared" si="2"/>
        <v>33</v>
      </c>
      <c r="D16" s="54">
        <f t="shared" si="2"/>
        <v>36</v>
      </c>
      <c r="E16" s="54">
        <f t="shared" si="2"/>
        <v>39</v>
      </c>
      <c r="F16" s="54">
        <f t="shared" si="2"/>
        <v>42</v>
      </c>
      <c r="G16" s="54">
        <f t="shared" si="2"/>
        <v>45</v>
      </c>
      <c r="H16" s="54">
        <f t="shared" si="2"/>
        <v>48</v>
      </c>
      <c r="I16" s="54">
        <f t="shared" si="2"/>
        <v>51</v>
      </c>
      <c r="J16" s="54">
        <f t="shared" si="2"/>
        <v>54</v>
      </c>
      <c r="K16" s="54">
        <f t="shared" si="2"/>
        <v>57</v>
      </c>
      <c r="L16" s="54">
        <f t="shared" si="2"/>
        <v>60</v>
      </c>
    </row>
    <row r="17" spans="2:12" x14ac:dyDescent="0.25">
      <c r="B17" s="89">
        <v>4</v>
      </c>
      <c r="C17" s="54">
        <f t="shared" si="2"/>
        <v>44</v>
      </c>
      <c r="D17" s="54">
        <f t="shared" si="2"/>
        <v>48</v>
      </c>
      <c r="E17" s="54">
        <f t="shared" si="2"/>
        <v>52</v>
      </c>
      <c r="F17" s="54">
        <f t="shared" si="2"/>
        <v>56</v>
      </c>
      <c r="G17" s="54">
        <f t="shared" si="2"/>
        <v>60</v>
      </c>
      <c r="H17" s="54">
        <f t="shared" si="2"/>
        <v>64</v>
      </c>
      <c r="I17" s="54">
        <f t="shared" si="2"/>
        <v>68</v>
      </c>
      <c r="J17" s="54">
        <f t="shared" si="2"/>
        <v>72</v>
      </c>
      <c r="K17" s="54">
        <f t="shared" si="2"/>
        <v>76</v>
      </c>
      <c r="L17" s="54">
        <f t="shared" si="2"/>
        <v>80</v>
      </c>
    </row>
    <row r="18" spans="2:12" x14ac:dyDescent="0.25">
      <c r="B18" s="89">
        <v>5</v>
      </c>
      <c r="C18" s="54">
        <f t="shared" si="2"/>
        <v>55</v>
      </c>
      <c r="D18" s="54">
        <f t="shared" si="2"/>
        <v>60</v>
      </c>
      <c r="E18" s="54">
        <f t="shared" si="2"/>
        <v>65</v>
      </c>
      <c r="F18" s="54">
        <f t="shared" si="2"/>
        <v>70</v>
      </c>
      <c r="G18" s="54">
        <f t="shared" si="2"/>
        <v>75</v>
      </c>
      <c r="H18" s="54">
        <f t="shared" si="2"/>
        <v>80</v>
      </c>
      <c r="I18" s="54">
        <f t="shared" si="2"/>
        <v>85</v>
      </c>
      <c r="J18" s="54">
        <f t="shared" si="2"/>
        <v>90</v>
      </c>
      <c r="K18" s="54">
        <f t="shared" si="2"/>
        <v>95</v>
      </c>
      <c r="L18" s="54">
        <f t="shared" si="2"/>
        <v>100</v>
      </c>
    </row>
    <row r="19" spans="2:12" x14ac:dyDescent="0.25">
      <c r="B19" s="89">
        <v>6</v>
      </c>
      <c r="C19" s="54">
        <f t="shared" si="2"/>
        <v>66</v>
      </c>
      <c r="D19" s="54">
        <f t="shared" si="2"/>
        <v>72</v>
      </c>
      <c r="E19" s="54">
        <f t="shared" si="2"/>
        <v>78</v>
      </c>
      <c r="F19" s="54">
        <f t="shared" si="2"/>
        <v>84</v>
      </c>
      <c r="G19" s="54">
        <f t="shared" si="2"/>
        <v>90</v>
      </c>
      <c r="H19" s="54">
        <f t="shared" si="2"/>
        <v>96</v>
      </c>
      <c r="I19" s="54">
        <f t="shared" si="2"/>
        <v>102</v>
      </c>
      <c r="J19" s="54">
        <f t="shared" si="2"/>
        <v>108</v>
      </c>
      <c r="K19" s="54">
        <f t="shared" si="2"/>
        <v>114</v>
      </c>
      <c r="L19" s="54">
        <f t="shared" si="2"/>
        <v>120</v>
      </c>
    </row>
    <row r="20" spans="2:12" x14ac:dyDescent="0.25">
      <c r="B20" s="89">
        <v>7</v>
      </c>
      <c r="C20" s="54">
        <f t="shared" si="2"/>
        <v>77</v>
      </c>
      <c r="D20" s="54">
        <f t="shared" si="2"/>
        <v>84</v>
      </c>
      <c r="E20" s="54">
        <f t="shared" si="2"/>
        <v>91</v>
      </c>
      <c r="F20" s="54">
        <f t="shared" si="2"/>
        <v>98</v>
      </c>
      <c r="G20" s="54">
        <f t="shared" si="2"/>
        <v>105</v>
      </c>
      <c r="H20" s="54">
        <f t="shared" si="2"/>
        <v>112</v>
      </c>
      <c r="I20" s="54">
        <f t="shared" si="2"/>
        <v>119</v>
      </c>
      <c r="J20" s="54">
        <f t="shared" si="2"/>
        <v>126</v>
      </c>
      <c r="K20" s="54">
        <f t="shared" si="2"/>
        <v>133</v>
      </c>
      <c r="L20" s="54">
        <f t="shared" si="2"/>
        <v>140</v>
      </c>
    </row>
    <row r="21" spans="2:12" x14ac:dyDescent="0.25">
      <c r="B21" s="89">
        <v>8</v>
      </c>
      <c r="C21" s="54">
        <f t="shared" si="2"/>
        <v>88</v>
      </c>
      <c r="D21" s="54">
        <f t="shared" si="2"/>
        <v>96</v>
      </c>
      <c r="E21" s="54">
        <f t="shared" si="2"/>
        <v>104</v>
      </c>
      <c r="F21" s="54">
        <f t="shared" si="2"/>
        <v>112</v>
      </c>
      <c r="G21" s="54">
        <f t="shared" si="2"/>
        <v>120</v>
      </c>
      <c r="H21" s="54">
        <f t="shared" si="2"/>
        <v>128</v>
      </c>
      <c r="I21" s="54">
        <f t="shared" si="2"/>
        <v>136</v>
      </c>
      <c r="J21" s="54">
        <f t="shared" si="2"/>
        <v>144</v>
      </c>
      <c r="K21" s="54">
        <f t="shared" si="2"/>
        <v>152</v>
      </c>
      <c r="L21" s="54">
        <f t="shared" si="2"/>
        <v>160</v>
      </c>
    </row>
    <row r="22" spans="2:12" x14ac:dyDescent="0.25">
      <c r="B22" s="89">
        <v>9</v>
      </c>
      <c r="C22" s="54">
        <f t="shared" si="2"/>
        <v>99</v>
      </c>
      <c r="D22" s="54">
        <f t="shared" si="2"/>
        <v>108</v>
      </c>
      <c r="E22" s="54">
        <f t="shared" si="2"/>
        <v>117</v>
      </c>
      <c r="F22" s="54">
        <f t="shared" si="2"/>
        <v>126</v>
      </c>
      <c r="G22" s="54">
        <f t="shared" si="2"/>
        <v>135</v>
      </c>
      <c r="H22" s="54">
        <f t="shared" si="2"/>
        <v>144</v>
      </c>
      <c r="I22" s="54">
        <f t="shared" si="2"/>
        <v>153</v>
      </c>
      <c r="J22" s="54">
        <f t="shared" si="2"/>
        <v>162</v>
      </c>
      <c r="K22" s="54">
        <f t="shared" si="2"/>
        <v>171</v>
      </c>
      <c r="L22" s="54">
        <f t="shared" si="2"/>
        <v>180</v>
      </c>
    </row>
    <row r="23" spans="2:12" x14ac:dyDescent="0.25">
      <c r="B23" s="89">
        <v>10</v>
      </c>
      <c r="C23" s="54">
        <f t="shared" si="2"/>
        <v>110</v>
      </c>
      <c r="D23" s="54">
        <f t="shared" si="2"/>
        <v>120</v>
      </c>
      <c r="E23" s="54">
        <f t="shared" si="2"/>
        <v>130</v>
      </c>
      <c r="F23" s="54">
        <f t="shared" si="2"/>
        <v>140</v>
      </c>
      <c r="G23" s="54">
        <f t="shared" si="2"/>
        <v>150</v>
      </c>
      <c r="H23" s="54">
        <f t="shared" si="2"/>
        <v>160</v>
      </c>
      <c r="I23" s="54">
        <f t="shared" si="2"/>
        <v>170</v>
      </c>
      <c r="J23" s="54">
        <f t="shared" si="2"/>
        <v>180</v>
      </c>
      <c r="K23" s="54">
        <f t="shared" si="2"/>
        <v>190</v>
      </c>
      <c r="L23" s="54">
        <f t="shared" si="2"/>
        <v>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6"/>
  <dimension ref="A1:Q572"/>
  <sheetViews>
    <sheetView topLeftCell="C13" zoomScale="140" zoomScaleNormal="140" workbookViewId="0">
      <selection activeCell="K28" sqref="K28"/>
    </sheetView>
  </sheetViews>
  <sheetFormatPr defaultColWidth="8.7265625" defaultRowHeight="13.8" x14ac:dyDescent="0.25"/>
  <cols>
    <col min="1" max="2" width="8.7265625" style="28"/>
    <col min="3" max="3" width="8.6328125" style="30" bestFit="1" customWidth="1"/>
    <col min="4" max="4" width="14" style="30" customWidth="1"/>
    <col min="5" max="5" width="14.81640625" style="28" customWidth="1"/>
    <col min="6" max="6" width="8.90625" style="30" customWidth="1"/>
    <col min="7" max="7" width="11.453125" style="30" customWidth="1"/>
    <col min="8" max="8" width="12.90625" style="30" customWidth="1"/>
    <col min="9" max="9" width="11.26953125" style="30" customWidth="1"/>
    <col min="10" max="10" width="10.90625" style="28" customWidth="1"/>
    <col min="11" max="11" width="8.7265625" style="28"/>
    <col min="12" max="12" width="10.08984375" style="28" customWidth="1"/>
    <col min="13" max="13" width="11.08984375" style="28" customWidth="1"/>
    <col min="14" max="14" width="9.90625" style="28" customWidth="1"/>
    <col min="15" max="15" width="8.7265625" style="28"/>
    <col min="16" max="16" width="13" style="28" customWidth="1"/>
    <col min="17" max="16384" width="8.7265625" style="28"/>
  </cols>
  <sheetData>
    <row r="1" spans="1:17" ht="15" x14ac:dyDescent="0.25">
      <c r="A1" s="160"/>
      <c r="B1" s="397" t="s">
        <v>793</v>
      </c>
      <c r="C1" s="398"/>
      <c r="D1" s="398"/>
      <c r="E1" s="398"/>
      <c r="F1"/>
      <c r="G1"/>
      <c r="H1" s="396" t="s">
        <v>785</v>
      </c>
      <c r="I1" s="396"/>
      <c r="J1" s="396"/>
    </row>
    <row r="2" spans="1:17" ht="15" x14ac:dyDescent="0.25">
      <c r="A2" s="160"/>
      <c r="B2" s="174" t="s">
        <v>400</v>
      </c>
      <c r="C2" s="174">
        <v>2005</v>
      </c>
      <c r="D2" s="174">
        <v>2006</v>
      </c>
      <c r="E2" s="174">
        <v>2007</v>
      </c>
      <c r="F2"/>
      <c r="G2"/>
      <c r="H2" s="221" t="s">
        <v>786</v>
      </c>
      <c r="I2" s="221" t="s">
        <v>781</v>
      </c>
      <c r="J2" s="221" t="s">
        <v>18</v>
      </c>
      <c r="K2" s="221" t="s">
        <v>782</v>
      </c>
      <c r="L2" s="221" t="s">
        <v>783</v>
      </c>
      <c r="M2" s="221" t="s">
        <v>787</v>
      </c>
    </row>
    <row r="3" spans="1:17" ht="15" x14ac:dyDescent="0.25">
      <c r="A3" s="160"/>
      <c r="B3" s="175" t="s">
        <v>515</v>
      </c>
      <c r="C3" s="197">
        <f t="shared" ref="C3:E5" si="0">SUMIFS(Revenue,Product, $B3, Year,C$2)</f>
        <v>621845</v>
      </c>
      <c r="D3" s="197">
        <f t="shared" si="0"/>
        <v>757679</v>
      </c>
      <c r="E3" s="197">
        <f t="shared" si="0"/>
        <v>784190</v>
      </c>
      <c r="F3"/>
      <c r="G3"/>
      <c r="H3" s="222" t="s">
        <v>515</v>
      </c>
      <c r="I3" s="171">
        <f>SUMIF(Product,$H3,Revenue)</f>
        <v>2163714</v>
      </c>
      <c r="J3" s="223">
        <f>AVERAGEIF(Product,$H3,Revenue)</f>
        <v>12155.696629213484</v>
      </c>
      <c r="K3" s="171">
        <f>_xlfn.MAXIFS(Revenue,Product,$H3)</f>
        <v>23970</v>
      </c>
      <c r="L3" s="171">
        <f>_xlfn.MINIFS(Revenue, Product, $H3)</f>
        <v>2004</v>
      </c>
      <c r="M3" s="224">
        <f>SUM(Revenue)</f>
        <v>6707812</v>
      </c>
      <c r="N3"/>
      <c r="O3"/>
      <c r="P3"/>
    </row>
    <row r="4" spans="1:17" ht="15" x14ac:dyDescent="0.25">
      <c r="A4" s="160"/>
      <c r="B4" s="175" t="s">
        <v>516</v>
      </c>
      <c r="C4" s="197">
        <f t="shared" si="0"/>
        <v>807836</v>
      </c>
      <c r="D4" s="197">
        <f t="shared" si="0"/>
        <v>663681</v>
      </c>
      <c r="E4" s="197">
        <f t="shared" si="0"/>
        <v>629853</v>
      </c>
      <c r="F4" s="161"/>
      <c r="G4" s="161"/>
      <c r="H4" s="222" t="s">
        <v>516</v>
      </c>
      <c r="I4" s="171">
        <f>SUMIF(Product,$H4,Revenue)</f>
        <v>2101370</v>
      </c>
      <c r="J4" s="223">
        <f>AVERAGEIF(Product,$H4,Revenue)</f>
        <v>10351.576354679803</v>
      </c>
      <c r="K4" s="171">
        <f>_xlfn.MAXIFS(Revenue,Product,$H4)</f>
        <v>21120</v>
      </c>
      <c r="L4" s="171">
        <f>_xlfn.MINIFS(Revenue, Product, $H4)</f>
        <v>1704</v>
      </c>
      <c r="M4" s="225"/>
      <c r="N4"/>
      <c r="O4"/>
      <c r="P4"/>
    </row>
    <row r="5" spans="1:17" ht="15" x14ac:dyDescent="0.25">
      <c r="A5" s="160"/>
      <c r="B5" s="175" t="s">
        <v>517</v>
      </c>
      <c r="C5" s="197">
        <f t="shared" si="0"/>
        <v>981018</v>
      </c>
      <c r="D5" s="197">
        <f t="shared" si="0"/>
        <v>738391</v>
      </c>
      <c r="E5" s="197">
        <f t="shared" si="0"/>
        <v>723319</v>
      </c>
      <c r="F5" s="161"/>
      <c r="G5" s="161"/>
      <c r="H5" s="222" t="s">
        <v>517</v>
      </c>
      <c r="I5" s="171">
        <f>SUMIF(Product,$H5,Revenue)</f>
        <v>2442728</v>
      </c>
      <c r="J5" s="223">
        <f>AVERAGEIF(Product,$H5,Revenue)</f>
        <v>13421.582417582418</v>
      </c>
      <c r="K5" s="171">
        <f>_xlfn.MAXIFS(Revenue,Product,$H5)</f>
        <v>25350</v>
      </c>
      <c r="L5" s="171">
        <f>_xlfn.MINIFS(Revenue, Product, $H5)</f>
        <v>2058</v>
      </c>
      <c r="M5" s="225"/>
      <c r="N5"/>
      <c r="O5"/>
      <c r="P5"/>
    </row>
    <row r="6" spans="1:17" ht="15" x14ac:dyDescent="0.25">
      <c r="A6" s="160"/>
      <c r="B6" s="160"/>
      <c r="C6" s="220"/>
      <c r="D6" s="220"/>
      <c r="E6" s="220"/>
      <c r="F6" s="161"/>
      <c r="G6" s="161"/>
      <c r="H6" s="221" t="s">
        <v>788</v>
      </c>
      <c r="I6" s="228" t="s">
        <v>789</v>
      </c>
      <c r="J6" s="228" t="s">
        <v>790</v>
      </c>
      <c r="K6" s="228" t="s">
        <v>791</v>
      </c>
      <c r="L6" s="228" t="s">
        <v>792</v>
      </c>
      <c r="M6" s="225"/>
      <c r="N6"/>
      <c r="O6"/>
      <c r="P6"/>
    </row>
    <row r="7" spans="1:17" ht="15" x14ac:dyDescent="0.25">
      <c r="A7" s="395" t="s">
        <v>784</v>
      </c>
      <c r="B7" s="395"/>
      <c r="C7" s="395"/>
      <c r="D7" s="395"/>
      <c r="E7" s="395"/>
      <c r="F7" s="395"/>
      <c r="G7" s="161"/>
      <c r="M7"/>
      <c r="N7"/>
      <c r="O7"/>
      <c r="P7"/>
    </row>
    <row r="8" spans="1:17" ht="15" x14ac:dyDescent="0.25">
      <c r="A8" s="160"/>
      <c r="B8" s="160"/>
      <c r="C8" s="161"/>
      <c r="D8" s="161"/>
      <c r="E8" s="160"/>
      <c r="F8" s="161"/>
      <c r="G8" s="161"/>
      <c r="L8"/>
      <c r="M8"/>
      <c r="N8"/>
      <c r="O8"/>
      <c r="P8"/>
    </row>
    <row r="9" spans="1:17" ht="15" x14ac:dyDescent="0.25">
      <c r="A9" s="172" t="s">
        <v>414</v>
      </c>
      <c r="B9" s="172" t="s">
        <v>400</v>
      </c>
      <c r="C9" s="173" t="s">
        <v>518</v>
      </c>
      <c r="D9" s="173" t="s">
        <v>418</v>
      </c>
      <c r="E9" s="172" t="s">
        <v>519</v>
      </c>
      <c r="F9" s="173" t="s">
        <v>520</v>
      </c>
      <c r="G9" s="173" t="s">
        <v>416</v>
      </c>
      <c r="H9" s="173" t="s">
        <v>521</v>
      </c>
      <c r="I9" s="173" t="s">
        <v>495</v>
      </c>
      <c r="K9" s="396" t="s">
        <v>794</v>
      </c>
      <c r="L9" s="396"/>
      <c r="M9" s="396"/>
      <c r="N9" s="396"/>
      <c r="P9"/>
      <c r="Q9" s="160"/>
    </row>
    <row r="10" spans="1:17" ht="15" x14ac:dyDescent="0.25">
      <c r="A10" s="164" t="s">
        <v>422</v>
      </c>
      <c r="B10" s="164" t="s">
        <v>515</v>
      </c>
      <c r="C10" s="170">
        <v>38355</v>
      </c>
      <c r="D10" s="171">
        <f t="shared" ref="D10:D73" si="1">YEAR(C10)</f>
        <v>2005</v>
      </c>
      <c r="E10" s="167" t="s">
        <v>522</v>
      </c>
      <c r="F10" s="163">
        <v>500</v>
      </c>
      <c r="G10" s="163">
        <v>10475</v>
      </c>
      <c r="H10" s="163">
        <v>4920</v>
      </c>
      <c r="I10" s="163">
        <v>5555</v>
      </c>
      <c r="K10" s="221" t="s">
        <v>786</v>
      </c>
      <c r="L10" s="221" t="s">
        <v>428</v>
      </c>
      <c r="M10" s="221" t="s">
        <v>422</v>
      </c>
      <c r="N10" s="221" t="s">
        <v>527</v>
      </c>
      <c r="O10"/>
      <c r="P10"/>
    </row>
    <row r="11" spans="1:17" ht="15" x14ac:dyDescent="0.25">
      <c r="A11" s="164" t="s">
        <v>428</v>
      </c>
      <c r="B11" s="164" t="s">
        <v>517</v>
      </c>
      <c r="C11" s="170">
        <v>38355</v>
      </c>
      <c r="D11" s="171">
        <f t="shared" si="1"/>
        <v>2005</v>
      </c>
      <c r="E11" s="167" t="s">
        <v>523</v>
      </c>
      <c r="F11" s="163">
        <v>900</v>
      </c>
      <c r="G11" s="163">
        <v>19161</v>
      </c>
      <c r="H11" s="163">
        <v>9198</v>
      </c>
      <c r="I11" s="163">
        <v>9963</v>
      </c>
      <c r="K11" s="222" t="s">
        <v>515</v>
      </c>
      <c r="L11" s="171">
        <f t="shared" ref="L11:N13" si="2">SUMIFS(Profit,Product,$K11,Region,L$10)</f>
        <v>495247</v>
      </c>
      <c r="M11" s="171">
        <f t="shared" si="2"/>
        <v>272535</v>
      </c>
      <c r="N11" s="171">
        <f t="shared" si="2"/>
        <v>433580</v>
      </c>
      <c r="O11"/>
      <c r="P11"/>
    </row>
    <row r="12" spans="1:17" ht="15" x14ac:dyDescent="0.25">
      <c r="A12" s="164" t="s">
        <v>428</v>
      </c>
      <c r="B12" s="164" t="s">
        <v>515</v>
      </c>
      <c r="C12" s="170">
        <v>38360</v>
      </c>
      <c r="D12" s="171">
        <f t="shared" si="1"/>
        <v>2005</v>
      </c>
      <c r="E12" s="167" t="s">
        <v>524</v>
      </c>
      <c r="F12" s="163">
        <v>500</v>
      </c>
      <c r="G12" s="163">
        <v>11845</v>
      </c>
      <c r="H12" s="163">
        <v>4920</v>
      </c>
      <c r="I12" s="163">
        <v>6925</v>
      </c>
      <c r="K12" s="222" t="s">
        <v>516</v>
      </c>
      <c r="L12" s="171">
        <f t="shared" si="2"/>
        <v>394100</v>
      </c>
      <c r="M12" s="171">
        <f t="shared" si="2"/>
        <v>349595</v>
      </c>
      <c r="N12" s="171">
        <f t="shared" si="2"/>
        <v>425975</v>
      </c>
      <c r="O12"/>
    </row>
    <row r="13" spans="1:17" ht="15" x14ac:dyDescent="0.25">
      <c r="A13" s="164" t="s">
        <v>428</v>
      </c>
      <c r="B13" s="164" t="s">
        <v>517</v>
      </c>
      <c r="C13" s="170">
        <v>38365</v>
      </c>
      <c r="D13" s="171">
        <f t="shared" si="1"/>
        <v>2005</v>
      </c>
      <c r="E13" s="167" t="s">
        <v>525</v>
      </c>
      <c r="F13" s="163">
        <v>800</v>
      </c>
      <c r="G13" s="163">
        <v>16936</v>
      </c>
      <c r="H13" s="163">
        <v>8176</v>
      </c>
      <c r="I13" s="163">
        <v>8760</v>
      </c>
      <c r="K13" s="222" t="s">
        <v>517</v>
      </c>
      <c r="L13" s="171">
        <f t="shared" si="2"/>
        <v>493237</v>
      </c>
      <c r="M13" s="171">
        <f t="shared" si="2"/>
        <v>402699</v>
      </c>
      <c r="N13" s="171">
        <f t="shared" si="2"/>
        <v>462450</v>
      </c>
      <c r="O13"/>
    </row>
    <row r="14" spans="1:17" x14ac:dyDescent="0.25">
      <c r="A14" s="164" t="s">
        <v>422</v>
      </c>
      <c r="B14" s="164" t="s">
        <v>516</v>
      </c>
      <c r="C14" s="170">
        <v>38367</v>
      </c>
      <c r="D14" s="171">
        <f t="shared" si="1"/>
        <v>2005</v>
      </c>
      <c r="E14" s="167" t="s">
        <v>526</v>
      </c>
      <c r="F14" s="163">
        <v>800</v>
      </c>
      <c r="G14" s="163">
        <v>15104</v>
      </c>
      <c r="H14" s="163">
        <v>6776</v>
      </c>
      <c r="I14" s="163">
        <v>8328</v>
      </c>
      <c r="K14" s="168"/>
      <c r="M14" s="169"/>
    </row>
    <row r="15" spans="1:17" ht="15" x14ac:dyDescent="0.25">
      <c r="A15" s="164" t="s">
        <v>527</v>
      </c>
      <c r="B15" s="164" t="s">
        <v>517</v>
      </c>
      <c r="C15" s="170">
        <v>38368</v>
      </c>
      <c r="D15" s="171">
        <f t="shared" si="1"/>
        <v>2005</v>
      </c>
      <c r="E15" s="167" t="s">
        <v>528</v>
      </c>
      <c r="F15" s="163">
        <v>900</v>
      </c>
      <c r="G15" s="163">
        <v>19593</v>
      </c>
      <c r="H15" s="163">
        <v>9198</v>
      </c>
      <c r="I15" s="163">
        <v>10395</v>
      </c>
      <c r="K15" s="394" t="s">
        <v>795</v>
      </c>
      <c r="L15" s="394"/>
      <c r="M15" s="394"/>
      <c r="N15" s="394"/>
      <c r="O15"/>
      <c r="P15"/>
      <c r="Q15"/>
    </row>
    <row r="16" spans="1:17" x14ac:dyDescent="0.25">
      <c r="A16" s="164" t="s">
        <v>527</v>
      </c>
      <c r="B16" s="164" t="s">
        <v>517</v>
      </c>
      <c r="C16" s="170">
        <v>38369</v>
      </c>
      <c r="D16" s="171">
        <f t="shared" si="1"/>
        <v>2005</v>
      </c>
      <c r="E16" s="167" t="s">
        <v>529</v>
      </c>
      <c r="F16" s="163">
        <v>1000</v>
      </c>
      <c r="G16" s="163">
        <v>24430</v>
      </c>
      <c r="H16" s="163">
        <v>10220</v>
      </c>
      <c r="I16" s="163">
        <v>14210</v>
      </c>
      <c r="K16" s="394"/>
      <c r="L16" s="394"/>
      <c r="M16" s="394"/>
      <c r="N16" s="394"/>
    </row>
    <row r="17" spans="1:14" x14ac:dyDescent="0.25">
      <c r="A17" s="164" t="s">
        <v>422</v>
      </c>
      <c r="B17" s="164" t="s">
        <v>516</v>
      </c>
      <c r="C17" s="170">
        <v>38369</v>
      </c>
      <c r="D17" s="171">
        <f t="shared" si="1"/>
        <v>2005</v>
      </c>
      <c r="E17" s="167" t="s">
        <v>528</v>
      </c>
      <c r="F17" s="163">
        <v>800</v>
      </c>
      <c r="G17" s="163">
        <v>16856</v>
      </c>
      <c r="H17" s="163">
        <v>6776</v>
      </c>
      <c r="I17" s="163">
        <v>10080</v>
      </c>
      <c r="K17" s="227">
        <v>2005</v>
      </c>
      <c r="L17" s="226" t="s">
        <v>428</v>
      </c>
      <c r="M17" s="226" t="s">
        <v>422</v>
      </c>
      <c r="N17" s="226" t="s">
        <v>527</v>
      </c>
    </row>
    <row r="18" spans="1:14" x14ac:dyDescent="0.25">
      <c r="A18" s="164" t="s">
        <v>527</v>
      </c>
      <c r="B18" s="164" t="s">
        <v>515</v>
      </c>
      <c r="C18" s="170">
        <v>38371</v>
      </c>
      <c r="D18" s="171">
        <f t="shared" si="1"/>
        <v>2005</v>
      </c>
      <c r="E18" s="167" t="s">
        <v>530</v>
      </c>
      <c r="F18" s="163">
        <v>300</v>
      </c>
      <c r="G18" s="163">
        <v>7233</v>
      </c>
      <c r="H18" s="163">
        <v>2952</v>
      </c>
      <c r="I18" s="163">
        <v>4281</v>
      </c>
      <c r="K18" s="222" t="s">
        <v>515</v>
      </c>
      <c r="L18" s="171">
        <f t="shared" ref="L18:N20" si="3">SUMIFS(Revenue,Year,$K$17,Product,$K18,Region,L$17)</f>
        <v>296802</v>
      </c>
      <c r="M18" s="171">
        <f t="shared" si="3"/>
        <v>161126</v>
      </c>
      <c r="N18" s="171">
        <f t="shared" si="3"/>
        <v>163917</v>
      </c>
    </row>
    <row r="19" spans="1:14" x14ac:dyDescent="0.25">
      <c r="A19" s="164" t="s">
        <v>428</v>
      </c>
      <c r="B19" s="164" t="s">
        <v>515</v>
      </c>
      <c r="C19" s="170">
        <v>38373</v>
      </c>
      <c r="D19" s="171">
        <f t="shared" si="1"/>
        <v>2005</v>
      </c>
      <c r="E19" s="167" t="s">
        <v>529</v>
      </c>
      <c r="F19" s="163">
        <v>1000</v>
      </c>
      <c r="G19" s="163">
        <v>20540</v>
      </c>
      <c r="H19" s="163">
        <v>9840</v>
      </c>
      <c r="I19" s="163">
        <v>10700</v>
      </c>
      <c r="K19" s="222" t="s">
        <v>516</v>
      </c>
      <c r="L19" s="171">
        <f t="shared" si="3"/>
        <v>249114</v>
      </c>
      <c r="M19" s="171">
        <f t="shared" si="3"/>
        <v>216751</v>
      </c>
      <c r="N19" s="171">
        <f t="shared" si="3"/>
        <v>341971</v>
      </c>
    </row>
    <row r="20" spans="1:14" x14ac:dyDescent="0.25">
      <c r="A20" s="164" t="s">
        <v>527</v>
      </c>
      <c r="B20" s="164" t="s">
        <v>516</v>
      </c>
      <c r="C20" s="170">
        <v>38374</v>
      </c>
      <c r="D20" s="171">
        <f t="shared" si="1"/>
        <v>2005</v>
      </c>
      <c r="E20" s="167" t="s">
        <v>523</v>
      </c>
      <c r="F20" s="163">
        <v>900</v>
      </c>
      <c r="G20" s="163">
        <v>17136</v>
      </c>
      <c r="H20" s="163">
        <v>7623</v>
      </c>
      <c r="I20" s="163">
        <v>9513</v>
      </c>
      <c r="K20" s="222" t="s">
        <v>517</v>
      </c>
      <c r="L20" s="171">
        <f t="shared" si="3"/>
        <v>338624</v>
      </c>
      <c r="M20" s="171">
        <f t="shared" si="3"/>
        <v>272642</v>
      </c>
      <c r="N20" s="171">
        <f t="shared" si="3"/>
        <v>369752</v>
      </c>
    </row>
    <row r="21" spans="1:14" x14ac:dyDescent="0.25">
      <c r="A21" s="164" t="s">
        <v>428</v>
      </c>
      <c r="B21" s="164" t="s">
        <v>517</v>
      </c>
      <c r="C21" s="170">
        <v>38374</v>
      </c>
      <c r="D21" s="171">
        <f t="shared" si="1"/>
        <v>2005</v>
      </c>
      <c r="E21" s="167" t="s">
        <v>523</v>
      </c>
      <c r="F21" s="163">
        <v>1000</v>
      </c>
      <c r="G21" s="163">
        <v>20490</v>
      </c>
      <c r="H21" s="163">
        <v>10220</v>
      </c>
      <c r="I21" s="163">
        <v>10270</v>
      </c>
    </row>
    <row r="22" spans="1:14" x14ac:dyDescent="0.25">
      <c r="A22" s="164" t="s">
        <v>422</v>
      </c>
      <c r="B22" s="164" t="s">
        <v>517</v>
      </c>
      <c r="C22" s="170">
        <v>38375</v>
      </c>
      <c r="D22" s="171">
        <f t="shared" si="1"/>
        <v>2005</v>
      </c>
      <c r="E22" s="167" t="s">
        <v>531</v>
      </c>
      <c r="F22" s="163">
        <v>500</v>
      </c>
      <c r="G22" s="163">
        <v>10445</v>
      </c>
      <c r="H22" s="163">
        <v>5110</v>
      </c>
      <c r="I22" s="163">
        <v>5335</v>
      </c>
    </row>
    <row r="23" spans="1:14" ht="13.8" customHeight="1" x14ac:dyDescent="0.25">
      <c r="A23" s="164" t="s">
        <v>527</v>
      </c>
      <c r="B23" s="164" t="s">
        <v>517</v>
      </c>
      <c r="C23" s="170">
        <v>38377</v>
      </c>
      <c r="D23" s="171">
        <f t="shared" si="1"/>
        <v>2005</v>
      </c>
      <c r="E23" s="167" t="s">
        <v>532</v>
      </c>
      <c r="F23" s="163">
        <v>1000</v>
      </c>
      <c r="G23" s="163">
        <v>20670</v>
      </c>
      <c r="H23" s="163">
        <v>10220</v>
      </c>
      <c r="I23" s="163">
        <v>10450</v>
      </c>
      <c r="K23" s="393" t="s">
        <v>796</v>
      </c>
      <c r="L23" s="393"/>
      <c r="M23" s="393"/>
      <c r="N23" s="393"/>
    </row>
    <row r="24" spans="1:14" x14ac:dyDescent="0.25">
      <c r="A24" s="164" t="s">
        <v>428</v>
      </c>
      <c r="B24" s="164" t="s">
        <v>517</v>
      </c>
      <c r="C24" s="170">
        <v>38380</v>
      </c>
      <c r="D24" s="171">
        <f t="shared" si="1"/>
        <v>2005</v>
      </c>
      <c r="E24" s="167" t="s">
        <v>529</v>
      </c>
      <c r="F24" s="163">
        <v>900</v>
      </c>
      <c r="G24" s="163">
        <v>19368</v>
      </c>
      <c r="H24" s="163">
        <v>9198</v>
      </c>
      <c r="I24" s="163">
        <v>10170</v>
      </c>
      <c r="K24" s="393"/>
      <c r="L24" s="393"/>
      <c r="M24" s="393"/>
      <c r="N24" s="393"/>
    </row>
    <row r="25" spans="1:14" x14ac:dyDescent="0.25">
      <c r="A25" s="164" t="s">
        <v>422</v>
      </c>
      <c r="B25" s="164" t="s">
        <v>517</v>
      </c>
      <c r="C25" s="170">
        <v>38383</v>
      </c>
      <c r="D25" s="171">
        <f t="shared" si="1"/>
        <v>2005</v>
      </c>
      <c r="E25" s="167" t="s">
        <v>533</v>
      </c>
      <c r="F25" s="163">
        <v>500</v>
      </c>
      <c r="G25" s="163">
        <v>11965</v>
      </c>
      <c r="H25" s="163">
        <v>5110</v>
      </c>
      <c r="I25" s="163">
        <v>6855</v>
      </c>
      <c r="K25" s="168"/>
      <c r="M25" s="169"/>
    </row>
    <row r="26" spans="1:14" x14ac:dyDescent="0.25">
      <c r="A26" s="164" t="s">
        <v>527</v>
      </c>
      <c r="B26" s="164" t="s">
        <v>516</v>
      </c>
      <c r="C26" s="170">
        <v>38385</v>
      </c>
      <c r="D26" s="171">
        <f t="shared" si="1"/>
        <v>2005</v>
      </c>
      <c r="E26" s="167" t="s">
        <v>522</v>
      </c>
      <c r="F26" s="163">
        <v>500</v>
      </c>
      <c r="G26" s="163">
        <v>10445</v>
      </c>
      <c r="H26" s="163">
        <v>4235</v>
      </c>
      <c r="I26" s="163">
        <v>6210</v>
      </c>
      <c r="K26" s="168"/>
      <c r="M26" s="169"/>
    </row>
    <row r="27" spans="1:14" x14ac:dyDescent="0.25">
      <c r="A27" s="164" t="s">
        <v>428</v>
      </c>
      <c r="B27" s="164" t="s">
        <v>515</v>
      </c>
      <c r="C27" s="170">
        <v>38388</v>
      </c>
      <c r="D27" s="171">
        <f t="shared" si="1"/>
        <v>2005</v>
      </c>
      <c r="E27" s="167" t="s">
        <v>534</v>
      </c>
      <c r="F27" s="163">
        <v>200</v>
      </c>
      <c r="G27" s="163">
        <v>4380</v>
      </c>
      <c r="H27" s="163">
        <v>1968</v>
      </c>
      <c r="I27" s="163">
        <v>2412</v>
      </c>
      <c r="K27" s="168"/>
      <c r="M27" s="169"/>
    </row>
    <row r="28" spans="1:14" x14ac:dyDescent="0.25">
      <c r="A28" s="164" t="s">
        <v>428</v>
      </c>
      <c r="B28" s="164" t="s">
        <v>515</v>
      </c>
      <c r="C28" s="170">
        <v>38390</v>
      </c>
      <c r="D28" s="171">
        <f t="shared" si="1"/>
        <v>2005</v>
      </c>
      <c r="E28" s="167" t="s">
        <v>522</v>
      </c>
      <c r="F28" s="163">
        <v>900</v>
      </c>
      <c r="G28" s="163">
        <v>21555</v>
      </c>
      <c r="H28" s="163">
        <v>8856</v>
      </c>
      <c r="I28" s="163">
        <v>12699</v>
      </c>
      <c r="K28" s="168"/>
      <c r="M28" s="169"/>
    </row>
    <row r="29" spans="1:14" x14ac:dyDescent="0.25">
      <c r="A29" s="164" t="s">
        <v>428</v>
      </c>
      <c r="B29" s="164" t="s">
        <v>515</v>
      </c>
      <c r="C29" s="170">
        <v>38394</v>
      </c>
      <c r="D29" s="171">
        <f t="shared" si="1"/>
        <v>2005</v>
      </c>
      <c r="E29" s="167" t="s">
        <v>531</v>
      </c>
      <c r="F29" s="163">
        <v>500</v>
      </c>
      <c r="G29" s="163">
        <v>11435</v>
      </c>
      <c r="H29" s="163">
        <v>4920</v>
      </c>
      <c r="I29" s="163">
        <v>6515</v>
      </c>
      <c r="K29" s="168"/>
      <c r="M29" s="169"/>
    </row>
    <row r="30" spans="1:14" x14ac:dyDescent="0.25">
      <c r="A30" s="164" t="s">
        <v>527</v>
      </c>
      <c r="B30" s="164" t="s">
        <v>516</v>
      </c>
      <c r="C30" s="170">
        <v>38397</v>
      </c>
      <c r="D30" s="171">
        <f t="shared" si="1"/>
        <v>2005</v>
      </c>
      <c r="E30" s="167" t="s">
        <v>530</v>
      </c>
      <c r="F30" s="163">
        <v>700</v>
      </c>
      <c r="G30" s="163">
        <v>13734</v>
      </c>
      <c r="H30" s="163">
        <v>5929</v>
      </c>
      <c r="I30" s="163">
        <v>7805</v>
      </c>
      <c r="K30" s="168"/>
      <c r="M30" s="169"/>
    </row>
    <row r="31" spans="1:14" x14ac:dyDescent="0.25">
      <c r="A31" s="164" t="s">
        <v>428</v>
      </c>
      <c r="B31" s="164" t="s">
        <v>516</v>
      </c>
      <c r="C31" s="170">
        <v>38398</v>
      </c>
      <c r="D31" s="171">
        <f t="shared" si="1"/>
        <v>2005</v>
      </c>
      <c r="E31" s="167" t="s">
        <v>533</v>
      </c>
      <c r="F31" s="163">
        <v>500</v>
      </c>
      <c r="G31" s="163">
        <v>8725</v>
      </c>
      <c r="H31" s="163">
        <v>4235</v>
      </c>
      <c r="I31" s="163">
        <v>4490</v>
      </c>
      <c r="K31" s="168"/>
      <c r="M31" s="169"/>
    </row>
    <row r="32" spans="1:14" x14ac:dyDescent="0.25">
      <c r="A32" s="164" t="s">
        <v>428</v>
      </c>
      <c r="B32" s="164" t="s">
        <v>517</v>
      </c>
      <c r="C32" s="170">
        <v>38400</v>
      </c>
      <c r="D32" s="171">
        <f t="shared" si="1"/>
        <v>2005</v>
      </c>
      <c r="E32" s="167" t="s">
        <v>528</v>
      </c>
      <c r="F32" s="163">
        <v>1000</v>
      </c>
      <c r="G32" s="163">
        <v>25060</v>
      </c>
      <c r="H32" s="163">
        <v>10220</v>
      </c>
      <c r="I32" s="163">
        <v>14840</v>
      </c>
      <c r="K32" s="168"/>
      <c r="M32" s="169"/>
    </row>
    <row r="33" spans="1:13" x14ac:dyDescent="0.25">
      <c r="A33" s="164" t="s">
        <v>422</v>
      </c>
      <c r="B33" s="164" t="s">
        <v>515</v>
      </c>
      <c r="C33" s="170">
        <v>38400</v>
      </c>
      <c r="D33" s="171">
        <f t="shared" si="1"/>
        <v>2005</v>
      </c>
      <c r="E33" s="167" t="s">
        <v>535</v>
      </c>
      <c r="F33" s="163">
        <v>800</v>
      </c>
      <c r="G33" s="163">
        <v>19344</v>
      </c>
      <c r="H33" s="163">
        <v>7872</v>
      </c>
      <c r="I33" s="163">
        <v>11472</v>
      </c>
      <c r="K33" s="168"/>
      <c r="M33" s="169"/>
    </row>
    <row r="34" spans="1:13" x14ac:dyDescent="0.25">
      <c r="A34" s="164" t="s">
        <v>422</v>
      </c>
      <c r="B34" s="164" t="s">
        <v>516</v>
      </c>
      <c r="C34" s="170">
        <v>38402</v>
      </c>
      <c r="D34" s="171">
        <f t="shared" si="1"/>
        <v>2005</v>
      </c>
      <c r="E34" s="167" t="s">
        <v>531</v>
      </c>
      <c r="F34" s="163">
        <v>800</v>
      </c>
      <c r="G34" s="163">
        <v>13552</v>
      </c>
      <c r="H34" s="163">
        <v>6776</v>
      </c>
      <c r="I34" s="163">
        <v>6776</v>
      </c>
      <c r="K34" s="168"/>
      <c r="M34" s="169"/>
    </row>
    <row r="35" spans="1:13" x14ac:dyDescent="0.25">
      <c r="A35" s="164" t="s">
        <v>527</v>
      </c>
      <c r="B35" s="164" t="s">
        <v>517</v>
      </c>
      <c r="C35" s="170">
        <v>38403</v>
      </c>
      <c r="D35" s="171">
        <f t="shared" si="1"/>
        <v>2005</v>
      </c>
      <c r="E35" s="167" t="s">
        <v>529</v>
      </c>
      <c r="F35" s="163">
        <v>100</v>
      </c>
      <c r="G35" s="163">
        <v>2058</v>
      </c>
      <c r="H35" s="163">
        <v>1022</v>
      </c>
      <c r="I35" s="163">
        <v>1036</v>
      </c>
      <c r="K35" s="168"/>
      <c r="M35" s="169"/>
    </row>
    <row r="36" spans="1:13" x14ac:dyDescent="0.25">
      <c r="A36" s="164" t="s">
        <v>428</v>
      </c>
      <c r="B36" s="164" t="s">
        <v>516</v>
      </c>
      <c r="C36" s="170">
        <v>38406</v>
      </c>
      <c r="D36" s="171">
        <f t="shared" si="1"/>
        <v>2005</v>
      </c>
      <c r="E36" s="167" t="s">
        <v>528</v>
      </c>
      <c r="F36" s="163">
        <v>300</v>
      </c>
      <c r="G36" s="163">
        <v>6138</v>
      </c>
      <c r="H36" s="163">
        <v>2541</v>
      </c>
      <c r="I36" s="163">
        <v>3597</v>
      </c>
      <c r="K36" s="168"/>
      <c r="M36" s="169"/>
    </row>
    <row r="37" spans="1:13" x14ac:dyDescent="0.25">
      <c r="A37" s="164" t="s">
        <v>428</v>
      </c>
      <c r="B37" s="164" t="s">
        <v>517</v>
      </c>
      <c r="C37" s="170">
        <v>38406</v>
      </c>
      <c r="D37" s="171">
        <f t="shared" si="1"/>
        <v>2005</v>
      </c>
      <c r="E37" s="167" t="s">
        <v>522</v>
      </c>
      <c r="F37" s="163">
        <v>1000</v>
      </c>
      <c r="G37" s="163">
        <v>20940</v>
      </c>
      <c r="H37" s="163">
        <v>10220</v>
      </c>
      <c r="I37" s="163">
        <v>10720</v>
      </c>
      <c r="K37" s="168"/>
    </row>
    <row r="38" spans="1:13" x14ac:dyDescent="0.25">
      <c r="A38" s="164" t="s">
        <v>428</v>
      </c>
      <c r="B38" s="164" t="s">
        <v>517</v>
      </c>
      <c r="C38" s="170">
        <v>38414</v>
      </c>
      <c r="D38" s="171">
        <f t="shared" si="1"/>
        <v>2005</v>
      </c>
      <c r="E38" s="167" t="s">
        <v>528</v>
      </c>
      <c r="F38" s="163">
        <v>1000</v>
      </c>
      <c r="G38" s="163">
        <v>22810</v>
      </c>
      <c r="H38" s="163">
        <v>10220</v>
      </c>
      <c r="I38" s="163">
        <v>12590</v>
      </c>
      <c r="K38" s="168"/>
    </row>
    <row r="39" spans="1:13" x14ac:dyDescent="0.25">
      <c r="A39" s="164" t="s">
        <v>527</v>
      </c>
      <c r="B39" s="164" t="s">
        <v>516</v>
      </c>
      <c r="C39" s="170">
        <v>38416</v>
      </c>
      <c r="D39" s="171">
        <f t="shared" si="1"/>
        <v>2005</v>
      </c>
      <c r="E39" s="167" t="s">
        <v>529</v>
      </c>
      <c r="F39" s="163">
        <v>400</v>
      </c>
      <c r="G39" s="163">
        <v>7520</v>
      </c>
      <c r="H39" s="163">
        <v>3388</v>
      </c>
      <c r="I39" s="163">
        <v>4132</v>
      </c>
      <c r="K39" s="168"/>
    </row>
    <row r="40" spans="1:13" x14ac:dyDescent="0.25">
      <c r="A40" s="164" t="s">
        <v>422</v>
      </c>
      <c r="B40" s="164" t="s">
        <v>517</v>
      </c>
      <c r="C40" s="170">
        <v>38419</v>
      </c>
      <c r="D40" s="171">
        <f t="shared" si="1"/>
        <v>2005</v>
      </c>
      <c r="E40" s="167" t="s">
        <v>536</v>
      </c>
      <c r="F40" s="163">
        <v>300</v>
      </c>
      <c r="G40" s="163">
        <v>6867</v>
      </c>
      <c r="H40" s="163">
        <v>3066</v>
      </c>
      <c r="I40" s="163">
        <v>3801</v>
      </c>
      <c r="K40" s="168"/>
    </row>
    <row r="41" spans="1:13" x14ac:dyDescent="0.25">
      <c r="A41" s="164" t="s">
        <v>428</v>
      </c>
      <c r="B41" s="164" t="s">
        <v>515</v>
      </c>
      <c r="C41" s="170">
        <v>38419</v>
      </c>
      <c r="D41" s="171">
        <f t="shared" si="1"/>
        <v>2005</v>
      </c>
      <c r="E41" s="167" t="s">
        <v>537</v>
      </c>
      <c r="F41" s="163">
        <v>900</v>
      </c>
      <c r="G41" s="163">
        <v>17757</v>
      </c>
      <c r="H41" s="163">
        <v>8856</v>
      </c>
      <c r="I41" s="163">
        <v>8901</v>
      </c>
      <c r="K41" s="168"/>
    </row>
    <row r="42" spans="1:13" x14ac:dyDescent="0.25">
      <c r="A42" s="164" t="s">
        <v>527</v>
      </c>
      <c r="B42" s="164" t="s">
        <v>517</v>
      </c>
      <c r="C42" s="170">
        <v>38421</v>
      </c>
      <c r="D42" s="171">
        <f t="shared" si="1"/>
        <v>2005</v>
      </c>
      <c r="E42" s="167" t="s">
        <v>531</v>
      </c>
      <c r="F42" s="163">
        <v>900</v>
      </c>
      <c r="G42" s="163">
        <v>21438</v>
      </c>
      <c r="H42" s="163">
        <v>9198</v>
      </c>
      <c r="I42" s="163">
        <v>12240</v>
      </c>
      <c r="K42" s="168"/>
    </row>
    <row r="43" spans="1:13" x14ac:dyDescent="0.25">
      <c r="A43" s="164" t="s">
        <v>422</v>
      </c>
      <c r="B43" s="164" t="s">
        <v>517</v>
      </c>
      <c r="C43" s="170">
        <v>38422</v>
      </c>
      <c r="D43" s="171">
        <f t="shared" si="1"/>
        <v>2005</v>
      </c>
      <c r="E43" s="167" t="s">
        <v>530</v>
      </c>
      <c r="F43" s="163">
        <v>200</v>
      </c>
      <c r="G43" s="163">
        <v>5002</v>
      </c>
      <c r="H43" s="163">
        <v>2044</v>
      </c>
      <c r="I43" s="163">
        <v>2958</v>
      </c>
      <c r="K43" s="168"/>
    </row>
    <row r="44" spans="1:13" x14ac:dyDescent="0.25">
      <c r="A44" s="164" t="s">
        <v>422</v>
      </c>
      <c r="B44" s="164" t="s">
        <v>517</v>
      </c>
      <c r="C44" s="170">
        <v>38424</v>
      </c>
      <c r="D44" s="171">
        <f t="shared" si="1"/>
        <v>2005</v>
      </c>
      <c r="E44" s="167" t="s">
        <v>523</v>
      </c>
      <c r="F44" s="163">
        <v>800</v>
      </c>
      <c r="G44" s="163">
        <v>19376</v>
      </c>
      <c r="H44" s="163">
        <v>8176</v>
      </c>
      <c r="I44" s="163">
        <v>11200</v>
      </c>
      <c r="K44" s="168"/>
    </row>
    <row r="45" spans="1:13" x14ac:dyDescent="0.25">
      <c r="A45" s="164" t="s">
        <v>422</v>
      </c>
      <c r="B45" s="164" t="s">
        <v>516</v>
      </c>
      <c r="C45" s="170">
        <v>38425</v>
      </c>
      <c r="D45" s="171">
        <f t="shared" si="1"/>
        <v>2005</v>
      </c>
      <c r="E45" s="167" t="s">
        <v>522</v>
      </c>
      <c r="F45" s="163">
        <v>300</v>
      </c>
      <c r="G45" s="163">
        <v>6069</v>
      </c>
      <c r="H45" s="163">
        <v>2541</v>
      </c>
      <c r="I45" s="163">
        <v>3528</v>
      </c>
      <c r="K45" s="168"/>
    </row>
    <row r="46" spans="1:13" x14ac:dyDescent="0.25">
      <c r="A46" s="164" t="s">
        <v>422</v>
      </c>
      <c r="B46" s="164" t="s">
        <v>517</v>
      </c>
      <c r="C46" s="170">
        <v>38429</v>
      </c>
      <c r="D46" s="171">
        <f t="shared" si="1"/>
        <v>2005</v>
      </c>
      <c r="E46" s="167" t="s">
        <v>531</v>
      </c>
      <c r="F46" s="163">
        <v>500</v>
      </c>
      <c r="G46" s="163">
        <v>12760</v>
      </c>
      <c r="H46" s="163">
        <v>5110</v>
      </c>
      <c r="I46" s="163">
        <v>7650</v>
      </c>
      <c r="K46" s="168"/>
    </row>
    <row r="47" spans="1:13" x14ac:dyDescent="0.25">
      <c r="A47" s="164" t="s">
        <v>527</v>
      </c>
      <c r="B47" s="164" t="s">
        <v>515</v>
      </c>
      <c r="C47" s="170">
        <v>38430</v>
      </c>
      <c r="D47" s="171">
        <f t="shared" si="1"/>
        <v>2005</v>
      </c>
      <c r="E47" s="167" t="s">
        <v>529</v>
      </c>
      <c r="F47" s="163">
        <v>800</v>
      </c>
      <c r="G47" s="163">
        <v>19424</v>
      </c>
      <c r="H47" s="163">
        <v>7872</v>
      </c>
      <c r="I47" s="163">
        <v>11552</v>
      </c>
      <c r="K47" s="168"/>
    </row>
    <row r="48" spans="1:13" x14ac:dyDescent="0.25">
      <c r="A48" s="164" t="s">
        <v>428</v>
      </c>
      <c r="B48" s="164" t="s">
        <v>516</v>
      </c>
      <c r="C48" s="170">
        <v>38430</v>
      </c>
      <c r="D48" s="171">
        <f t="shared" si="1"/>
        <v>2005</v>
      </c>
      <c r="E48" s="167" t="s">
        <v>538</v>
      </c>
      <c r="F48" s="163">
        <v>1000</v>
      </c>
      <c r="G48" s="163">
        <v>17840</v>
      </c>
      <c r="H48" s="163">
        <v>8470</v>
      </c>
      <c r="I48" s="163">
        <v>9370</v>
      </c>
      <c r="K48" s="168"/>
    </row>
    <row r="49" spans="1:11" x14ac:dyDescent="0.25">
      <c r="A49" s="164" t="s">
        <v>527</v>
      </c>
      <c r="B49" s="164" t="s">
        <v>517</v>
      </c>
      <c r="C49" s="170">
        <v>38430</v>
      </c>
      <c r="D49" s="171">
        <f t="shared" si="1"/>
        <v>2005</v>
      </c>
      <c r="E49" s="167" t="s">
        <v>531</v>
      </c>
      <c r="F49" s="163">
        <v>200</v>
      </c>
      <c r="G49" s="163">
        <v>4690</v>
      </c>
      <c r="H49" s="163">
        <v>2044</v>
      </c>
      <c r="I49" s="163">
        <v>2646</v>
      </c>
      <c r="K49" s="168"/>
    </row>
    <row r="50" spans="1:11" x14ac:dyDescent="0.25">
      <c r="A50" s="164" t="s">
        <v>527</v>
      </c>
      <c r="B50" s="164" t="s">
        <v>516</v>
      </c>
      <c r="C50" s="170">
        <v>38431</v>
      </c>
      <c r="D50" s="171">
        <f t="shared" si="1"/>
        <v>2005</v>
      </c>
      <c r="E50" s="167" t="s">
        <v>522</v>
      </c>
      <c r="F50" s="163">
        <v>100</v>
      </c>
      <c r="G50" s="163">
        <v>1861</v>
      </c>
      <c r="H50" s="163">
        <v>847</v>
      </c>
      <c r="I50" s="163">
        <v>1014</v>
      </c>
      <c r="K50" s="168"/>
    </row>
    <row r="51" spans="1:11" x14ac:dyDescent="0.25">
      <c r="A51" s="164" t="s">
        <v>422</v>
      </c>
      <c r="B51" s="164" t="s">
        <v>515</v>
      </c>
      <c r="C51" s="170">
        <v>38432</v>
      </c>
      <c r="D51" s="171">
        <f t="shared" si="1"/>
        <v>2005</v>
      </c>
      <c r="E51" s="167" t="s">
        <v>533</v>
      </c>
      <c r="F51" s="163">
        <v>200</v>
      </c>
      <c r="G51" s="163">
        <v>3942</v>
      </c>
      <c r="H51" s="163">
        <v>1968</v>
      </c>
      <c r="I51" s="163">
        <v>1974</v>
      </c>
      <c r="K51" s="168"/>
    </row>
    <row r="52" spans="1:11" x14ac:dyDescent="0.25">
      <c r="A52" s="164" t="s">
        <v>527</v>
      </c>
      <c r="B52" s="164" t="s">
        <v>516</v>
      </c>
      <c r="C52" s="170">
        <v>38433</v>
      </c>
      <c r="D52" s="171">
        <f t="shared" si="1"/>
        <v>2005</v>
      </c>
      <c r="E52" s="167" t="s">
        <v>522</v>
      </c>
      <c r="F52" s="163">
        <v>500</v>
      </c>
      <c r="G52" s="163">
        <v>9475</v>
      </c>
      <c r="H52" s="163">
        <v>4235</v>
      </c>
      <c r="I52" s="163">
        <v>5240</v>
      </c>
      <c r="K52" s="168"/>
    </row>
    <row r="53" spans="1:11" x14ac:dyDescent="0.25">
      <c r="A53" s="164" t="s">
        <v>428</v>
      </c>
      <c r="B53" s="164" t="s">
        <v>516</v>
      </c>
      <c r="C53" s="170">
        <v>38436</v>
      </c>
      <c r="D53" s="171">
        <f t="shared" si="1"/>
        <v>2005</v>
      </c>
      <c r="E53" s="167" t="s">
        <v>536</v>
      </c>
      <c r="F53" s="163">
        <v>700</v>
      </c>
      <c r="G53" s="163">
        <v>14686</v>
      </c>
      <c r="H53" s="163">
        <v>5929</v>
      </c>
      <c r="I53" s="163">
        <v>8757</v>
      </c>
      <c r="K53" s="168"/>
    </row>
    <row r="54" spans="1:11" x14ac:dyDescent="0.25">
      <c r="A54" s="164" t="s">
        <v>428</v>
      </c>
      <c r="B54" s="164" t="s">
        <v>517</v>
      </c>
      <c r="C54" s="170">
        <v>38436</v>
      </c>
      <c r="D54" s="171">
        <f t="shared" si="1"/>
        <v>2005</v>
      </c>
      <c r="E54" s="167" t="s">
        <v>530</v>
      </c>
      <c r="F54" s="163">
        <v>400</v>
      </c>
      <c r="G54" s="163">
        <v>9704</v>
      </c>
      <c r="H54" s="163">
        <v>4088</v>
      </c>
      <c r="I54" s="163">
        <v>5616</v>
      </c>
      <c r="K54" s="168"/>
    </row>
    <row r="55" spans="1:11" x14ac:dyDescent="0.25">
      <c r="A55" s="164" t="s">
        <v>527</v>
      </c>
      <c r="B55" s="164" t="s">
        <v>515</v>
      </c>
      <c r="C55" s="170">
        <v>38436</v>
      </c>
      <c r="D55" s="171">
        <f t="shared" si="1"/>
        <v>2005</v>
      </c>
      <c r="E55" s="167" t="s">
        <v>533</v>
      </c>
      <c r="F55" s="163">
        <v>1000</v>
      </c>
      <c r="G55" s="163">
        <v>20480</v>
      </c>
      <c r="H55" s="163">
        <v>9840</v>
      </c>
      <c r="I55" s="163">
        <v>10640</v>
      </c>
      <c r="K55" s="168"/>
    </row>
    <row r="56" spans="1:11" x14ac:dyDescent="0.25">
      <c r="A56" s="164" t="s">
        <v>527</v>
      </c>
      <c r="B56" s="164" t="s">
        <v>517</v>
      </c>
      <c r="C56" s="170">
        <v>38439</v>
      </c>
      <c r="D56" s="171">
        <f t="shared" si="1"/>
        <v>2005</v>
      </c>
      <c r="E56" s="167" t="s">
        <v>533</v>
      </c>
      <c r="F56" s="163">
        <v>700</v>
      </c>
      <c r="G56" s="163">
        <v>17367</v>
      </c>
      <c r="H56" s="163">
        <v>7154</v>
      </c>
      <c r="I56" s="163">
        <v>10213</v>
      </c>
      <c r="K56" s="168"/>
    </row>
    <row r="57" spans="1:11" x14ac:dyDescent="0.25">
      <c r="A57" s="164" t="s">
        <v>428</v>
      </c>
      <c r="B57" s="164" t="s">
        <v>517</v>
      </c>
      <c r="C57" s="170">
        <v>38441</v>
      </c>
      <c r="D57" s="171">
        <f t="shared" si="1"/>
        <v>2005</v>
      </c>
      <c r="E57" s="167" t="s">
        <v>536</v>
      </c>
      <c r="F57" s="163">
        <v>900</v>
      </c>
      <c r="G57" s="163">
        <v>18684</v>
      </c>
      <c r="H57" s="163">
        <v>9198</v>
      </c>
      <c r="I57" s="163">
        <v>9486</v>
      </c>
      <c r="K57" s="168"/>
    </row>
    <row r="58" spans="1:11" x14ac:dyDescent="0.25">
      <c r="A58" s="164" t="s">
        <v>428</v>
      </c>
      <c r="B58" s="164" t="s">
        <v>515</v>
      </c>
      <c r="C58" s="170">
        <v>38441</v>
      </c>
      <c r="D58" s="171">
        <f t="shared" si="1"/>
        <v>2005</v>
      </c>
      <c r="E58" s="167" t="s">
        <v>530</v>
      </c>
      <c r="F58" s="163">
        <v>800</v>
      </c>
      <c r="G58" s="163">
        <v>16232</v>
      </c>
      <c r="H58" s="163">
        <v>7872</v>
      </c>
      <c r="I58" s="163">
        <v>8360</v>
      </c>
      <c r="K58" s="168"/>
    </row>
    <row r="59" spans="1:11" x14ac:dyDescent="0.25">
      <c r="A59" s="164" t="s">
        <v>422</v>
      </c>
      <c r="B59" s="164" t="s">
        <v>515</v>
      </c>
      <c r="C59" s="170">
        <v>38442</v>
      </c>
      <c r="D59" s="171">
        <f t="shared" si="1"/>
        <v>2005</v>
      </c>
      <c r="E59" s="167" t="s">
        <v>523</v>
      </c>
      <c r="F59" s="163">
        <v>800</v>
      </c>
      <c r="G59" s="163">
        <v>17160</v>
      </c>
      <c r="H59" s="163">
        <v>7872</v>
      </c>
      <c r="I59" s="163">
        <v>9288</v>
      </c>
      <c r="K59" s="168"/>
    </row>
    <row r="60" spans="1:11" x14ac:dyDescent="0.25">
      <c r="A60" s="164" t="s">
        <v>422</v>
      </c>
      <c r="B60" s="164" t="s">
        <v>517</v>
      </c>
      <c r="C60" s="170">
        <v>38444</v>
      </c>
      <c r="D60" s="171">
        <f t="shared" si="1"/>
        <v>2005</v>
      </c>
      <c r="E60" s="167" t="s">
        <v>525</v>
      </c>
      <c r="F60" s="163">
        <v>1000</v>
      </c>
      <c r="G60" s="163">
        <v>24130</v>
      </c>
      <c r="H60" s="163">
        <v>10220</v>
      </c>
      <c r="I60" s="163">
        <v>13910</v>
      </c>
      <c r="K60" s="168"/>
    </row>
    <row r="61" spans="1:11" x14ac:dyDescent="0.25">
      <c r="A61" s="164" t="s">
        <v>428</v>
      </c>
      <c r="B61" s="164" t="s">
        <v>516</v>
      </c>
      <c r="C61" s="170">
        <v>38445</v>
      </c>
      <c r="D61" s="171">
        <f t="shared" si="1"/>
        <v>2005</v>
      </c>
      <c r="E61" s="167" t="s">
        <v>529</v>
      </c>
      <c r="F61" s="163">
        <v>900</v>
      </c>
      <c r="G61" s="163">
        <v>15759</v>
      </c>
      <c r="H61" s="163">
        <v>7623</v>
      </c>
      <c r="I61" s="163">
        <v>8136</v>
      </c>
      <c r="K61" s="168"/>
    </row>
    <row r="62" spans="1:11" x14ac:dyDescent="0.25">
      <c r="A62" s="164" t="s">
        <v>428</v>
      </c>
      <c r="B62" s="164" t="s">
        <v>516</v>
      </c>
      <c r="C62" s="170">
        <v>38446</v>
      </c>
      <c r="D62" s="171">
        <f t="shared" si="1"/>
        <v>2005</v>
      </c>
      <c r="E62" s="167" t="s">
        <v>531</v>
      </c>
      <c r="F62" s="163">
        <v>1000</v>
      </c>
      <c r="G62" s="163">
        <v>18660</v>
      </c>
      <c r="H62" s="163">
        <v>8470</v>
      </c>
      <c r="I62" s="163">
        <v>10190</v>
      </c>
      <c r="K62" s="168"/>
    </row>
    <row r="63" spans="1:11" x14ac:dyDescent="0.25">
      <c r="A63" s="164" t="s">
        <v>428</v>
      </c>
      <c r="B63" s="164" t="s">
        <v>517</v>
      </c>
      <c r="C63" s="170">
        <v>38448</v>
      </c>
      <c r="D63" s="171">
        <f t="shared" si="1"/>
        <v>2005</v>
      </c>
      <c r="E63" s="167" t="s">
        <v>532</v>
      </c>
      <c r="F63" s="163">
        <v>700</v>
      </c>
      <c r="G63" s="163">
        <v>15435</v>
      </c>
      <c r="H63" s="163">
        <v>7154</v>
      </c>
      <c r="I63" s="163">
        <v>8281</v>
      </c>
      <c r="K63" s="168"/>
    </row>
    <row r="64" spans="1:11" x14ac:dyDescent="0.25">
      <c r="A64" s="164" t="s">
        <v>527</v>
      </c>
      <c r="B64" s="164" t="s">
        <v>516</v>
      </c>
      <c r="C64" s="170">
        <v>38450</v>
      </c>
      <c r="D64" s="171">
        <f t="shared" si="1"/>
        <v>2005</v>
      </c>
      <c r="E64" s="167" t="s">
        <v>530</v>
      </c>
      <c r="F64" s="163">
        <v>900</v>
      </c>
      <c r="G64" s="163">
        <v>15651</v>
      </c>
      <c r="H64" s="163">
        <v>7623</v>
      </c>
      <c r="I64" s="163">
        <v>8028</v>
      </c>
      <c r="K64" s="168"/>
    </row>
    <row r="65" spans="1:11" x14ac:dyDescent="0.25">
      <c r="A65" s="164" t="s">
        <v>422</v>
      </c>
      <c r="B65" s="164" t="s">
        <v>516</v>
      </c>
      <c r="C65" s="170">
        <v>38451</v>
      </c>
      <c r="D65" s="171">
        <f t="shared" si="1"/>
        <v>2005</v>
      </c>
      <c r="E65" s="167" t="s">
        <v>528</v>
      </c>
      <c r="F65" s="163">
        <v>800</v>
      </c>
      <c r="G65" s="163">
        <v>14408</v>
      </c>
      <c r="H65" s="163">
        <v>6776</v>
      </c>
      <c r="I65" s="163">
        <v>7632</v>
      </c>
      <c r="K65" s="168"/>
    </row>
    <row r="66" spans="1:11" x14ac:dyDescent="0.25">
      <c r="A66" s="164" t="s">
        <v>428</v>
      </c>
      <c r="B66" s="164" t="s">
        <v>516</v>
      </c>
      <c r="C66" s="170">
        <v>38454</v>
      </c>
      <c r="D66" s="171">
        <f t="shared" si="1"/>
        <v>2005</v>
      </c>
      <c r="E66" s="167" t="s">
        <v>533</v>
      </c>
      <c r="F66" s="163">
        <v>300</v>
      </c>
      <c r="G66" s="163">
        <v>5967</v>
      </c>
      <c r="H66" s="163">
        <v>2541</v>
      </c>
      <c r="I66" s="163">
        <v>3426</v>
      </c>
      <c r="K66" s="168"/>
    </row>
    <row r="67" spans="1:11" x14ac:dyDescent="0.25">
      <c r="A67" s="164" t="s">
        <v>527</v>
      </c>
      <c r="B67" s="164" t="s">
        <v>515</v>
      </c>
      <c r="C67" s="170">
        <v>38457</v>
      </c>
      <c r="D67" s="171">
        <f t="shared" si="1"/>
        <v>2005</v>
      </c>
      <c r="E67" s="167" t="s">
        <v>530</v>
      </c>
      <c r="F67" s="163">
        <v>700</v>
      </c>
      <c r="G67" s="163">
        <v>16303</v>
      </c>
      <c r="H67" s="163">
        <v>6888</v>
      </c>
      <c r="I67" s="163">
        <v>9415</v>
      </c>
      <c r="K67" s="168"/>
    </row>
    <row r="68" spans="1:11" x14ac:dyDescent="0.25">
      <c r="A68" s="164" t="s">
        <v>428</v>
      </c>
      <c r="B68" s="164" t="s">
        <v>516</v>
      </c>
      <c r="C68" s="170">
        <v>38458</v>
      </c>
      <c r="D68" s="171">
        <f t="shared" si="1"/>
        <v>2005</v>
      </c>
      <c r="E68" s="167" t="s">
        <v>522</v>
      </c>
      <c r="F68" s="163">
        <v>500</v>
      </c>
      <c r="G68" s="163">
        <v>9380</v>
      </c>
      <c r="H68" s="163">
        <v>4235</v>
      </c>
      <c r="I68" s="163">
        <v>5145</v>
      </c>
      <c r="K68" s="168"/>
    </row>
    <row r="69" spans="1:11" x14ac:dyDescent="0.25">
      <c r="A69" s="164" t="s">
        <v>428</v>
      </c>
      <c r="B69" s="164" t="s">
        <v>516</v>
      </c>
      <c r="C69" s="170">
        <v>38458</v>
      </c>
      <c r="D69" s="171">
        <f t="shared" si="1"/>
        <v>2005</v>
      </c>
      <c r="E69" s="167" t="s">
        <v>531</v>
      </c>
      <c r="F69" s="163">
        <v>100</v>
      </c>
      <c r="G69" s="163">
        <v>2066</v>
      </c>
      <c r="H69" s="163">
        <v>847</v>
      </c>
      <c r="I69" s="163">
        <v>1219</v>
      </c>
      <c r="K69" s="168"/>
    </row>
    <row r="70" spans="1:11" x14ac:dyDescent="0.25">
      <c r="A70" s="164" t="s">
        <v>527</v>
      </c>
      <c r="B70" s="164" t="s">
        <v>516</v>
      </c>
      <c r="C70" s="170">
        <v>38459</v>
      </c>
      <c r="D70" s="171">
        <f t="shared" si="1"/>
        <v>2005</v>
      </c>
      <c r="E70" s="167" t="s">
        <v>528</v>
      </c>
      <c r="F70" s="163">
        <v>500</v>
      </c>
      <c r="G70" s="163">
        <v>10460</v>
      </c>
      <c r="H70" s="163">
        <v>4235</v>
      </c>
      <c r="I70" s="163">
        <v>6225</v>
      </c>
      <c r="K70" s="168"/>
    </row>
    <row r="71" spans="1:11" x14ac:dyDescent="0.25">
      <c r="A71" s="164" t="s">
        <v>422</v>
      </c>
      <c r="B71" s="164" t="s">
        <v>517</v>
      </c>
      <c r="C71" s="170">
        <v>38460</v>
      </c>
      <c r="D71" s="171">
        <f t="shared" si="1"/>
        <v>2005</v>
      </c>
      <c r="E71" s="167" t="s">
        <v>524</v>
      </c>
      <c r="F71" s="163">
        <v>800</v>
      </c>
      <c r="G71" s="163">
        <v>18304</v>
      </c>
      <c r="H71" s="163">
        <v>8176</v>
      </c>
      <c r="I71" s="163">
        <v>10128</v>
      </c>
      <c r="K71" s="168"/>
    </row>
    <row r="72" spans="1:11" x14ac:dyDescent="0.25">
      <c r="A72" s="164" t="s">
        <v>422</v>
      </c>
      <c r="B72" s="164" t="s">
        <v>516</v>
      </c>
      <c r="C72" s="170">
        <v>38460</v>
      </c>
      <c r="D72" s="171">
        <f t="shared" si="1"/>
        <v>2005</v>
      </c>
      <c r="E72" s="167" t="s">
        <v>523</v>
      </c>
      <c r="F72" s="163">
        <v>900</v>
      </c>
      <c r="G72" s="163">
        <v>18981</v>
      </c>
      <c r="H72" s="163">
        <v>7623</v>
      </c>
      <c r="I72" s="163">
        <v>11358</v>
      </c>
      <c r="K72" s="168"/>
    </row>
    <row r="73" spans="1:11" x14ac:dyDescent="0.25">
      <c r="A73" s="164" t="s">
        <v>422</v>
      </c>
      <c r="B73" s="164" t="s">
        <v>515</v>
      </c>
      <c r="C73" s="170">
        <v>38461</v>
      </c>
      <c r="D73" s="171">
        <f t="shared" si="1"/>
        <v>2005</v>
      </c>
      <c r="E73" s="167" t="s">
        <v>528</v>
      </c>
      <c r="F73" s="163">
        <v>100</v>
      </c>
      <c r="G73" s="163">
        <v>2409</v>
      </c>
      <c r="H73" s="163">
        <v>984</v>
      </c>
      <c r="I73" s="163">
        <v>1425</v>
      </c>
      <c r="K73" s="168"/>
    </row>
    <row r="74" spans="1:11" x14ac:dyDescent="0.25">
      <c r="A74" s="164" t="s">
        <v>422</v>
      </c>
      <c r="B74" s="164" t="s">
        <v>517</v>
      </c>
      <c r="C74" s="170">
        <v>38462</v>
      </c>
      <c r="D74" s="171">
        <f t="shared" ref="D74:D137" si="4">YEAR(C74)</f>
        <v>2005</v>
      </c>
      <c r="E74" s="167" t="s">
        <v>539</v>
      </c>
      <c r="F74" s="163">
        <v>600</v>
      </c>
      <c r="G74" s="163">
        <v>12612</v>
      </c>
      <c r="H74" s="163">
        <v>6132</v>
      </c>
      <c r="I74" s="163">
        <v>6480</v>
      </c>
      <c r="K74" s="168"/>
    </row>
    <row r="75" spans="1:11" x14ac:dyDescent="0.25">
      <c r="A75" s="164" t="s">
        <v>428</v>
      </c>
      <c r="B75" s="164" t="s">
        <v>516</v>
      </c>
      <c r="C75" s="170">
        <v>38463</v>
      </c>
      <c r="D75" s="171">
        <f t="shared" si="4"/>
        <v>2005</v>
      </c>
      <c r="E75" s="167" t="s">
        <v>524</v>
      </c>
      <c r="F75" s="163">
        <v>100</v>
      </c>
      <c r="G75" s="163">
        <v>1842</v>
      </c>
      <c r="H75" s="163">
        <v>847</v>
      </c>
      <c r="I75" s="163">
        <v>995</v>
      </c>
      <c r="K75" s="168"/>
    </row>
    <row r="76" spans="1:11" x14ac:dyDescent="0.25">
      <c r="A76" s="164" t="s">
        <v>428</v>
      </c>
      <c r="B76" s="164" t="s">
        <v>515</v>
      </c>
      <c r="C76" s="170">
        <v>38463</v>
      </c>
      <c r="D76" s="171">
        <f t="shared" si="4"/>
        <v>2005</v>
      </c>
      <c r="E76" s="167" t="s">
        <v>532</v>
      </c>
      <c r="F76" s="163">
        <v>600</v>
      </c>
      <c r="G76" s="163">
        <v>12672</v>
      </c>
      <c r="H76" s="163">
        <v>5904</v>
      </c>
      <c r="I76" s="163">
        <v>6768</v>
      </c>
      <c r="K76" s="168"/>
    </row>
    <row r="77" spans="1:11" x14ac:dyDescent="0.25">
      <c r="A77" s="164" t="s">
        <v>527</v>
      </c>
      <c r="B77" s="164" t="s">
        <v>516</v>
      </c>
      <c r="C77" s="170">
        <v>38463</v>
      </c>
      <c r="D77" s="171">
        <f t="shared" si="4"/>
        <v>2005</v>
      </c>
      <c r="E77" s="167" t="s">
        <v>533</v>
      </c>
      <c r="F77" s="163">
        <v>400</v>
      </c>
      <c r="G77" s="163">
        <v>6860</v>
      </c>
      <c r="H77" s="163">
        <v>3388</v>
      </c>
      <c r="I77" s="163">
        <v>3472</v>
      </c>
      <c r="K77" s="168"/>
    </row>
    <row r="78" spans="1:11" x14ac:dyDescent="0.25">
      <c r="A78" s="164" t="s">
        <v>422</v>
      </c>
      <c r="B78" s="164" t="s">
        <v>516</v>
      </c>
      <c r="C78" s="170">
        <v>38464</v>
      </c>
      <c r="D78" s="171">
        <f t="shared" si="4"/>
        <v>2005</v>
      </c>
      <c r="E78" s="167" t="s">
        <v>539</v>
      </c>
      <c r="F78" s="163">
        <v>500</v>
      </c>
      <c r="G78" s="163">
        <v>8940</v>
      </c>
      <c r="H78" s="163">
        <v>4235</v>
      </c>
      <c r="I78" s="163">
        <v>4705</v>
      </c>
      <c r="K78" s="168"/>
    </row>
    <row r="79" spans="1:11" x14ac:dyDescent="0.25">
      <c r="A79" s="164" t="s">
        <v>422</v>
      </c>
      <c r="B79" s="164" t="s">
        <v>516</v>
      </c>
      <c r="C79" s="170">
        <v>38467</v>
      </c>
      <c r="D79" s="171">
        <f t="shared" si="4"/>
        <v>2005</v>
      </c>
      <c r="E79" s="167" t="s">
        <v>530</v>
      </c>
      <c r="F79" s="163">
        <v>500</v>
      </c>
      <c r="G79" s="163">
        <v>10155</v>
      </c>
      <c r="H79" s="163">
        <v>4235</v>
      </c>
      <c r="I79" s="163">
        <v>5920</v>
      </c>
      <c r="K79" s="168"/>
    </row>
    <row r="80" spans="1:11" x14ac:dyDescent="0.25">
      <c r="A80" s="164" t="s">
        <v>428</v>
      </c>
      <c r="B80" s="164" t="s">
        <v>516</v>
      </c>
      <c r="C80" s="170">
        <v>38468</v>
      </c>
      <c r="D80" s="171">
        <f t="shared" si="4"/>
        <v>2005</v>
      </c>
      <c r="E80" s="167" t="s">
        <v>530</v>
      </c>
      <c r="F80" s="163">
        <v>600</v>
      </c>
      <c r="G80" s="163">
        <v>11430</v>
      </c>
      <c r="H80" s="163">
        <v>5082</v>
      </c>
      <c r="I80" s="163">
        <v>6348</v>
      </c>
      <c r="K80" s="168"/>
    </row>
    <row r="81" spans="1:11" x14ac:dyDescent="0.25">
      <c r="A81" s="164" t="s">
        <v>428</v>
      </c>
      <c r="B81" s="164" t="s">
        <v>515</v>
      </c>
      <c r="C81" s="170">
        <v>38468</v>
      </c>
      <c r="D81" s="171">
        <f t="shared" si="4"/>
        <v>2005</v>
      </c>
      <c r="E81" s="167" t="s">
        <v>531</v>
      </c>
      <c r="F81" s="163">
        <v>300</v>
      </c>
      <c r="G81" s="163">
        <v>6714</v>
      </c>
      <c r="H81" s="163">
        <v>2952</v>
      </c>
      <c r="I81" s="163">
        <v>3762</v>
      </c>
      <c r="K81" s="168"/>
    </row>
    <row r="82" spans="1:11" x14ac:dyDescent="0.25">
      <c r="A82" s="164" t="s">
        <v>527</v>
      </c>
      <c r="B82" s="164" t="s">
        <v>517</v>
      </c>
      <c r="C82" s="170">
        <v>38474</v>
      </c>
      <c r="D82" s="171">
        <f t="shared" si="4"/>
        <v>2005</v>
      </c>
      <c r="E82" s="167" t="s">
        <v>530</v>
      </c>
      <c r="F82" s="163">
        <v>700</v>
      </c>
      <c r="G82" s="163">
        <v>17199</v>
      </c>
      <c r="H82" s="163">
        <v>7154</v>
      </c>
      <c r="I82" s="163">
        <v>10045</v>
      </c>
      <c r="K82" s="168"/>
    </row>
    <row r="83" spans="1:11" x14ac:dyDescent="0.25">
      <c r="A83" s="164" t="s">
        <v>422</v>
      </c>
      <c r="B83" s="164" t="s">
        <v>516</v>
      </c>
      <c r="C83" s="170">
        <v>38475</v>
      </c>
      <c r="D83" s="171">
        <f t="shared" si="4"/>
        <v>2005</v>
      </c>
      <c r="E83" s="167" t="s">
        <v>530</v>
      </c>
      <c r="F83" s="163">
        <v>200</v>
      </c>
      <c r="G83" s="163">
        <v>3390</v>
      </c>
      <c r="H83" s="163">
        <v>1694</v>
      </c>
      <c r="I83" s="163">
        <v>1696</v>
      </c>
      <c r="K83" s="168"/>
    </row>
    <row r="84" spans="1:11" x14ac:dyDescent="0.25">
      <c r="A84" s="164" t="s">
        <v>422</v>
      </c>
      <c r="B84" s="164" t="s">
        <v>516</v>
      </c>
      <c r="C84" s="170">
        <v>38479</v>
      </c>
      <c r="D84" s="171">
        <f t="shared" si="4"/>
        <v>2005</v>
      </c>
      <c r="E84" s="167" t="s">
        <v>532</v>
      </c>
      <c r="F84" s="163">
        <v>800</v>
      </c>
      <c r="G84" s="163">
        <v>14592</v>
      </c>
      <c r="H84" s="163">
        <v>6776</v>
      </c>
      <c r="I84" s="163">
        <v>7816</v>
      </c>
      <c r="K84" s="168"/>
    </row>
    <row r="85" spans="1:11" x14ac:dyDescent="0.25">
      <c r="A85" s="164" t="s">
        <v>422</v>
      </c>
      <c r="B85" s="164" t="s">
        <v>516</v>
      </c>
      <c r="C85" s="170">
        <v>38479</v>
      </c>
      <c r="D85" s="171">
        <f t="shared" si="4"/>
        <v>2005</v>
      </c>
      <c r="E85" s="167" t="s">
        <v>532</v>
      </c>
      <c r="F85" s="163">
        <v>700</v>
      </c>
      <c r="G85" s="163">
        <v>12803</v>
      </c>
      <c r="H85" s="163">
        <v>5929</v>
      </c>
      <c r="I85" s="163">
        <v>6874</v>
      </c>
      <c r="K85" s="168"/>
    </row>
    <row r="86" spans="1:11" x14ac:dyDescent="0.25">
      <c r="A86" s="164" t="s">
        <v>422</v>
      </c>
      <c r="B86" s="164" t="s">
        <v>516</v>
      </c>
      <c r="C86" s="170">
        <v>38481</v>
      </c>
      <c r="D86" s="171">
        <f t="shared" si="4"/>
        <v>2005</v>
      </c>
      <c r="E86" s="167" t="s">
        <v>530</v>
      </c>
      <c r="F86" s="163">
        <v>900</v>
      </c>
      <c r="G86" s="163">
        <v>17964</v>
      </c>
      <c r="H86" s="163">
        <v>7623</v>
      </c>
      <c r="I86" s="163">
        <v>10341</v>
      </c>
      <c r="K86" s="168"/>
    </row>
    <row r="87" spans="1:11" x14ac:dyDescent="0.25">
      <c r="A87" s="164" t="s">
        <v>422</v>
      </c>
      <c r="B87" s="164" t="s">
        <v>515</v>
      </c>
      <c r="C87" s="170">
        <v>38486</v>
      </c>
      <c r="D87" s="171">
        <f t="shared" si="4"/>
        <v>2005</v>
      </c>
      <c r="E87" s="167" t="s">
        <v>531</v>
      </c>
      <c r="F87" s="163">
        <v>700</v>
      </c>
      <c r="G87" s="163">
        <v>14560</v>
      </c>
      <c r="H87" s="163">
        <v>6888</v>
      </c>
      <c r="I87" s="163">
        <v>7672</v>
      </c>
      <c r="K87" s="168"/>
    </row>
    <row r="88" spans="1:11" x14ac:dyDescent="0.25">
      <c r="A88" s="164" t="s">
        <v>428</v>
      </c>
      <c r="B88" s="164" t="s">
        <v>517</v>
      </c>
      <c r="C88" s="170">
        <v>38490</v>
      </c>
      <c r="D88" s="171">
        <f t="shared" si="4"/>
        <v>2005</v>
      </c>
      <c r="E88" s="167" t="s">
        <v>524</v>
      </c>
      <c r="F88" s="163">
        <v>100</v>
      </c>
      <c r="G88" s="163">
        <v>2401</v>
      </c>
      <c r="H88" s="163">
        <v>1022</v>
      </c>
      <c r="I88" s="163">
        <v>1379</v>
      </c>
      <c r="K88" s="168"/>
    </row>
    <row r="89" spans="1:11" x14ac:dyDescent="0.25">
      <c r="A89" s="164" t="s">
        <v>428</v>
      </c>
      <c r="B89" s="164" t="s">
        <v>515</v>
      </c>
      <c r="C89" s="170">
        <v>38490</v>
      </c>
      <c r="D89" s="171">
        <f t="shared" si="4"/>
        <v>2005</v>
      </c>
      <c r="E89" s="167" t="s">
        <v>535</v>
      </c>
      <c r="F89" s="163">
        <v>500</v>
      </c>
      <c r="G89" s="163">
        <v>10760</v>
      </c>
      <c r="H89" s="163">
        <v>4920</v>
      </c>
      <c r="I89" s="163">
        <v>5840</v>
      </c>
      <c r="K89" s="168"/>
    </row>
    <row r="90" spans="1:11" x14ac:dyDescent="0.25">
      <c r="A90" s="164" t="s">
        <v>527</v>
      </c>
      <c r="B90" s="164" t="s">
        <v>516</v>
      </c>
      <c r="C90" s="170">
        <v>38494</v>
      </c>
      <c r="D90" s="171">
        <f t="shared" si="4"/>
        <v>2005</v>
      </c>
      <c r="E90" s="167" t="s">
        <v>530</v>
      </c>
      <c r="F90" s="163">
        <v>300</v>
      </c>
      <c r="G90" s="163">
        <v>5826</v>
      </c>
      <c r="H90" s="163">
        <v>2541</v>
      </c>
      <c r="I90" s="163">
        <v>3285</v>
      </c>
      <c r="K90" s="168"/>
    </row>
    <row r="91" spans="1:11" x14ac:dyDescent="0.25">
      <c r="A91" s="164" t="s">
        <v>527</v>
      </c>
      <c r="B91" s="164" t="s">
        <v>515</v>
      </c>
      <c r="C91" s="170">
        <v>38496</v>
      </c>
      <c r="D91" s="171">
        <f t="shared" si="4"/>
        <v>2005</v>
      </c>
      <c r="E91" s="167" t="s">
        <v>522</v>
      </c>
      <c r="F91" s="163">
        <v>400</v>
      </c>
      <c r="G91" s="163">
        <v>9672</v>
      </c>
      <c r="H91" s="163">
        <v>3936</v>
      </c>
      <c r="I91" s="163">
        <v>5736</v>
      </c>
      <c r="K91" s="168"/>
    </row>
    <row r="92" spans="1:11" x14ac:dyDescent="0.25">
      <c r="A92" s="164" t="s">
        <v>527</v>
      </c>
      <c r="B92" s="164" t="s">
        <v>515</v>
      </c>
      <c r="C92" s="170">
        <v>38499</v>
      </c>
      <c r="D92" s="171">
        <f t="shared" si="4"/>
        <v>2005</v>
      </c>
      <c r="E92" s="167" t="s">
        <v>540</v>
      </c>
      <c r="F92" s="163">
        <v>200</v>
      </c>
      <c r="G92" s="163">
        <v>4754</v>
      </c>
      <c r="H92" s="163">
        <v>1968</v>
      </c>
      <c r="I92" s="163">
        <v>2786</v>
      </c>
      <c r="K92" s="168"/>
    </row>
    <row r="93" spans="1:11" x14ac:dyDescent="0.25">
      <c r="A93" s="164" t="s">
        <v>527</v>
      </c>
      <c r="B93" s="164" t="s">
        <v>516</v>
      </c>
      <c r="C93" s="170">
        <v>38500</v>
      </c>
      <c r="D93" s="171">
        <f t="shared" si="4"/>
        <v>2005</v>
      </c>
      <c r="E93" s="167" t="s">
        <v>524</v>
      </c>
      <c r="F93" s="163">
        <v>100</v>
      </c>
      <c r="G93" s="163">
        <v>1740</v>
      </c>
      <c r="H93" s="163">
        <v>847</v>
      </c>
      <c r="I93" s="163">
        <v>893</v>
      </c>
      <c r="K93" s="168"/>
    </row>
    <row r="94" spans="1:11" x14ac:dyDescent="0.25">
      <c r="A94" s="164" t="s">
        <v>527</v>
      </c>
      <c r="B94" s="164" t="s">
        <v>516</v>
      </c>
      <c r="C94" s="170">
        <v>38505</v>
      </c>
      <c r="D94" s="171">
        <f t="shared" si="4"/>
        <v>2005</v>
      </c>
      <c r="E94" s="167" t="s">
        <v>528</v>
      </c>
      <c r="F94" s="163">
        <v>200</v>
      </c>
      <c r="G94" s="163">
        <v>4010</v>
      </c>
      <c r="H94" s="163">
        <v>1694</v>
      </c>
      <c r="I94" s="163">
        <v>2316</v>
      </c>
      <c r="K94" s="168"/>
    </row>
    <row r="95" spans="1:11" x14ac:dyDescent="0.25">
      <c r="A95" s="164" t="s">
        <v>422</v>
      </c>
      <c r="B95" s="164" t="s">
        <v>517</v>
      </c>
      <c r="C95" s="170">
        <v>38506</v>
      </c>
      <c r="D95" s="171">
        <f t="shared" si="4"/>
        <v>2005</v>
      </c>
      <c r="E95" s="167" t="s">
        <v>531</v>
      </c>
      <c r="F95" s="163">
        <v>800</v>
      </c>
      <c r="G95" s="163">
        <v>18560</v>
      </c>
      <c r="H95" s="163">
        <v>8176</v>
      </c>
      <c r="I95" s="163">
        <v>10384</v>
      </c>
      <c r="K95" s="168"/>
    </row>
    <row r="96" spans="1:11" x14ac:dyDescent="0.25">
      <c r="A96" s="164" t="s">
        <v>428</v>
      </c>
      <c r="B96" s="164" t="s">
        <v>515</v>
      </c>
      <c r="C96" s="170">
        <v>38512</v>
      </c>
      <c r="D96" s="171">
        <f t="shared" si="4"/>
        <v>2005</v>
      </c>
      <c r="E96" s="167" t="s">
        <v>528</v>
      </c>
      <c r="F96" s="163">
        <v>900</v>
      </c>
      <c r="G96" s="163">
        <v>19674</v>
      </c>
      <c r="H96" s="163">
        <v>8856</v>
      </c>
      <c r="I96" s="163">
        <v>10818</v>
      </c>
      <c r="K96" s="168"/>
    </row>
    <row r="97" spans="1:11" x14ac:dyDescent="0.25">
      <c r="A97" s="164" t="s">
        <v>422</v>
      </c>
      <c r="B97" s="164" t="s">
        <v>517</v>
      </c>
      <c r="C97" s="170">
        <v>38512</v>
      </c>
      <c r="D97" s="171">
        <f t="shared" si="4"/>
        <v>2005</v>
      </c>
      <c r="E97" s="167" t="s">
        <v>541</v>
      </c>
      <c r="F97" s="163">
        <v>600</v>
      </c>
      <c r="G97" s="163">
        <v>13962</v>
      </c>
      <c r="H97" s="163">
        <v>6132</v>
      </c>
      <c r="I97" s="163">
        <v>7830</v>
      </c>
      <c r="K97" s="168"/>
    </row>
    <row r="98" spans="1:11" x14ac:dyDescent="0.25">
      <c r="A98" s="164" t="s">
        <v>428</v>
      </c>
      <c r="B98" s="164" t="s">
        <v>516</v>
      </c>
      <c r="C98" s="170">
        <v>38516</v>
      </c>
      <c r="D98" s="171">
        <f t="shared" si="4"/>
        <v>2005</v>
      </c>
      <c r="E98" s="167" t="s">
        <v>528</v>
      </c>
      <c r="F98" s="163">
        <v>100</v>
      </c>
      <c r="G98" s="163">
        <v>1913</v>
      </c>
      <c r="H98" s="163">
        <v>847</v>
      </c>
      <c r="I98" s="163">
        <v>1066</v>
      </c>
      <c r="K98" s="168"/>
    </row>
    <row r="99" spans="1:11" x14ac:dyDescent="0.25">
      <c r="A99" s="164" t="s">
        <v>422</v>
      </c>
      <c r="B99" s="164" t="s">
        <v>515</v>
      </c>
      <c r="C99" s="170">
        <v>38517</v>
      </c>
      <c r="D99" s="171">
        <f t="shared" si="4"/>
        <v>2005</v>
      </c>
      <c r="E99" s="167" t="s">
        <v>524</v>
      </c>
      <c r="F99" s="163">
        <v>300</v>
      </c>
      <c r="G99" s="163">
        <v>6522</v>
      </c>
      <c r="H99" s="163">
        <v>2952</v>
      </c>
      <c r="I99" s="163">
        <v>3570</v>
      </c>
      <c r="K99" s="168"/>
    </row>
    <row r="100" spans="1:11" x14ac:dyDescent="0.25">
      <c r="A100" s="164" t="s">
        <v>422</v>
      </c>
      <c r="B100" s="164" t="s">
        <v>517</v>
      </c>
      <c r="C100" s="170">
        <v>38521</v>
      </c>
      <c r="D100" s="171">
        <f t="shared" si="4"/>
        <v>2005</v>
      </c>
      <c r="E100" s="167" t="s">
        <v>542</v>
      </c>
      <c r="F100" s="163">
        <v>1000</v>
      </c>
      <c r="G100" s="163">
        <v>22840</v>
      </c>
      <c r="H100" s="163">
        <v>10220</v>
      </c>
      <c r="I100" s="163">
        <v>12620</v>
      </c>
      <c r="K100" s="168"/>
    </row>
    <row r="101" spans="1:11" x14ac:dyDescent="0.25">
      <c r="A101" s="164" t="s">
        <v>428</v>
      </c>
      <c r="B101" s="164" t="s">
        <v>515</v>
      </c>
      <c r="C101" s="170">
        <v>38526</v>
      </c>
      <c r="D101" s="171">
        <f t="shared" si="4"/>
        <v>2005</v>
      </c>
      <c r="E101" s="167" t="s">
        <v>530</v>
      </c>
      <c r="F101" s="163">
        <v>300</v>
      </c>
      <c r="G101" s="163">
        <v>5961</v>
      </c>
      <c r="H101" s="163">
        <v>2952</v>
      </c>
      <c r="I101" s="163">
        <v>3009</v>
      </c>
      <c r="K101" s="168"/>
    </row>
    <row r="102" spans="1:11" x14ac:dyDescent="0.25">
      <c r="A102" s="164" t="s">
        <v>422</v>
      </c>
      <c r="B102" s="164" t="s">
        <v>517</v>
      </c>
      <c r="C102" s="170">
        <v>38529</v>
      </c>
      <c r="D102" s="171">
        <f t="shared" si="4"/>
        <v>2005</v>
      </c>
      <c r="E102" s="167" t="s">
        <v>532</v>
      </c>
      <c r="F102" s="163">
        <v>300</v>
      </c>
      <c r="G102" s="163">
        <v>7593</v>
      </c>
      <c r="H102" s="163">
        <v>3066</v>
      </c>
      <c r="I102" s="163">
        <v>4527</v>
      </c>
      <c r="K102" s="168"/>
    </row>
    <row r="103" spans="1:11" x14ac:dyDescent="0.25">
      <c r="A103" s="164" t="s">
        <v>527</v>
      </c>
      <c r="B103" s="164" t="s">
        <v>517</v>
      </c>
      <c r="C103" s="170">
        <v>38530</v>
      </c>
      <c r="D103" s="171">
        <f t="shared" si="4"/>
        <v>2005</v>
      </c>
      <c r="E103" s="167" t="s">
        <v>533</v>
      </c>
      <c r="F103" s="163">
        <v>200</v>
      </c>
      <c r="G103" s="163">
        <v>4902</v>
      </c>
      <c r="H103" s="163">
        <v>2044</v>
      </c>
      <c r="I103" s="163">
        <v>2858</v>
      </c>
      <c r="K103" s="168"/>
    </row>
    <row r="104" spans="1:11" x14ac:dyDescent="0.25">
      <c r="A104" s="164" t="s">
        <v>428</v>
      </c>
      <c r="B104" s="164" t="s">
        <v>516</v>
      </c>
      <c r="C104" s="170">
        <v>38539</v>
      </c>
      <c r="D104" s="171">
        <f t="shared" si="4"/>
        <v>2005</v>
      </c>
      <c r="E104" s="167" t="s">
        <v>528</v>
      </c>
      <c r="F104" s="163">
        <v>700</v>
      </c>
      <c r="G104" s="163">
        <v>13804</v>
      </c>
      <c r="H104" s="163">
        <v>5929</v>
      </c>
      <c r="I104" s="163">
        <v>7875</v>
      </c>
      <c r="K104" s="168"/>
    </row>
    <row r="105" spans="1:11" x14ac:dyDescent="0.25">
      <c r="A105" s="164" t="s">
        <v>422</v>
      </c>
      <c r="B105" s="164" t="s">
        <v>516</v>
      </c>
      <c r="C105" s="170">
        <v>38541</v>
      </c>
      <c r="D105" s="171">
        <f t="shared" si="4"/>
        <v>2005</v>
      </c>
      <c r="E105" s="167" t="s">
        <v>533</v>
      </c>
      <c r="F105" s="163">
        <v>1000</v>
      </c>
      <c r="G105" s="163">
        <v>19890</v>
      </c>
      <c r="H105" s="163">
        <v>8470</v>
      </c>
      <c r="I105" s="163">
        <v>11420</v>
      </c>
      <c r="K105" s="168"/>
    </row>
    <row r="106" spans="1:11" x14ac:dyDescent="0.25">
      <c r="A106" s="164" t="s">
        <v>422</v>
      </c>
      <c r="B106" s="164" t="s">
        <v>517</v>
      </c>
      <c r="C106" s="170">
        <v>38542</v>
      </c>
      <c r="D106" s="171">
        <f t="shared" si="4"/>
        <v>2005</v>
      </c>
      <c r="E106" s="167" t="s">
        <v>532</v>
      </c>
      <c r="F106" s="163">
        <v>1000</v>
      </c>
      <c r="G106" s="163">
        <v>25080</v>
      </c>
      <c r="H106" s="163">
        <v>10220</v>
      </c>
      <c r="I106" s="163">
        <v>14860</v>
      </c>
      <c r="K106" s="168"/>
    </row>
    <row r="107" spans="1:11" x14ac:dyDescent="0.25">
      <c r="A107" s="164" t="s">
        <v>428</v>
      </c>
      <c r="B107" s="164" t="s">
        <v>516</v>
      </c>
      <c r="C107" s="170">
        <v>38546</v>
      </c>
      <c r="D107" s="171">
        <f t="shared" si="4"/>
        <v>2005</v>
      </c>
      <c r="E107" s="167" t="s">
        <v>532</v>
      </c>
      <c r="F107" s="163">
        <v>900</v>
      </c>
      <c r="G107" s="163">
        <v>17172</v>
      </c>
      <c r="H107" s="163">
        <v>7623</v>
      </c>
      <c r="I107" s="163">
        <v>9549</v>
      </c>
      <c r="K107" s="168"/>
    </row>
    <row r="108" spans="1:11" x14ac:dyDescent="0.25">
      <c r="A108" s="164" t="s">
        <v>428</v>
      </c>
      <c r="B108" s="164" t="s">
        <v>515</v>
      </c>
      <c r="C108" s="170">
        <v>38548</v>
      </c>
      <c r="D108" s="171">
        <f t="shared" si="4"/>
        <v>2005</v>
      </c>
      <c r="E108" s="167" t="s">
        <v>522</v>
      </c>
      <c r="F108" s="163">
        <v>600</v>
      </c>
      <c r="G108" s="163">
        <v>14466</v>
      </c>
      <c r="H108" s="163">
        <v>5904</v>
      </c>
      <c r="I108" s="163">
        <v>8562</v>
      </c>
      <c r="K108" s="168"/>
    </row>
    <row r="109" spans="1:11" x14ac:dyDescent="0.25">
      <c r="A109" s="164" t="s">
        <v>527</v>
      </c>
      <c r="B109" s="164" t="s">
        <v>517</v>
      </c>
      <c r="C109" s="170">
        <v>38554</v>
      </c>
      <c r="D109" s="171">
        <f t="shared" si="4"/>
        <v>2005</v>
      </c>
      <c r="E109" s="167" t="s">
        <v>531</v>
      </c>
      <c r="F109" s="163">
        <v>1000</v>
      </c>
      <c r="G109" s="163">
        <v>25140</v>
      </c>
      <c r="H109" s="163">
        <v>10220</v>
      </c>
      <c r="I109" s="163">
        <v>14920</v>
      </c>
      <c r="K109" s="168"/>
    </row>
    <row r="110" spans="1:11" x14ac:dyDescent="0.25">
      <c r="A110" s="164" t="s">
        <v>422</v>
      </c>
      <c r="B110" s="164" t="s">
        <v>517</v>
      </c>
      <c r="C110" s="170">
        <v>38562</v>
      </c>
      <c r="D110" s="171">
        <f t="shared" si="4"/>
        <v>2005</v>
      </c>
      <c r="E110" s="167" t="s">
        <v>522</v>
      </c>
      <c r="F110" s="163">
        <v>400</v>
      </c>
      <c r="G110" s="163">
        <v>8744</v>
      </c>
      <c r="H110" s="163">
        <v>4088</v>
      </c>
      <c r="I110" s="163">
        <v>4656</v>
      </c>
      <c r="K110" s="168"/>
    </row>
    <row r="111" spans="1:11" x14ac:dyDescent="0.25">
      <c r="A111" s="164" t="s">
        <v>428</v>
      </c>
      <c r="B111" s="164" t="s">
        <v>517</v>
      </c>
      <c r="C111" s="170">
        <v>38564</v>
      </c>
      <c r="D111" s="171">
        <f t="shared" si="4"/>
        <v>2005</v>
      </c>
      <c r="E111" s="167" t="s">
        <v>522</v>
      </c>
      <c r="F111" s="163">
        <v>900</v>
      </c>
      <c r="G111" s="163">
        <v>21465</v>
      </c>
      <c r="H111" s="163">
        <v>9198</v>
      </c>
      <c r="I111" s="163">
        <v>12267</v>
      </c>
      <c r="K111" s="168"/>
    </row>
    <row r="112" spans="1:11" x14ac:dyDescent="0.25">
      <c r="A112" s="164" t="s">
        <v>527</v>
      </c>
      <c r="B112" s="164" t="s">
        <v>516</v>
      </c>
      <c r="C112" s="170">
        <v>38564</v>
      </c>
      <c r="D112" s="171">
        <f t="shared" si="4"/>
        <v>2005</v>
      </c>
      <c r="E112" s="167" t="s">
        <v>535</v>
      </c>
      <c r="F112" s="163">
        <v>800</v>
      </c>
      <c r="G112" s="163">
        <v>15312</v>
      </c>
      <c r="H112" s="163">
        <v>6776</v>
      </c>
      <c r="I112" s="163">
        <v>8536</v>
      </c>
      <c r="K112" s="168"/>
    </row>
    <row r="113" spans="1:11" x14ac:dyDescent="0.25">
      <c r="A113" s="164" t="s">
        <v>428</v>
      </c>
      <c r="B113" s="164" t="s">
        <v>516</v>
      </c>
      <c r="C113" s="170">
        <v>38567</v>
      </c>
      <c r="D113" s="171">
        <f t="shared" si="4"/>
        <v>2005</v>
      </c>
      <c r="E113" s="167" t="s">
        <v>532</v>
      </c>
      <c r="F113" s="163">
        <v>800</v>
      </c>
      <c r="G113" s="163">
        <v>15640</v>
      </c>
      <c r="H113" s="163">
        <v>6776</v>
      </c>
      <c r="I113" s="163">
        <v>8864</v>
      </c>
      <c r="K113" s="168"/>
    </row>
    <row r="114" spans="1:11" x14ac:dyDescent="0.25">
      <c r="A114" s="164" t="s">
        <v>527</v>
      </c>
      <c r="B114" s="164" t="s">
        <v>516</v>
      </c>
      <c r="C114" s="170">
        <v>38567</v>
      </c>
      <c r="D114" s="171">
        <f t="shared" si="4"/>
        <v>2005</v>
      </c>
      <c r="E114" s="167" t="s">
        <v>531</v>
      </c>
      <c r="F114" s="163">
        <v>500</v>
      </c>
      <c r="G114" s="163">
        <v>8970</v>
      </c>
      <c r="H114" s="163">
        <v>4235</v>
      </c>
      <c r="I114" s="163">
        <v>4735</v>
      </c>
      <c r="K114" s="168"/>
    </row>
    <row r="115" spans="1:11" x14ac:dyDescent="0.25">
      <c r="A115" s="164" t="s">
        <v>527</v>
      </c>
      <c r="B115" s="164" t="s">
        <v>517</v>
      </c>
      <c r="C115" s="170">
        <v>38568</v>
      </c>
      <c r="D115" s="171">
        <f t="shared" si="4"/>
        <v>2005</v>
      </c>
      <c r="E115" s="167" t="s">
        <v>522</v>
      </c>
      <c r="F115" s="163">
        <v>900</v>
      </c>
      <c r="G115" s="163">
        <v>18918</v>
      </c>
      <c r="H115" s="163">
        <v>9198</v>
      </c>
      <c r="I115" s="163">
        <v>9720</v>
      </c>
      <c r="K115" s="168"/>
    </row>
    <row r="116" spans="1:11" x14ac:dyDescent="0.25">
      <c r="A116" s="164" t="s">
        <v>527</v>
      </c>
      <c r="B116" s="164" t="s">
        <v>515</v>
      </c>
      <c r="C116" s="170">
        <v>38573</v>
      </c>
      <c r="D116" s="171">
        <f t="shared" si="4"/>
        <v>2005</v>
      </c>
      <c r="E116" s="167" t="s">
        <v>529</v>
      </c>
      <c r="F116" s="163">
        <v>200</v>
      </c>
      <c r="G116" s="163">
        <v>4484</v>
      </c>
      <c r="H116" s="163">
        <v>1968</v>
      </c>
      <c r="I116" s="163">
        <v>2516</v>
      </c>
      <c r="K116" s="168"/>
    </row>
    <row r="117" spans="1:11" x14ac:dyDescent="0.25">
      <c r="A117" s="164" t="s">
        <v>422</v>
      </c>
      <c r="B117" s="164" t="s">
        <v>516</v>
      </c>
      <c r="C117" s="170">
        <v>38574</v>
      </c>
      <c r="D117" s="171">
        <f t="shared" si="4"/>
        <v>2005</v>
      </c>
      <c r="E117" s="167" t="s">
        <v>532</v>
      </c>
      <c r="F117" s="163">
        <v>100</v>
      </c>
      <c r="G117" s="163">
        <v>1704</v>
      </c>
      <c r="H117" s="163">
        <v>847</v>
      </c>
      <c r="I117" s="163">
        <v>857</v>
      </c>
      <c r="K117" s="168"/>
    </row>
    <row r="118" spans="1:11" x14ac:dyDescent="0.25">
      <c r="A118" s="164" t="s">
        <v>422</v>
      </c>
      <c r="B118" s="164" t="s">
        <v>517</v>
      </c>
      <c r="C118" s="170">
        <v>38574</v>
      </c>
      <c r="D118" s="171">
        <f t="shared" si="4"/>
        <v>2005</v>
      </c>
      <c r="E118" s="167" t="s">
        <v>543</v>
      </c>
      <c r="F118" s="163">
        <v>600</v>
      </c>
      <c r="G118" s="163">
        <v>13806</v>
      </c>
      <c r="H118" s="163">
        <v>6132</v>
      </c>
      <c r="I118" s="163">
        <v>7674</v>
      </c>
      <c r="K118" s="168"/>
    </row>
    <row r="119" spans="1:11" x14ac:dyDescent="0.25">
      <c r="A119" s="164" t="s">
        <v>527</v>
      </c>
      <c r="B119" s="164" t="s">
        <v>515</v>
      </c>
      <c r="C119" s="170">
        <v>38575</v>
      </c>
      <c r="D119" s="171">
        <f t="shared" si="4"/>
        <v>2005</v>
      </c>
      <c r="E119" s="167" t="s">
        <v>523</v>
      </c>
      <c r="F119" s="163">
        <v>700</v>
      </c>
      <c r="G119" s="163">
        <v>14203</v>
      </c>
      <c r="H119" s="163">
        <v>6888</v>
      </c>
      <c r="I119" s="163">
        <v>7315</v>
      </c>
      <c r="K119" s="168"/>
    </row>
    <row r="120" spans="1:11" x14ac:dyDescent="0.25">
      <c r="A120" s="164" t="s">
        <v>428</v>
      </c>
      <c r="B120" s="164" t="s">
        <v>515</v>
      </c>
      <c r="C120" s="170">
        <v>38576</v>
      </c>
      <c r="D120" s="171">
        <f t="shared" si="4"/>
        <v>2005</v>
      </c>
      <c r="E120" s="167" t="s">
        <v>523</v>
      </c>
      <c r="F120" s="163">
        <v>300</v>
      </c>
      <c r="G120" s="163">
        <v>6228</v>
      </c>
      <c r="H120" s="163">
        <v>2952</v>
      </c>
      <c r="I120" s="163">
        <v>3276</v>
      </c>
      <c r="K120" s="168"/>
    </row>
    <row r="121" spans="1:11" x14ac:dyDescent="0.25">
      <c r="A121" s="164" t="s">
        <v>527</v>
      </c>
      <c r="B121" s="164" t="s">
        <v>516</v>
      </c>
      <c r="C121" s="170">
        <v>38577</v>
      </c>
      <c r="D121" s="171">
        <f t="shared" si="4"/>
        <v>2005</v>
      </c>
      <c r="E121" s="167" t="s">
        <v>530</v>
      </c>
      <c r="F121" s="163">
        <v>500</v>
      </c>
      <c r="G121" s="163">
        <v>8785</v>
      </c>
      <c r="H121" s="163">
        <v>4235</v>
      </c>
      <c r="I121" s="163">
        <v>4550</v>
      </c>
      <c r="K121" s="168"/>
    </row>
    <row r="122" spans="1:11" x14ac:dyDescent="0.25">
      <c r="A122" s="164" t="s">
        <v>422</v>
      </c>
      <c r="B122" s="164" t="s">
        <v>515</v>
      </c>
      <c r="C122" s="170">
        <v>38577</v>
      </c>
      <c r="D122" s="171">
        <f t="shared" si="4"/>
        <v>2005</v>
      </c>
      <c r="E122" s="167" t="s">
        <v>530</v>
      </c>
      <c r="F122" s="163">
        <v>500</v>
      </c>
      <c r="G122" s="163">
        <v>10955</v>
      </c>
      <c r="H122" s="163">
        <v>4920</v>
      </c>
      <c r="I122" s="163">
        <v>6035</v>
      </c>
      <c r="K122" s="168"/>
    </row>
    <row r="123" spans="1:11" x14ac:dyDescent="0.25">
      <c r="A123" s="164" t="s">
        <v>527</v>
      </c>
      <c r="B123" s="164" t="s">
        <v>517</v>
      </c>
      <c r="C123" s="170">
        <v>38577</v>
      </c>
      <c r="D123" s="171">
        <f t="shared" si="4"/>
        <v>2005</v>
      </c>
      <c r="E123" s="167" t="s">
        <v>528</v>
      </c>
      <c r="F123" s="163">
        <v>1000</v>
      </c>
      <c r="G123" s="163">
        <v>22680</v>
      </c>
      <c r="H123" s="163">
        <v>10220</v>
      </c>
      <c r="I123" s="163">
        <v>12460</v>
      </c>
      <c r="K123" s="168"/>
    </row>
    <row r="124" spans="1:11" x14ac:dyDescent="0.25">
      <c r="A124" s="164" t="s">
        <v>428</v>
      </c>
      <c r="B124" s="164" t="s">
        <v>517</v>
      </c>
      <c r="C124" s="170">
        <v>38578</v>
      </c>
      <c r="D124" s="171">
        <f t="shared" si="4"/>
        <v>2005</v>
      </c>
      <c r="E124" s="167" t="s">
        <v>524</v>
      </c>
      <c r="F124" s="163">
        <v>600</v>
      </c>
      <c r="G124" s="163">
        <v>15006</v>
      </c>
      <c r="H124" s="163">
        <v>6132</v>
      </c>
      <c r="I124" s="163">
        <v>8874</v>
      </c>
      <c r="K124" s="168"/>
    </row>
    <row r="125" spans="1:11" x14ac:dyDescent="0.25">
      <c r="A125" s="164" t="s">
        <v>428</v>
      </c>
      <c r="B125" s="164" t="s">
        <v>517</v>
      </c>
      <c r="C125" s="170">
        <v>38585</v>
      </c>
      <c r="D125" s="171">
        <f t="shared" si="4"/>
        <v>2005</v>
      </c>
      <c r="E125" s="167" t="s">
        <v>544</v>
      </c>
      <c r="F125" s="163">
        <v>800</v>
      </c>
      <c r="G125" s="163">
        <v>18264</v>
      </c>
      <c r="H125" s="163">
        <v>8176</v>
      </c>
      <c r="I125" s="163">
        <v>10088</v>
      </c>
      <c r="K125" s="168"/>
    </row>
    <row r="126" spans="1:11" x14ac:dyDescent="0.25">
      <c r="A126" s="164" t="s">
        <v>527</v>
      </c>
      <c r="B126" s="164" t="s">
        <v>516</v>
      </c>
      <c r="C126" s="170">
        <v>38585</v>
      </c>
      <c r="D126" s="171">
        <f t="shared" si="4"/>
        <v>2005</v>
      </c>
      <c r="E126" s="167" t="s">
        <v>531</v>
      </c>
      <c r="F126" s="163">
        <v>600</v>
      </c>
      <c r="G126" s="163">
        <v>12360</v>
      </c>
      <c r="H126" s="163">
        <v>5082</v>
      </c>
      <c r="I126" s="163">
        <v>7278</v>
      </c>
      <c r="K126" s="168"/>
    </row>
    <row r="127" spans="1:11" x14ac:dyDescent="0.25">
      <c r="A127" s="164" t="s">
        <v>422</v>
      </c>
      <c r="B127" s="164" t="s">
        <v>516</v>
      </c>
      <c r="C127" s="170">
        <v>38586</v>
      </c>
      <c r="D127" s="171">
        <f t="shared" si="4"/>
        <v>2005</v>
      </c>
      <c r="E127" s="167" t="s">
        <v>545</v>
      </c>
      <c r="F127" s="163">
        <v>300</v>
      </c>
      <c r="G127" s="163">
        <v>5859</v>
      </c>
      <c r="H127" s="163">
        <v>2541</v>
      </c>
      <c r="I127" s="163">
        <v>3318</v>
      </c>
      <c r="K127" s="168"/>
    </row>
    <row r="128" spans="1:11" x14ac:dyDescent="0.25">
      <c r="A128" s="164" t="s">
        <v>527</v>
      </c>
      <c r="B128" s="164" t="s">
        <v>515</v>
      </c>
      <c r="C128" s="170">
        <v>38588</v>
      </c>
      <c r="D128" s="171">
        <f t="shared" si="4"/>
        <v>2005</v>
      </c>
      <c r="E128" s="167" t="s">
        <v>528</v>
      </c>
      <c r="F128" s="163">
        <v>900</v>
      </c>
      <c r="G128" s="163">
        <v>18990</v>
      </c>
      <c r="H128" s="163">
        <v>8856</v>
      </c>
      <c r="I128" s="163">
        <v>10134</v>
      </c>
      <c r="K128" s="168"/>
    </row>
    <row r="129" spans="1:11" x14ac:dyDescent="0.25">
      <c r="A129" s="164" t="s">
        <v>527</v>
      </c>
      <c r="B129" s="164" t="s">
        <v>517</v>
      </c>
      <c r="C129" s="170">
        <v>38590</v>
      </c>
      <c r="D129" s="171">
        <f t="shared" si="4"/>
        <v>2005</v>
      </c>
      <c r="E129" s="167" t="s">
        <v>524</v>
      </c>
      <c r="F129" s="163">
        <v>600</v>
      </c>
      <c r="G129" s="163">
        <v>14448</v>
      </c>
      <c r="H129" s="163">
        <v>6132</v>
      </c>
      <c r="I129" s="163">
        <v>8316</v>
      </c>
      <c r="K129" s="168"/>
    </row>
    <row r="130" spans="1:11" x14ac:dyDescent="0.25">
      <c r="A130" s="164" t="s">
        <v>527</v>
      </c>
      <c r="B130" s="164" t="s">
        <v>516</v>
      </c>
      <c r="C130" s="170">
        <v>38591</v>
      </c>
      <c r="D130" s="171">
        <f t="shared" si="4"/>
        <v>2005</v>
      </c>
      <c r="E130" s="167" t="s">
        <v>528</v>
      </c>
      <c r="F130" s="163">
        <v>1000</v>
      </c>
      <c r="G130" s="163">
        <v>21010</v>
      </c>
      <c r="H130" s="163">
        <v>8470</v>
      </c>
      <c r="I130" s="163">
        <v>12540</v>
      </c>
      <c r="K130" s="168"/>
    </row>
    <row r="131" spans="1:11" x14ac:dyDescent="0.25">
      <c r="A131" s="164" t="s">
        <v>422</v>
      </c>
      <c r="B131" s="164" t="s">
        <v>515</v>
      </c>
      <c r="C131" s="170">
        <v>38594</v>
      </c>
      <c r="D131" s="171">
        <f t="shared" si="4"/>
        <v>2005</v>
      </c>
      <c r="E131" s="167" t="s">
        <v>530</v>
      </c>
      <c r="F131" s="163">
        <v>300</v>
      </c>
      <c r="G131" s="163">
        <v>7032</v>
      </c>
      <c r="H131" s="163">
        <v>2952</v>
      </c>
      <c r="I131" s="163">
        <v>4080</v>
      </c>
      <c r="K131" s="168"/>
    </row>
    <row r="132" spans="1:11" x14ac:dyDescent="0.25">
      <c r="A132" s="164" t="s">
        <v>527</v>
      </c>
      <c r="B132" s="164" t="s">
        <v>517</v>
      </c>
      <c r="C132" s="170">
        <v>38595</v>
      </c>
      <c r="D132" s="171">
        <f t="shared" si="4"/>
        <v>2005</v>
      </c>
      <c r="E132" s="167" t="s">
        <v>531</v>
      </c>
      <c r="F132" s="163">
        <v>500</v>
      </c>
      <c r="G132" s="163">
        <v>11525</v>
      </c>
      <c r="H132" s="163">
        <v>5110</v>
      </c>
      <c r="I132" s="163">
        <v>6415</v>
      </c>
      <c r="K132" s="168"/>
    </row>
    <row r="133" spans="1:11" x14ac:dyDescent="0.25">
      <c r="A133" s="164" t="s">
        <v>428</v>
      </c>
      <c r="B133" s="164" t="s">
        <v>516</v>
      </c>
      <c r="C133" s="170">
        <v>38596</v>
      </c>
      <c r="D133" s="171">
        <f t="shared" si="4"/>
        <v>2005</v>
      </c>
      <c r="E133" s="167" t="s">
        <v>523</v>
      </c>
      <c r="F133" s="163">
        <v>300</v>
      </c>
      <c r="G133" s="163">
        <v>6045</v>
      </c>
      <c r="H133" s="163">
        <v>2541</v>
      </c>
      <c r="I133" s="163">
        <v>3504</v>
      </c>
      <c r="K133" s="168"/>
    </row>
    <row r="134" spans="1:11" x14ac:dyDescent="0.25">
      <c r="A134" s="164" t="s">
        <v>422</v>
      </c>
      <c r="B134" s="164" t="s">
        <v>515</v>
      </c>
      <c r="C134" s="170">
        <v>38597</v>
      </c>
      <c r="D134" s="171">
        <f t="shared" si="4"/>
        <v>2005</v>
      </c>
      <c r="E134" s="167" t="s">
        <v>522</v>
      </c>
      <c r="F134" s="163">
        <v>600</v>
      </c>
      <c r="G134" s="163">
        <v>14472</v>
      </c>
      <c r="H134" s="163">
        <v>5904</v>
      </c>
      <c r="I134" s="163">
        <v>8568</v>
      </c>
      <c r="K134" s="168"/>
    </row>
    <row r="135" spans="1:11" x14ac:dyDescent="0.25">
      <c r="A135" s="164" t="s">
        <v>428</v>
      </c>
      <c r="B135" s="164" t="s">
        <v>516</v>
      </c>
      <c r="C135" s="170">
        <v>38598</v>
      </c>
      <c r="D135" s="171">
        <f t="shared" si="4"/>
        <v>2005</v>
      </c>
      <c r="E135" s="167" t="s">
        <v>532</v>
      </c>
      <c r="F135" s="163">
        <v>200</v>
      </c>
      <c r="G135" s="163">
        <v>3632</v>
      </c>
      <c r="H135" s="163">
        <v>1694</v>
      </c>
      <c r="I135" s="163">
        <v>1938</v>
      </c>
      <c r="K135" s="168"/>
    </row>
    <row r="136" spans="1:11" x14ac:dyDescent="0.25">
      <c r="A136" s="164" t="s">
        <v>428</v>
      </c>
      <c r="B136" s="164" t="s">
        <v>517</v>
      </c>
      <c r="C136" s="170">
        <v>38600</v>
      </c>
      <c r="D136" s="171">
        <f t="shared" si="4"/>
        <v>2005</v>
      </c>
      <c r="E136" s="167" t="s">
        <v>536</v>
      </c>
      <c r="F136" s="163">
        <v>600</v>
      </c>
      <c r="G136" s="163">
        <v>12570</v>
      </c>
      <c r="H136" s="163">
        <v>6132</v>
      </c>
      <c r="I136" s="163">
        <v>6438</v>
      </c>
      <c r="K136" s="168"/>
    </row>
    <row r="137" spans="1:11" x14ac:dyDescent="0.25">
      <c r="A137" s="164" t="s">
        <v>428</v>
      </c>
      <c r="B137" s="164" t="s">
        <v>515</v>
      </c>
      <c r="C137" s="170">
        <v>38602</v>
      </c>
      <c r="D137" s="171">
        <f t="shared" si="4"/>
        <v>2005</v>
      </c>
      <c r="E137" s="167" t="s">
        <v>529</v>
      </c>
      <c r="F137" s="163">
        <v>600</v>
      </c>
      <c r="G137" s="163">
        <v>12798</v>
      </c>
      <c r="H137" s="163">
        <v>5904</v>
      </c>
      <c r="I137" s="163">
        <v>6894</v>
      </c>
      <c r="K137" s="168"/>
    </row>
    <row r="138" spans="1:11" x14ac:dyDescent="0.25">
      <c r="A138" s="164" t="s">
        <v>422</v>
      </c>
      <c r="B138" s="164" t="s">
        <v>516</v>
      </c>
      <c r="C138" s="170">
        <v>38606</v>
      </c>
      <c r="D138" s="171">
        <f t="shared" ref="D138:D201" si="5">YEAR(C138)</f>
        <v>2005</v>
      </c>
      <c r="E138" s="167" t="s">
        <v>529</v>
      </c>
      <c r="F138" s="163">
        <v>1000</v>
      </c>
      <c r="G138" s="163">
        <v>19250</v>
      </c>
      <c r="H138" s="163">
        <v>8470</v>
      </c>
      <c r="I138" s="163">
        <v>10780</v>
      </c>
      <c r="K138" s="168"/>
    </row>
    <row r="139" spans="1:11" x14ac:dyDescent="0.25">
      <c r="A139" s="164" t="s">
        <v>428</v>
      </c>
      <c r="B139" s="164" t="s">
        <v>515</v>
      </c>
      <c r="C139" s="170">
        <v>38607</v>
      </c>
      <c r="D139" s="171">
        <f t="shared" si="5"/>
        <v>2005</v>
      </c>
      <c r="E139" s="167" t="s">
        <v>530</v>
      </c>
      <c r="F139" s="163">
        <v>200</v>
      </c>
      <c r="G139" s="163">
        <v>4740</v>
      </c>
      <c r="H139" s="163">
        <v>1968</v>
      </c>
      <c r="I139" s="163">
        <v>2772</v>
      </c>
      <c r="K139" s="168"/>
    </row>
    <row r="140" spans="1:11" x14ac:dyDescent="0.25">
      <c r="A140" s="164" t="s">
        <v>527</v>
      </c>
      <c r="B140" s="164" t="s">
        <v>516</v>
      </c>
      <c r="C140" s="170">
        <v>38608</v>
      </c>
      <c r="D140" s="171">
        <f t="shared" si="5"/>
        <v>2005</v>
      </c>
      <c r="E140" s="167" t="s">
        <v>530</v>
      </c>
      <c r="F140" s="163">
        <v>800</v>
      </c>
      <c r="G140" s="163">
        <v>15976</v>
      </c>
      <c r="H140" s="163">
        <v>6776</v>
      </c>
      <c r="I140" s="163">
        <v>9200</v>
      </c>
      <c r="K140" s="168"/>
    </row>
    <row r="141" spans="1:11" x14ac:dyDescent="0.25">
      <c r="A141" s="164" t="s">
        <v>422</v>
      </c>
      <c r="B141" s="164" t="s">
        <v>517</v>
      </c>
      <c r="C141" s="170">
        <v>38608</v>
      </c>
      <c r="D141" s="171">
        <f t="shared" si="5"/>
        <v>2005</v>
      </c>
      <c r="E141" s="167" t="s">
        <v>546</v>
      </c>
      <c r="F141" s="163">
        <v>500</v>
      </c>
      <c r="G141" s="163">
        <v>11680</v>
      </c>
      <c r="H141" s="163">
        <v>5110</v>
      </c>
      <c r="I141" s="163">
        <v>6570</v>
      </c>
      <c r="K141" s="168"/>
    </row>
    <row r="142" spans="1:11" x14ac:dyDescent="0.25">
      <c r="A142" s="164" t="s">
        <v>527</v>
      </c>
      <c r="B142" s="164" t="s">
        <v>517</v>
      </c>
      <c r="C142" s="170">
        <v>38610</v>
      </c>
      <c r="D142" s="171">
        <f t="shared" si="5"/>
        <v>2005</v>
      </c>
      <c r="E142" s="167" t="s">
        <v>530</v>
      </c>
      <c r="F142" s="163">
        <v>500</v>
      </c>
      <c r="G142" s="163">
        <v>10550</v>
      </c>
      <c r="H142" s="163">
        <v>5110</v>
      </c>
      <c r="I142" s="163">
        <v>5440</v>
      </c>
      <c r="K142" s="168"/>
    </row>
    <row r="143" spans="1:11" x14ac:dyDescent="0.25">
      <c r="A143" s="164" t="s">
        <v>428</v>
      </c>
      <c r="B143" s="164" t="s">
        <v>515</v>
      </c>
      <c r="C143" s="170">
        <v>38612</v>
      </c>
      <c r="D143" s="171">
        <f t="shared" si="5"/>
        <v>2005</v>
      </c>
      <c r="E143" s="167" t="s">
        <v>532</v>
      </c>
      <c r="F143" s="163">
        <v>400</v>
      </c>
      <c r="G143" s="163">
        <v>9760</v>
      </c>
      <c r="H143" s="163">
        <v>3936</v>
      </c>
      <c r="I143" s="163">
        <v>5824</v>
      </c>
      <c r="K143" s="168"/>
    </row>
    <row r="144" spans="1:11" x14ac:dyDescent="0.25">
      <c r="A144" s="164" t="s">
        <v>428</v>
      </c>
      <c r="B144" s="164" t="s">
        <v>516</v>
      </c>
      <c r="C144" s="170">
        <v>38614</v>
      </c>
      <c r="D144" s="171">
        <f t="shared" si="5"/>
        <v>2005</v>
      </c>
      <c r="E144" s="167" t="s">
        <v>542</v>
      </c>
      <c r="F144" s="163">
        <v>100</v>
      </c>
      <c r="G144" s="163">
        <v>1819</v>
      </c>
      <c r="H144" s="163">
        <v>847</v>
      </c>
      <c r="I144" s="163">
        <v>972</v>
      </c>
      <c r="K144" s="168"/>
    </row>
    <row r="145" spans="1:11" x14ac:dyDescent="0.25">
      <c r="A145" s="164" t="s">
        <v>527</v>
      </c>
      <c r="B145" s="164" t="s">
        <v>516</v>
      </c>
      <c r="C145" s="170">
        <v>38618</v>
      </c>
      <c r="D145" s="171">
        <f t="shared" si="5"/>
        <v>2005</v>
      </c>
      <c r="E145" s="167" t="s">
        <v>524</v>
      </c>
      <c r="F145" s="163">
        <v>900</v>
      </c>
      <c r="G145" s="163">
        <v>15255</v>
      </c>
      <c r="H145" s="163">
        <v>7623</v>
      </c>
      <c r="I145" s="163">
        <v>7632</v>
      </c>
      <c r="K145" s="168"/>
    </row>
    <row r="146" spans="1:11" x14ac:dyDescent="0.25">
      <c r="A146" s="164" t="s">
        <v>428</v>
      </c>
      <c r="B146" s="164" t="s">
        <v>515</v>
      </c>
      <c r="C146" s="170">
        <v>38619</v>
      </c>
      <c r="D146" s="171">
        <f t="shared" si="5"/>
        <v>2005</v>
      </c>
      <c r="E146" s="167" t="s">
        <v>532</v>
      </c>
      <c r="F146" s="163">
        <v>900</v>
      </c>
      <c r="G146" s="163">
        <v>18486</v>
      </c>
      <c r="H146" s="163">
        <v>8856</v>
      </c>
      <c r="I146" s="163">
        <v>9630</v>
      </c>
      <c r="K146" s="168"/>
    </row>
    <row r="147" spans="1:11" x14ac:dyDescent="0.25">
      <c r="A147" s="164" t="s">
        <v>527</v>
      </c>
      <c r="B147" s="164" t="s">
        <v>517</v>
      </c>
      <c r="C147" s="170">
        <v>38619</v>
      </c>
      <c r="D147" s="171">
        <f t="shared" si="5"/>
        <v>2005</v>
      </c>
      <c r="E147" s="167" t="s">
        <v>547</v>
      </c>
      <c r="F147" s="163">
        <v>300</v>
      </c>
      <c r="G147" s="163">
        <v>7167</v>
      </c>
      <c r="H147" s="163">
        <v>3066</v>
      </c>
      <c r="I147" s="163">
        <v>4101</v>
      </c>
      <c r="K147" s="168"/>
    </row>
    <row r="148" spans="1:11" x14ac:dyDescent="0.25">
      <c r="A148" s="164" t="s">
        <v>428</v>
      </c>
      <c r="B148" s="164" t="s">
        <v>515</v>
      </c>
      <c r="C148" s="170">
        <v>38619</v>
      </c>
      <c r="D148" s="171">
        <f t="shared" si="5"/>
        <v>2005</v>
      </c>
      <c r="E148" s="167" t="s">
        <v>523</v>
      </c>
      <c r="F148" s="163">
        <v>500</v>
      </c>
      <c r="G148" s="163">
        <v>10295</v>
      </c>
      <c r="H148" s="163">
        <v>4920</v>
      </c>
      <c r="I148" s="163">
        <v>5375</v>
      </c>
      <c r="K148" s="168"/>
    </row>
    <row r="149" spans="1:11" x14ac:dyDescent="0.25">
      <c r="A149" s="164" t="s">
        <v>428</v>
      </c>
      <c r="B149" s="164" t="s">
        <v>517</v>
      </c>
      <c r="C149" s="170">
        <v>38619</v>
      </c>
      <c r="D149" s="171">
        <f t="shared" si="5"/>
        <v>2005</v>
      </c>
      <c r="E149" s="167" t="s">
        <v>531</v>
      </c>
      <c r="F149" s="163">
        <v>500</v>
      </c>
      <c r="G149" s="163">
        <v>10935</v>
      </c>
      <c r="H149" s="163">
        <v>5110</v>
      </c>
      <c r="I149" s="163">
        <v>5825</v>
      </c>
      <c r="K149" s="168"/>
    </row>
    <row r="150" spans="1:11" x14ac:dyDescent="0.25">
      <c r="A150" s="164" t="s">
        <v>527</v>
      </c>
      <c r="B150" s="164" t="s">
        <v>516</v>
      </c>
      <c r="C150" s="170">
        <v>38623</v>
      </c>
      <c r="D150" s="171">
        <f t="shared" si="5"/>
        <v>2005</v>
      </c>
      <c r="E150" s="167" t="s">
        <v>532</v>
      </c>
      <c r="F150" s="163">
        <v>600</v>
      </c>
      <c r="G150" s="163">
        <v>10290</v>
      </c>
      <c r="H150" s="163">
        <v>5082</v>
      </c>
      <c r="I150" s="163">
        <v>5208</v>
      </c>
      <c r="K150" s="168"/>
    </row>
    <row r="151" spans="1:11" x14ac:dyDescent="0.25">
      <c r="A151" s="164" t="s">
        <v>428</v>
      </c>
      <c r="B151" s="164" t="s">
        <v>515</v>
      </c>
      <c r="C151" s="170">
        <v>38623</v>
      </c>
      <c r="D151" s="171">
        <f t="shared" si="5"/>
        <v>2005</v>
      </c>
      <c r="E151" s="167" t="s">
        <v>532</v>
      </c>
      <c r="F151" s="163">
        <v>200</v>
      </c>
      <c r="G151" s="163">
        <v>4186</v>
      </c>
      <c r="H151" s="163">
        <v>1968</v>
      </c>
      <c r="I151" s="163">
        <v>2218</v>
      </c>
      <c r="K151" s="168"/>
    </row>
    <row r="152" spans="1:11" x14ac:dyDescent="0.25">
      <c r="A152" s="164" t="s">
        <v>527</v>
      </c>
      <c r="B152" s="164" t="s">
        <v>516</v>
      </c>
      <c r="C152" s="170">
        <v>38626</v>
      </c>
      <c r="D152" s="171">
        <f t="shared" si="5"/>
        <v>2005</v>
      </c>
      <c r="E152" s="167" t="s">
        <v>531</v>
      </c>
      <c r="F152" s="163">
        <v>1000</v>
      </c>
      <c r="G152" s="163">
        <v>18290</v>
      </c>
      <c r="H152" s="163">
        <v>8470</v>
      </c>
      <c r="I152" s="163">
        <v>9820</v>
      </c>
      <c r="K152" s="168"/>
    </row>
    <row r="153" spans="1:11" x14ac:dyDescent="0.25">
      <c r="A153" s="164" t="s">
        <v>527</v>
      </c>
      <c r="B153" s="164" t="s">
        <v>516</v>
      </c>
      <c r="C153" s="170">
        <v>38627</v>
      </c>
      <c r="D153" s="171">
        <f t="shared" si="5"/>
        <v>2005</v>
      </c>
      <c r="E153" s="167" t="s">
        <v>524</v>
      </c>
      <c r="F153" s="163">
        <v>500</v>
      </c>
      <c r="G153" s="163">
        <v>9460</v>
      </c>
      <c r="H153" s="163">
        <v>4235</v>
      </c>
      <c r="I153" s="163">
        <v>5225</v>
      </c>
      <c r="K153" s="168"/>
    </row>
    <row r="154" spans="1:11" x14ac:dyDescent="0.25">
      <c r="A154" s="164" t="s">
        <v>428</v>
      </c>
      <c r="B154" s="164" t="s">
        <v>515</v>
      </c>
      <c r="C154" s="170">
        <v>38627</v>
      </c>
      <c r="D154" s="171">
        <f t="shared" si="5"/>
        <v>2005</v>
      </c>
      <c r="E154" s="167" t="s">
        <v>536</v>
      </c>
      <c r="F154" s="163">
        <v>600</v>
      </c>
      <c r="G154" s="163">
        <v>14580</v>
      </c>
      <c r="H154" s="163">
        <v>5904</v>
      </c>
      <c r="I154" s="163">
        <v>8676</v>
      </c>
      <c r="K154" s="168"/>
    </row>
    <row r="155" spans="1:11" x14ac:dyDescent="0.25">
      <c r="A155" s="164" t="s">
        <v>527</v>
      </c>
      <c r="B155" s="164" t="s">
        <v>515</v>
      </c>
      <c r="C155" s="170">
        <v>38629</v>
      </c>
      <c r="D155" s="171">
        <f t="shared" si="5"/>
        <v>2005</v>
      </c>
      <c r="E155" s="167" t="s">
        <v>523</v>
      </c>
      <c r="F155" s="163">
        <v>300</v>
      </c>
      <c r="G155" s="163">
        <v>6159</v>
      </c>
      <c r="H155" s="163">
        <v>2952</v>
      </c>
      <c r="I155" s="163">
        <v>3207</v>
      </c>
      <c r="K155" s="168"/>
    </row>
    <row r="156" spans="1:11" x14ac:dyDescent="0.25">
      <c r="A156" s="164" t="s">
        <v>422</v>
      </c>
      <c r="B156" s="164" t="s">
        <v>517</v>
      </c>
      <c r="C156" s="170">
        <v>38633</v>
      </c>
      <c r="D156" s="171">
        <f t="shared" si="5"/>
        <v>2005</v>
      </c>
      <c r="E156" s="167" t="s">
        <v>531</v>
      </c>
      <c r="F156" s="163">
        <v>1000</v>
      </c>
      <c r="G156" s="163">
        <v>24070</v>
      </c>
      <c r="H156" s="163">
        <v>10220</v>
      </c>
      <c r="I156" s="163">
        <v>13850</v>
      </c>
      <c r="K156" s="168"/>
    </row>
    <row r="157" spans="1:11" x14ac:dyDescent="0.25">
      <c r="A157" s="164" t="s">
        <v>527</v>
      </c>
      <c r="B157" s="164" t="s">
        <v>515</v>
      </c>
      <c r="C157" s="170">
        <v>38637</v>
      </c>
      <c r="D157" s="171">
        <f t="shared" si="5"/>
        <v>2005</v>
      </c>
      <c r="E157" s="167" t="s">
        <v>536</v>
      </c>
      <c r="F157" s="163">
        <v>300</v>
      </c>
      <c r="G157" s="163">
        <v>7245</v>
      </c>
      <c r="H157" s="163">
        <v>2952</v>
      </c>
      <c r="I157" s="163">
        <v>4293</v>
      </c>
      <c r="K157" s="168"/>
    </row>
    <row r="158" spans="1:11" x14ac:dyDescent="0.25">
      <c r="A158" s="164" t="s">
        <v>422</v>
      </c>
      <c r="B158" s="164" t="s">
        <v>515</v>
      </c>
      <c r="C158" s="170">
        <v>38638</v>
      </c>
      <c r="D158" s="171">
        <f t="shared" si="5"/>
        <v>2005</v>
      </c>
      <c r="E158" s="167" t="s">
        <v>533</v>
      </c>
      <c r="F158" s="163">
        <v>300</v>
      </c>
      <c r="G158" s="163">
        <v>6582</v>
      </c>
      <c r="H158" s="163">
        <v>2952</v>
      </c>
      <c r="I158" s="163">
        <v>3630</v>
      </c>
      <c r="K158" s="168"/>
    </row>
    <row r="159" spans="1:11" x14ac:dyDescent="0.25">
      <c r="A159" s="164" t="s">
        <v>527</v>
      </c>
      <c r="B159" s="164" t="s">
        <v>516</v>
      </c>
      <c r="C159" s="170">
        <v>38638</v>
      </c>
      <c r="D159" s="171">
        <f t="shared" si="5"/>
        <v>2005</v>
      </c>
      <c r="E159" s="167" t="s">
        <v>523</v>
      </c>
      <c r="F159" s="163">
        <v>600</v>
      </c>
      <c r="G159" s="163">
        <v>11922</v>
      </c>
      <c r="H159" s="163">
        <v>5082</v>
      </c>
      <c r="I159" s="163">
        <v>6840</v>
      </c>
      <c r="K159" s="168"/>
    </row>
    <row r="160" spans="1:11" x14ac:dyDescent="0.25">
      <c r="A160" s="164" t="s">
        <v>527</v>
      </c>
      <c r="B160" s="164" t="s">
        <v>517</v>
      </c>
      <c r="C160" s="170">
        <v>38639</v>
      </c>
      <c r="D160" s="171">
        <f t="shared" si="5"/>
        <v>2005</v>
      </c>
      <c r="E160" s="167" t="s">
        <v>530</v>
      </c>
      <c r="F160" s="163">
        <v>400</v>
      </c>
      <c r="G160" s="163">
        <v>8804</v>
      </c>
      <c r="H160" s="163">
        <v>4088</v>
      </c>
      <c r="I160" s="163">
        <v>4716</v>
      </c>
      <c r="K160" s="168"/>
    </row>
    <row r="161" spans="1:11" x14ac:dyDescent="0.25">
      <c r="A161" s="164" t="s">
        <v>428</v>
      </c>
      <c r="B161" s="164" t="s">
        <v>516</v>
      </c>
      <c r="C161" s="170">
        <v>38642</v>
      </c>
      <c r="D161" s="171">
        <f t="shared" si="5"/>
        <v>2005</v>
      </c>
      <c r="E161" s="167" t="s">
        <v>524</v>
      </c>
      <c r="F161" s="163">
        <v>600</v>
      </c>
      <c r="G161" s="163">
        <v>12318</v>
      </c>
      <c r="H161" s="163">
        <v>5082</v>
      </c>
      <c r="I161" s="163">
        <v>7236</v>
      </c>
      <c r="K161" s="168"/>
    </row>
    <row r="162" spans="1:11" x14ac:dyDescent="0.25">
      <c r="A162" s="164" t="s">
        <v>527</v>
      </c>
      <c r="B162" s="164" t="s">
        <v>516</v>
      </c>
      <c r="C162" s="170">
        <v>38644</v>
      </c>
      <c r="D162" s="171">
        <f t="shared" si="5"/>
        <v>2005</v>
      </c>
      <c r="E162" s="167" t="s">
        <v>530</v>
      </c>
      <c r="F162" s="163">
        <v>700</v>
      </c>
      <c r="G162" s="163">
        <v>13433</v>
      </c>
      <c r="H162" s="163">
        <v>5929</v>
      </c>
      <c r="I162" s="163">
        <v>7504</v>
      </c>
      <c r="K162" s="168"/>
    </row>
    <row r="163" spans="1:11" x14ac:dyDescent="0.25">
      <c r="A163" s="164" t="s">
        <v>527</v>
      </c>
      <c r="B163" s="164" t="s">
        <v>517</v>
      </c>
      <c r="C163" s="170">
        <v>38646</v>
      </c>
      <c r="D163" s="171">
        <f t="shared" si="5"/>
        <v>2005</v>
      </c>
      <c r="E163" s="167" t="s">
        <v>532</v>
      </c>
      <c r="F163" s="163">
        <v>600</v>
      </c>
      <c r="G163" s="163">
        <v>12480</v>
      </c>
      <c r="H163" s="163">
        <v>6132</v>
      </c>
      <c r="I163" s="163">
        <v>6348</v>
      </c>
      <c r="K163" s="168"/>
    </row>
    <row r="164" spans="1:11" x14ac:dyDescent="0.25">
      <c r="A164" s="164" t="s">
        <v>422</v>
      </c>
      <c r="B164" s="164" t="s">
        <v>515</v>
      </c>
      <c r="C164" s="170">
        <v>38647</v>
      </c>
      <c r="D164" s="171">
        <f t="shared" si="5"/>
        <v>2005</v>
      </c>
      <c r="E164" s="167" t="s">
        <v>531</v>
      </c>
      <c r="F164" s="163">
        <v>800</v>
      </c>
      <c r="G164" s="163">
        <v>17544</v>
      </c>
      <c r="H164" s="163">
        <v>7872</v>
      </c>
      <c r="I164" s="163">
        <v>9672</v>
      </c>
      <c r="K164" s="168"/>
    </row>
    <row r="165" spans="1:11" x14ac:dyDescent="0.25">
      <c r="A165" s="164" t="s">
        <v>428</v>
      </c>
      <c r="B165" s="164" t="s">
        <v>515</v>
      </c>
      <c r="C165" s="170">
        <v>38650</v>
      </c>
      <c r="D165" s="171">
        <f t="shared" si="5"/>
        <v>2005</v>
      </c>
      <c r="E165" s="167" t="s">
        <v>530</v>
      </c>
      <c r="F165" s="163">
        <v>100</v>
      </c>
      <c r="G165" s="163">
        <v>2272</v>
      </c>
      <c r="H165" s="163">
        <v>984</v>
      </c>
      <c r="I165" s="163">
        <v>1288</v>
      </c>
      <c r="K165" s="168"/>
    </row>
    <row r="166" spans="1:11" x14ac:dyDescent="0.25">
      <c r="A166" s="164" t="s">
        <v>422</v>
      </c>
      <c r="B166" s="164" t="s">
        <v>515</v>
      </c>
      <c r="C166" s="170">
        <v>38650</v>
      </c>
      <c r="D166" s="171">
        <f t="shared" si="5"/>
        <v>2005</v>
      </c>
      <c r="E166" s="167" t="s">
        <v>531</v>
      </c>
      <c r="F166" s="163">
        <v>900</v>
      </c>
      <c r="G166" s="163">
        <v>18099</v>
      </c>
      <c r="H166" s="163">
        <v>8856</v>
      </c>
      <c r="I166" s="163">
        <v>9243</v>
      </c>
      <c r="K166" s="168"/>
    </row>
    <row r="167" spans="1:11" x14ac:dyDescent="0.25">
      <c r="A167" s="164" t="s">
        <v>527</v>
      </c>
      <c r="B167" s="164" t="s">
        <v>516</v>
      </c>
      <c r="C167" s="170">
        <v>38655</v>
      </c>
      <c r="D167" s="171">
        <f t="shared" si="5"/>
        <v>2005</v>
      </c>
      <c r="E167" s="167" t="s">
        <v>530</v>
      </c>
      <c r="F167" s="163">
        <v>300</v>
      </c>
      <c r="G167" s="163">
        <v>5847</v>
      </c>
      <c r="H167" s="163">
        <v>2541</v>
      </c>
      <c r="I167" s="163">
        <v>3306</v>
      </c>
      <c r="K167" s="168"/>
    </row>
    <row r="168" spans="1:11" x14ac:dyDescent="0.25">
      <c r="A168" s="164" t="s">
        <v>527</v>
      </c>
      <c r="B168" s="164" t="s">
        <v>515</v>
      </c>
      <c r="C168" s="170">
        <v>38656</v>
      </c>
      <c r="D168" s="171">
        <f t="shared" si="5"/>
        <v>2005</v>
      </c>
      <c r="E168" s="167" t="s">
        <v>536</v>
      </c>
      <c r="F168" s="163">
        <v>700</v>
      </c>
      <c r="G168" s="163">
        <v>17213</v>
      </c>
      <c r="H168" s="163">
        <v>6888</v>
      </c>
      <c r="I168" s="163">
        <v>10325</v>
      </c>
      <c r="K168" s="168"/>
    </row>
    <row r="169" spans="1:11" x14ac:dyDescent="0.25">
      <c r="A169" s="164" t="s">
        <v>428</v>
      </c>
      <c r="B169" s="164" t="s">
        <v>517</v>
      </c>
      <c r="C169" s="170">
        <v>38656</v>
      </c>
      <c r="D169" s="171">
        <f t="shared" si="5"/>
        <v>2005</v>
      </c>
      <c r="E169" s="167" t="s">
        <v>532</v>
      </c>
      <c r="F169" s="163">
        <v>100</v>
      </c>
      <c r="G169" s="163">
        <v>2095</v>
      </c>
      <c r="H169" s="163">
        <v>1022</v>
      </c>
      <c r="I169" s="163">
        <v>1073</v>
      </c>
      <c r="K169" s="168"/>
    </row>
    <row r="170" spans="1:11" x14ac:dyDescent="0.25">
      <c r="A170" s="164" t="s">
        <v>428</v>
      </c>
      <c r="B170" s="164" t="s">
        <v>516</v>
      </c>
      <c r="C170" s="170">
        <v>38658</v>
      </c>
      <c r="D170" s="171">
        <f t="shared" si="5"/>
        <v>2005</v>
      </c>
      <c r="E170" s="167" t="s">
        <v>522</v>
      </c>
      <c r="F170" s="163">
        <v>600</v>
      </c>
      <c r="G170" s="163">
        <v>11598</v>
      </c>
      <c r="H170" s="163">
        <v>5082</v>
      </c>
      <c r="I170" s="163">
        <v>6516</v>
      </c>
      <c r="K170" s="168"/>
    </row>
    <row r="171" spans="1:11" x14ac:dyDescent="0.25">
      <c r="A171" s="164" t="s">
        <v>527</v>
      </c>
      <c r="B171" s="164" t="s">
        <v>515</v>
      </c>
      <c r="C171" s="170">
        <v>38658</v>
      </c>
      <c r="D171" s="171">
        <f t="shared" si="5"/>
        <v>2005</v>
      </c>
      <c r="E171" s="167" t="s">
        <v>533</v>
      </c>
      <c r="F171" s="163">
        <v>200</v>
      </c>
      <c r="G171" s="163">
        <v>4286</v>
      </c>
      <c r="H171" s="163">
        <v>1968</v>
      </c>
      <c r="I171" s="163">
        <v>2318</v>
      </c>
      <c r="K171" s="168"/>
    </row>
    <row r="172" spans="1:11" x14ac:dyDescent="0.25">
      <c r="A172" s="164" t="s">
        <v>527</v>
      </c>
      <c r="B172" s="164" t="s">
        <v>517</v>
      </c>
      <c r="C172" s="170">
        <v>38659</v>
      </c>
      <c r="D172" s="171">
        <f t="shared" si="5"/>
        <v>2005</v>
      </c>
      <c r="E172" s="167" t="s">
        <v>522</v>
      </c>
      <c r="F172" s="163">
        <v>100</v>
      </c>
      <c r="G172" s="163">
        <v>2320</v>
      </c>
      <c r="H172" s="163">
        <v>1022</v>
      </c>
      <c r="I172" s="163">
        <v>1298</v>
      </c>
      <c r="K172" s="168"/>
    </row>
    <row r="173" spans="1:11" x14ac:dyDescent="0.25">
      <c r="A173" s="164" t="s">
        <v>428</v>
      </c>
      <c r="B173" s="164" t="s">
        <v>515</v>
      </c>
      <c r="C173" s="170">
        <v>38660</v>
      </c>
      <c r="D173" s="171">
        <f t="shared" si="5"/>
        <v>2005</v>
      </c>
      <c r="E173" s="167" t="s">
        <v>530</v>
      </c>
      <c r="F173" s="163">
        <v>300</v>
      </c>
      <c r="G173" s="163">
        <v>6588</v>
      </c>
      <c r="H173" s="163">
        <v>2952</v>
      </c>
      <c r="I173" s="163">
        <v>3636</v>
      </c>
      <c r="K173" s="168"/>
    </row>
    <row r="174" spans="1:11" x14ac:dyDescent="0.25">
      <c r="A174" s="164" t="s">
        <v>428</v>
      </c>
      <c r="B174" s="164" t="s">
        <v>516</v>
      </c>
      <c r="C174" s="170">
        <v>38662</v>
      </c>
      <c r="D174" s="171">
        <f t="shared" si="5"/>
        <v>2005</v>
      </c>
      <c r="E174" s="167" t="s">
        <v>523</v>
      </c>
      <c r="F174" s="163">
        <v>700</v>
      </c>
      <c r="G174" s="163">
        <v>13195</v>
      </c>
      <c r="H174" s="163">
        <v>5929</v>
      </c>
      <c r="I174" s="163">
        <v>7266</v>
      </c>
      <c r="K174" s="168"/>
    </row>
    <row r="175" spans="1:11" x14ac:dyDescent="0.25">
      <c r="A175" s="164" t="s">
        <v>527</v>
      </c>
      <c r="B175" s="164" t="s">
        <v>516</v>
      </c>
      <c r="C175" s="170">
        <v>38664</v>
      </c>
      <c r="D175" s="171">
        <f t="shared" si="5"/>
        <v>2005</v>
      </c>
      <c r="E175" s="167" t="s">
        <v>524</v>
      </c>
      <c r="F175" s="163">
        <v>100</v>
      </c>
      <c r="G175" s="163">
        <v>1795</v>
      </c>
      <c r="H175" s="163">
        <v>847</v>
      </c>
      <c r="I175" s="163">
        <v>948</v>
      </c>
      <c r="K175" s="168"/>
    </row>
    <row r="176" spans="1:11" x14ac:dyDescent="0.25">
      <c r="A176" s="164" t="s">
        <v>428</v>
      </c>
      <c r="B176" s="164" t="s">
        <v>516</v>
      </c>
      <c r="C176" s="170">
        <v>38664</v>
      </c>
      <c r="D176" s="171">
        <f t="shared" si="5"/>
        <v>2005</v>
      </c>
      <c r="E176" s="167" t="s">
        <v>524</v>
      </c>
      <c r="F176" s="163">
        <v>300</v>
      </c>
      <c r="G176" s="163">
        <v>5370</v>
      </c>
      <c r="H176" s="163">
        <v>2541</v>
      </c>
      <c r="I176" s="163">
        <v>2829</v>
      </c>
      <c r="K176" s="168"/>
    </row>
    <row r="177" spans="1:11" x14ac:dyDescent="0.25">
      <c r="A177" s="164" t="s">
        <v>527</v>
      </c>
      <c r="B177" s="164" t="s">
        <v>516</v>
      </c>
      <c r="C177" s="170">
        <v>38667</v>
      </c>
      <c r="D177" s="171">
        <f t="shared" si="5"/>
        <v>2005</v>
      </c>
      <c r="E177" s="167" t="s">
        <v>531</v>
      </c>
      <c r="F177" s="163">
        <v>200</v>
      </c>
      <c r="G177" s="163">
        <v>3756</v>
      </c>
      <c r="H177" s="163">
        <v>1694</v>
      </c>
      <c r="I177" s="163">
        <v>2062</v>
      </c>
      <c r="K177" s="168"/>
    </row>
    <row r="178" spans="1:11" x14ac:dyDescent="0.25">
      <c r="A178" s="164" t="s">
        <v>428</v>
      </c>
      <c r="B178" s="164" t="s">
        <v>516</v>
      </c>
      <c r="C178" s="170">
        <v>38668</v>
      </c>
      <c r="D178" s="171">
        <f t="shared" si="5"/>
        <v>2005</v>
      </c>
      <c r="E178" s="167" t="s">
        <v>529</v>
      </c>
      <c r="F178" s="163">
        <v>900</v>
      </c>
      <c r="G178" s="163">
        <v>18072</v>
      </c>
      <c r="H178" s="163">
        <v>7623</v>
      </c>
      <c r="I178" s="163">
        <v>10449</v>
      </c>
      <c r="K178" s="168"/>
    </row>
    <row r="179" spans="1:11" x14ac:dyDescent="0.25">
      <c r="A179" s="164" t="s">
        <v>527</v>
      </c>
      <c r="B179" s="164" t="s">
        <v>517</v>
      </c>
      <c r="C179" s="170">
        <v>38671</v>
      </c>
      <c r="D179" s="171">
        <f t="shared" si="5"/>
        <v>2005</v>
      </c>
      <c r="E179" s="167" t="s">
        <v>531</v>
      </c>
      <c r="F179" s="163">
        <v>1000</v>
      </c>
      <c r="G179" s="163">
        <v>23810</v>
      </c>
      <c r="H179" s="163">
        <v>10220</v>
      </c>
      <c r="I179" s="163">
        <v>13590</v>
      </c>
      <c r="K179" s="168"/>
    </row>
    <row r="180" spans="1:11" x14ac:dyDescent="0.25">
      <c r="A180" s="164" t="s">
        <v>527</v>
      </c>
      <c r="B180" s="164" t="s">
        <v>516</v>
      </c>
      <c r="C180" s="170">
        <v>38674</v>
      </c>
      <c r="D180" s="171">
        <f t="shared" si="5"/>
        <v>2005</v>
      </c>
      <c r="E180" s="167" t="s">
        <v>531</v>
      </c>
      <c r="F180" s="163">
        <v>900</v>
      </c>
      <c r="G180" s="163">
        <v>17883</v>
      </c>
      <c r="H180" s="163">
        <v>7623</v>
      </c>
      <c r="I180" s="163">
        <v>10260</v>
      </c>
      <c r="K180" s="168"/>
    </row>
    <row r="181" spans="1:11" x14ac:dyDescent="0.25">
      <c r="A181" s="164" t="s">
        <v>428</v>
      </c>
      <c r="B181" s="164" t="s">
        <v>516</v>
      </c>
      <c r="C181" s="170">
        <v>38675</v>
      </c>
      <c r="D181" s="171">
        <f t="shared" si="5"/>
        <v>2005</v>
      </c>
      <c r="E181" s="167" t="s">
        <v>528</v>
      </c>
      <c r="F181" s="163">
        <v>100</v>
      </c>
      <c r="G181" s="163">
        <v>1877</v>
      </c>
      <c r="H181" s="163">
        <v>847</v>
      </c>
      <c r="I181" s="163">
        <v>1030</v>
      </c>
      <c r="K181" s="168"/>
    </row>
    <row r="182" spans="1:11" x14ac:dyDescent="0.25">
      <c r="A182" s="164" t="s">
        <v>428</v>
      </c>
      <c r="B182" s="164" t="s">
        <v>516</v>
      </c>
      <c r="C182" s="170">
        <v>38675</v>
      </c>
      <c r="D182" s="171">
        <f t="shared" si="5"/>
        <v>2005</v>
      </c>
      <c r="E182" s="167" t="s">
        <v>528</v>
      </c>
      <c r="F182" s="163">
        <v>100</v>
      </c>
      <c r="G182" s="163">
        <v>1836</v>
      </c>
      <c r="H182" s="163">
        <v>847</v>
      </c>
      <c r="I182" s="163">
        <v>989</v>
      </c>
      <c r="K182" s="168"/>
    </row>
    <row r="183" spans="1:11" x14ac:dyDescent="0.25">
      <c r="A183" s="164" t="s">
        <v>527</v>
      </c>
      <c r="B183" s="164" t="s">
        <v>515</v>
      </c>
      <c r="C183" s="170">
        <v>38677</v>
      </c>
      <c r="D183" s="171">
        <f t="shared" si="5"/>
        <v>2005</v>
      </c>
      <c r="E183" s="167" t="s">
        <v>530</v>
      </c>
      <c r="F183" s="163">
        <v>500</v>
      </c>
      <c r="G183" s="163">
        <v>11250</v>
      </c>
      <c r="H183" s="163">
        <v>4920</v>
      </c>
      <c r="I183" s="163">
        <v>6330</v>
      </c>
      <c r="K183" s="168"/>
    </row>
    <row r="184" spans="1:11" x14ac:dyDescent="0.25">
      <c r="A184" s="164" t="s">
        <v>428</v>
      </c>
      <c r="B184" s="164" t="s">
        <v>517</v>
      </c>
      <c r="C184" s="170">
        <v>38682</v>
      </c>
      <c r="D184" s="171">
        <f t="shared" si="5"/>
        <v>2005</v>
      </c>
      <c r="E184" s="167" t="s">
        <v>522</v>
      </c>
      <c r="F184" s="163">
        <v>600</v>
      </c>
      <c r="G184" s="163">
        <v>12984</v>
      </c>
      <c r="H184" s="163">
        <v>6132</v>
      </c>
      <c r="I184" s="163">
        <v>6852</v>
      </c>
      <c r="K184" s="168"/>
    </row>
    <row r="185" spans="1:11" x14ac:dyDescent="0.25">
      <c r="A185" s="164" t="s">
        <v>428</v>
      </c>
      <c r="B185" s="164" t="s">
        <v>517</v>
      </c>
      <c r="C185" s="170">
        <v>38684</v>
      </c>
      <c r="D185" s="171">
        <f t="shared" si="5"/>
        <v>2005</v>
      </c>
      <c r="E185" s="167" t="s">
        <v>529</v>
      </c>
      <c r="F185" s="163">
        <v>800</v>
      </c>
      <c r="G185" s="163">
        <v>18208</v>
      </c>
      <c r="H185" s="163">
        <v>8176</v>
      </c>
      <c r="I185" s="163">
        <v>10032</v>
      </c>
      <c r="K185" s="168"/>
    </row>
    <row r="186" spans="1:11" x14ac:dyDescent="0.25">
      <c r="A186" s="164" t="s">
        <v>527</v>
      </c>
      <c r="B186" s="164" t="s">
        <v>515</v>
      </c>
      <c r="C186" s="170">
        <v>38687</v>
      </c>
      <c r="D186" s="171">
        <f t="shared" si="5"/>
        <v>2005</v>
      </c>
      <c r="E186" s="167" t="s">
        <v>528</v>
      </c>
      <c r="F186" s="163">
        <v>100</v>
      </c>
      <c r="G186" s="163">
        <v>2221</v>
      </c>
      <c r="H186" s="163">
        <v>984</v>
      </c>
      <c r="I186" s="163">
        <v>1237</v>
      </c>
      <c r="K186" s="168"/>
    </row>
    <row r="187" spans="1:11" x14ac:dyDescent="0.25">
      <c r="A187" s="164" t="s">
        <v>428</v>
      </c>
      <c r="B187" s="164" t="s">
        <v>516</v>
      </c>
      <c r="C187" s="170">
        <v>38688</v>
      </c>
      <c r="D187" s="171">
        <f t="shared" si="5"/>
        <v>2005</v>
      </c>
      <c r="E187" s="167" t="s">
        <v>530</v>
      </c>
      <c r="F187" s="163">
        <v>600</v>
      </c>
      <c r="G187" s="163">
        <v>12330</v>
      </c>
      <c r="H187" s="163">
        <v>5082</v>
      </c>
      <c r="I187" s="163">
        <v>7248</v>
      </c>
      <c r="K187" s="168"/>
    </row>
    <row r="188" spans="1:11" x14ac:dyDescent="0.25">
      <c r="A188" s="164" t="s">
        <v>527</v>
      </c>
      <c r="B188" s="164" t="s">
        <v>517</v>
      </c>
      <c r="C188" s="170">
        <v>38688</v>
      </c>
      <c r="D188" s="171">
        <f t="shared" si="5"/>
        <v>2005</v>
      </c>
      <c r="E188" s="167" t="s">
        <v>522</v>
      </c>
      <c r="F188" s="163">
        <v>900</v>
      </c>
      <c r="G188" s="163">
        <v>21960</v>
      </c>
      <c r="H188" s="163">
        <v>9198</v>
      </c>
      <c r="I188" s="163">
        <v>12762</v>
      </c>
      <c r="K188" s="168"/>
    </row>
    <row r="189" spans="1:11" x14ac:dyDescent="0.25">
      <c r="A189" s="164" t="s">
        <v>428</v>
      </c>
      <c r="B189" s="164" t="s">
        <v>515</v>
      </c>
      <c r="C189" s="170">
        <v>38690</v>
      </c>
      <c r="D189" s="171">
        <f t="shared" si="5"/>
        <v>2005</v>
      </c>
      <c r="E189" s="167" t="s">
        <v>528</v>
      </c>
      <c r="F189" s="163">
        <v>600</v>
      </c>
      <c r="G189" s="163">
        <v>13566</v>
      </c>
      <c r="H189" s="163">
        <v>5904</v>
      </c>
      <c r="I189" s="163">
        <v>7662</v>
      </c>
      <c r="K189" s="168"/>
    </row>
    <row r="190" spans="1:11" x14ac:dyDescent="0.25">
      <c r="A190" s="164" t="s">
        <v>527</v>
      </c>
      <c r="B190" s="164" t="s">
        <v>516</v>
      </c>
      <c r="C190" s="170">
        <v>38690</v>
      </c>
      <c r="D190" s="171">
        <f t="shared" si="5"/>
        <v>2005</v>
      </c>
      <c r="E190" s="167" t="s">
        <v>532</v>
      </c>
      <c r="F190" s="163">
        <v>900</v>
      </c>
      <c r="G190" s="163">
        <v>15363</v>
      </c>
      <c r="H190" s="163">
        <v>7623</v>
      </c>
      <c r="I190" s="163">
        <v>7740</v>
      </c>
      <c r="K190" s="168"/>
    </row>
    <row r="191" spans="1:11" x14ac:dyDescent="0.25">
      <c r="A191" s="164" t="s">
        <v>527</v>
      </c>
      <c r="B191" s="164" t="s">
        <v>517</v>
      </c>
      <c r="C191" s="170">
        <v>38690</v>
      </c>
      <c r="D191" s="171">
        <f t="shared" si="5"/>
        <v>2005</v>
      </c>
      <c r="E191" s="167" t="s">
        <v>531</v>
      </c>
      <c r="F191" s="163">
        <v>500</v>
      </c>
      <c r="G191" s="163">
        <v>12625</v>
      </c>
      <c r="H191" s="163">
        <v>5110</v>
      </c>
      <c r="I191" s="163">
        <v>7515</v>
      </c>
      <c r="K191" s="168"/>
    </row>
    <row r="192" spans="1:11" x14ac:dyDescent="0.25">
      <c r="A192" s="164" t="s">
        <v>527</v>
      </c>
      <c r="B192" s="164" t="s">
        <v>517</v>
      </c>
      <c r="C192" s="170">
        <v>38692</v>
      </c>
      <c r="D192" s="171">
        <f t="shared" si="5"/>
        <v>2005</v>
      </c>
      <c r="E192" s="167" t="s">
        <v>531</v>
      </c>
      <c r="F192" s="163">
        <v>900</v>
      </c>
      <c r="G192" s="163">
        <v>21888</v>
      </c>
      <c r="H192" s="163">
        <v>9198</v>
      </c>
      <c r="I192" s="163">
        <v>12690</v>
      </c>
      <c r="K192" s="168"/>
    </row>
    <row r="193" spans="1:11" x14ac:dyDescent="0.25">
      <c r="A193" s="164" t="s">
        <v>428</v>
      </c>
      <c r="B193" s="164" t="s">
        <v>517</v>
      </c>
      <c r="C193" s="170">
        <v>38692</v>
      </c>
      <c r="D193" s="171">
        <f t="shared" si="5"/>
        <v>2005</v>
      </c>
      <c r="E193" s="167" t="s">
        <v>531</v>
      </c>
      <c r="F193" s="163">
        <v>800</v>
      </c>
      <c r="G193" s="163">
        <v>19152</v>
      </c>
      <c r="H193" s="163">
        <v>8176</v>
      </c>
      <c r="I193" s="163">
        <v>10976</v>
      </c>
      <c r="K193" s="168"/>
    </row>
    <row r="194" spans="1:11" x14ac:dyDescent="0.25">
      <c r="A194" s="164" t="s">
        <v>527</v>
      </c>
      <c r="B194" s="164" t="s">
        <v>516</v>
      </c>
      <c r="C194" s="170">
        <v>38697</v>
      </c>
      <c r="D194" s="171">
        <f t="shared" si="5"/>
        <v>2005</v>
      </c>
      <c r="E194" s="167" t="s">
        <v>532</v>
      </c>
      <c r="F194" s="163">
        <v>1000</v>
      </c>
      <c r="G194" s="163">
        <v>17410</v>
      </c>
      <c r="H194" s="163">
        <v>8470</v>
      </c>
      <c r="I194" s="163">
        <v>8940</v>
      </c>
      <c r="K194" s="168"/>
    </row>
    <row r="195" spans="1:11" x14ac:dyDescent="0.25">
      <c r="A195" s="164" t="s">
        <v>527</v>
      </c>
      <c r="B195" s="164" t="s">
        <v>517</v>
      </c>
      <c r="C195" s="170">
        <v>38698</v>
      </c>
      <c r="D195" s="171">
        <f t="shared" si="5"/>
        <v>2005</v>
      </c>
      <c r="E195" s="167" t="s">
        <v>528</v>
      </c>
      <c r="F195" s="163">
        <v>1000</v>
      </c>
      <c r="G195" s="163">
        <v>23090</v>
      </c>
      <c r="H195" s="163">
        <v>10220</v>
      </c>
      <c r="I195" s="163">
        <v>12870</v>
      </c>
      <c r="K195" s="168"/>
    </row>
    <row r="196" spans="1:11" x14ac:dyDescent="0.25">
      <c r="A196" s="164" t="s">
        <v>422</v>
      </c>
      <c r="B196" s="164" t="s">
        <v>517</v>
      </c>
      <c r="C196" s="170">
        <v>38700</v>
      </c>
      <c r="D196" s="171">
        <f t="shared" si="5"/>
        <v>2005</v>
      </c>
      <c r="E196" s="167" t="s">
        <v>538</v>
      </c>
      <c r="F196" s="163">
        <v>200</v>
      </c>
      <c r="G196" s="163">
        <v>4846</v>
      </c>
      <c r="H196" s="163">
        <v>2044</v>
      </c>
      <c r="I196" s="163">
        <v>2802</v>
      </c>
      <c r="K196" s="168"/>
    </row>
    <row r="197" spans="1:11" x14ac:dyDescent="0.25">
      <c r="A197" s="164" t="s">
        <v>428</v>
      </c>
      <c r="B197" s="164" t="s">
        <v>517</v>
      </c>
      <c r="C197" s="170">
        <v>38705</v>
      </c>
      <c r="D197" s="171">
        <f t="shared" si="5"/>
        <v>2005</v>
      </c>
      <c r="E197" s="167" t="s">
        <v>528</v>
      </c>
      <c r="F197" s="163">
        <v>100</v>
      </c>
      <c r="G197" s="163">
        <v>2487</v>
      </c>
      <c r="H197" s="163">
        <v>1022</v>
      </c>
      <c r="I197" s="163">
        <v>1465</v>
      </c>
      <c r="K197" s="168"/>
    </row>
    <row r="198" spans="1:11" x14ac:dyDescent="0.25">
      <c r="A198" s="164" t="s">
        <v>527</v>
      </c>
      <c r="B198" s="164" t="s">
        <v>516</v>
      </c>
      <c r="C198" s="170">
        <v>38707</v>
      </c>
      <c r="D198" s="171">
        <f t="shared" si="5"/>
        <v>2005</v>
      </c>
      <c r="E198" s="167" t="s">
        <v>529</v>
      </c>
      <c r="F198" s="163">
        <v>800</v>
      </c>
      <c r="G198" s="163">
        <v>14136</v>
      </c>
      <c r="H198" s="163">
        <v>6776</v>
      </c>
      <c r="I198" s="163">
        <v>7360</v>
      </c>
      <c r="K198" s="168"/>
    </row>
    <row r="199" spans="1:11" x14ac:dyDescent="0.25">
      <c r="A199" s="164" t="s">
        <v>422</v>
      </c>
      <c r="B199" s="164" t="s">
        <v>516</v>
      </c>
      <c r="C199" s="170">
        <v>38707</v>
      </c>
      <c r="D199" s="171">
        <f t="shared" si="5"/>
        <v>2005</v>
      </c>
      <c r="E199" s="167" t="s">
        <v>541</v>
      </c>
      <c r="F199" s="163">
        <v>200</v>
      </c>
      <c r="G199" s="163">
        <v>4158</v>
      </c>
      <c r="H199" s="163">
        <v>1694</v>
      </c>
      <c r="I199" s="163">
        <v>2464</v>
      </c>
      <c r="K199" s="168"/>
    </row>
    <row r="200" spans="1:11" x14ac:dyDescent="0.25">
      <c r="A200" s="164" t="s">
        <v>428</v>
      </c>
      <c r="B200" s="164" t="s">
        <v>515</v>
      </c>
      <c r="C200" s="170">
        <v>38708</v>
      </c>
      <c r="D200" s="171">
        <f t="shared" si="5"/>
        <v>2005</v>
      </c>
      <c r="E200" s="167" t="s">
        <v>547</v>
      </c>
      <c r="F200" s="163">
        <v>700</v>
      </c>
      <c r="G200" s="163">
        <v>14497</v>
      </c>
      <c r="H200" s="163">
        <v>6888</v>
      </c>
      <c r="I200" s="163">
        <v>7609</v>
      </c>
      <c r="K200" s="168"/>
    </row>
    <row r="201" spans="1:11" x14ac:dyDescent="0.25">
      <c r="A201" s="164" t="s">
        <v>428</v>
      </c>
      <c r="B201" s="164" t="s">
        <v>515</v>
      </c>
      <c r="C201" s="170">
        <v>38712</v>
      </c>
      <c r="D201" s="171">
        <f t="shared" si="5"/>
        <v>2005</v>
      </c>
      <c r="E201" s="167" t="s">
        <v>528</v>
      </c>
      <c r="F201" s="163">
        <v>100</v>
      </c>
      <c r="G201" s="163">
        <v>2457</v>
      </c>
      <c r="H201" s="163">
        <v>984</v>
      </c>
      <c r="I201" s="163">
        <v>1473</v>
      </c>
      <c r="K201" s="168"/>
    </row>
    <row r="202" spans="1:11" x14ac:dyDescent="0.25">
      <c r="A202" s="164" t="s">
        <v>422</v>
      </c>
      <c r="B202" s="164" t="s">
        <v>516</v>
      </c>
      <c r="C202" s="170">
        <v>38712</v>
      </c>
      <c r="D202" s="171">
        <f t="shared" ref="D202:D265" si="6">YEAR(C202)</f>
        <v>2005</v>
      </c>
      <c r="E202" s="167" t="s">
        <v>528</v>
      </c>
      <c r="F202" s="163">
        <v>300</v>
      </c>
      <c r="G202" s="163">
        <v>5700</v>
      </c>
      <c r="H202" s="163">
        <v>2541</v>
      </c>
      <c r="I202" s="163">
        <v>3159</v>
      </c>
      <c r="K202" s="168"/>
    </row>
    <row r="203" spans="1:11" x14ac:dyDescent="0.25">
      <c r="A203" s="164" t="s">
        <v>422</v>
      </c>
      <c r="B203" s="164" t="s">
        <v>516</v>
      </c>
      <c r="C203" s="170">
        <v>38712</v>
      </c>
      <c r="D203" s="171">
        <f t="shared" si="6"/>
        <v>2005</v>
      </c>
      <c r="E203" s="167" t="s">
        <v>531</v>
      </c>
      <c r="F203" s="163">
        <v>400</v>
      </c>
      <c r="G203" s="163">
        <v>7376</v>
      </c>
      <c r="H203" s="163">
        <v>3388</v>
      </c>
      <c r="I203" s="163">
        <v>3988</v>
      </c>
      <c r="K203" s="168"/>
    </row>
    <row r="204" spans="1:11" x14ac:dyDescent="0.25">
      <c r="A204" s="164" t="s">
        <v>422</v>
      </c>
      <c r="B204" s="164" t="s">
        <v>515</v>
      </c>
      <c r="C204" s="170">
        <v>38714</v>
      </c>
      <c r="D204" s="171">
        <f t="shared" si="6"/>
        <v>2005</v>
      </c>
      <c r="E204" s="167" t="s">
        <v>533</v>
      </c>
      <c r="F204" s="163">
        <v>600</v>
      </c>
      <c r="G204" s="163">
        <v>12030</v>
      </c>
      <c r="H204" s="163">
        <v>5904</v>
      </c>
      <c r="I204" s="163">
        <v>6126</v>
      </c>
      <c r="K204" s="168"/>
    </row>
    <row r="205" spans="1:11" x14ac:dyDescent="0.25">
      <c r="A205" s="164" t="s">
        <v>428</v>
      </c>
      <c r="B205" s="164" t="s">
        <v>515</v>
      </c>
      <c r="C205" s="170">
        <v>38715</v>
      </c>
      <c r="D205" s="171">
        <f t="shared" si="6"/>
        <v>2005</v>
      </c>
      <c r="E205" s="167" t="s">
        <v>545</v>
      </c>
      <c r="F205" s="163">
        <v>100</v>
      </c>
      <c r="G205" s="163">
        <v>2358</v>
      </c>
      <c r="H205" s="163">
        <v>984</v>
      </c>
      <c r="I205" s="163">
        <v>1374</v>
      </c>
      <c r="K205" s="168"/>
    </row>
    <row r="206" spans="1:11" x14ac:dyDescent="0.25">
      <c r="A206" s="164" t="s">
        <v>428</v>
      </c>
      <c r="B206" s="164" t="s">
        <v>517</v>
      </c>
      <c r="C206" s="170">
        <v>38716</v>
      </c>
      <c r="D206" s="171">
        <f t="shared" si="6"/>
        <v>2005</v>
      </c>
      <c r="E206" s="167" t="s">
        <v>533</v>
      </c>
      <c r="F206" s="163">
        <v>700</v>
      </c>
      <c r="G206" s="163">
        <v>14469</v>
      </c>
      <c r="H206" s="163">
        <v>7154</v>
      </c>
      <c r="I206" s="163">
        <v>7315</v>
      </c>
      <c r="K206" s="168"/>
    </row>
    <row r="207" spans="1:11" x14ac:dyDescent="0.25">
      <c r="A207" s="164" t="s">
        <v>428</v>
      </c>
      <c r="B207" s="164" t="s">
        <v>516</v>
      </c>
      <c r="C207" s="170">
        <v>38721</v>
      </c>
      <c r="D207" s="171">
        <f t="shared" si="6"/>
        <v>2006</v>
      </c>
      <c r="E207" s="167" t="s">
        <v>530</v>
      </c>
      <c r="F207" s="163">
        <v>300</v>
      </c>
      <c r="G207" s="163">
        <v>5439</v>
      </c>
      <c r="H207" s="163">
        <v>2541</v>
      </c>
      <c r="I207" s="163">
        <v>2898</v>
      </c>
      <c r="K207" s="168"/>
    </row>
    <row r="208" spans="1:11" x14ac:dyDescent="0.25">
      <c r="A208" s="164" t="s">
        <v>428</v>
      </c>
      <c r="B208" s="164" t="s">
        <v>517</v>
      </c>
      <c r="C208" s="170">
        <v>38721</v>
      </c>
      <c r="D208" s="171">
        <f t="shared" si="6"/>
        <v>2006</v>
      </c>
      <c r="E208" s="167" t="s">
        <v>533</v>
      </c>
      <c r="F208" s="163">
        <v>400</v>
      </c>
      <c r="G208" s="163">
        <v>8560</v>
      </c>
      <c r="H208" s="163">
        <v>4088</v>
      </c>
      <c r="I208" s="163">
        <v>4472</v>
      </c>
      <c r="K208" s="168"/>
    </row>
    <row r="209" spans="1:11" x14ac:dyDescent="0.25">
      <c r="A209" s="164" t="s">
        <v>527</v>
      </c>
      <c r="B209" s="164" t="s">
        <v>516</v>
      </c>
      <c r="C209" s="170">
        <v>38725</v>
      </c>
      <c r="D209" s="171">
        <f t="shared" si="6"/>
        <v>2006</v>
      </c>
      <c r="E209" s="167" t="s">
        <v>529</v>
      </c>
      <c r="F209" s="163">
        <v>600</v>
      </c>
      <c r="G209" s="163">
        <v>10602</v>
      </c>
      <c r="H209" s="163">
        <v>5082</v>
      </c>
      <c r="I209" s="163">
        <v>5520</v>
      </c>
      <c r="K209" s="168"/>
    </row>
    <row r="210" spans="1:11" x14ac:dyDescent="0.25">
      <c r="A210" s="164" t="s">
        <v>527</v>
      </c>
      <c r="B210" s="164" t="s">
        <v>517</v>
      </c>
      <c r="C210" s="170">
        <v>38725</v>
      </c>
      <c r="D210" s="171">
        <f t="shared" si="6"/>
        <v>2006</v>
      </c>
      <c r="E210" s="167" t="s">
        <v>529</v>
      </c>
      <c r="F210" s="163">
        <v>300</v>
      </c>
      <c r="G210" s="163">
        <v>6789</v>
      </c>
      <c r="H210" s="163">
        <v>3066</v>
      </c>
      <c r="I210" s="163">
        <v>3723</v>
      </c>
      <c r="K210" s="168"/>
    </row>
    <row r="211" spans="1:11" x14ac:dyDescent="0.25">
      <c r="A211" s="164" t="s">
        <v>422</v>
      </c>
      <c r="B211" s="164" t="s">
        <v>517</v>
      </c>
      <c r="C211" s="170">
        <v>38729</v>
      </c>
      <c r="D211" s="171">
        <f t="shared" si="6"/>
        <v>2006</v>
      </c>
      <c r="E211" s="167" t="s">
        <v>540</v>
      </c>
      <c r="F211" s="163">
        <v>800</v>
      </c>
      <c r="G211" s="163">
        <v>19544</v>
      </c>
      <c r="H211" s="163">
        <v>8176</v>
      </c>
      <c r="I211" s="163">
        <v>11368</v>
      </c>
      <c r="K211" s="168"/>
    </row>
    <row r="212" spans="1:11" x14ac:dyDescent="0.25">
      <c r="A212" s="164" t="s">
        <v>422</v>
      </c>
      <c r="B212" s="164" t="s">
        <v>516</v>
      </c>
      <c r="C212" s="170">
        <v>38737</v>
      </c>
      <c r="D212" s="171">
        <f t="shared" si="6"/>
        <v>2006</v>
      </c>
      <c r="E212" s="167" t="s">
        <v>528</v>
      </c>
      <c r="F212" s="163">
        <v>200</v>
      </c>
      <c r="G212" s="163">
        <v>3856</v>
      </c>
      <c r="H212" s="163">
        <v>1694</v>
      </c>
      <c r="I212" s="163">
        <v>2162</v>
      </c>
      <c r="K212" s="168"/>
    </row>
    <row r="213" spans="1:11" x14ac:dyDescent="0.25">
      <c r="A213" s="164" t="s">
        <v>428</v>
      </c>
      <c r="B213" s="164" t="s">
        <v>517</v>
      </c>
      <c r="C213" s="170">
        <v>38738</v>
      </c>
      <c r="D213" s="171">
        <f t="shared" si="6"/>
        <v>2006</v>
      </c>
      <c r="E213" s="167" t="s">
        <v>522</v>
      </c>
      <c r="F213" s="163">
        <v>400</v>
      </c>
      <c r="G213" s="163">
        <v>8620</v>
      </c>
      <c r="H213" s="163">
        <v>4088</v>
      </c>
      <c r="I213" s="163">
        <v>4532</v>
      </c>
      <c r="K213" s="168"/>
    </row>
    <row r="214" spans="1:11" x14ac:dyDescent="0.25">
      <c r="A214" s="164" t="s">
        <v>422</v>
      </c>
      <c r="B214" s="164" t="s">
        <v>515</v>
      </c>
      <c r="C214" s="170">
        <v>38739</v>
      </c>
      <c r="D214" s="171">
        <f t="shared" si="6"/>
        <v>2006</v>
      </c>
      <c r="E214" s="167" t="s">
        <v>523</v>
      </c>
      <c r="F214" s="163">
        <v>600</v>
      </c>
      <c r="G214" s="163">
        <v>13866</v>
      </c>
      <c r="H214" s="163">
        <v>5904</v>
      </c>
      <c r="I214" s="163">
        <v>7962</v>
      </c>
      <c r="K214" s="168"/>
    </row>
    <row r="215" spans="1:11" x14ac:dyDescent="0.25">
      <c r="A215" s="164" t="s">
        <v>422</v>
      </c>
      <c r="B215" s="164" t="s">
        <v>515</v>
      </c>
      <c r="C215" s="170">
        <v>38739</v>
      </c>
      <c r="D215" s="171">
        <f t="shared" si="6"/>
        <v>2006</v>
      </c>
      <c r="E215" s="167" t="s">
        <v>523</v>
      </c>
      <c r="F215" s="163">
        <v>200</v>
      </c>
      <c r="G215" s="163">
        <v>4378</v>
      </c>
      <c r="H215" s="163">
        <v>1968</v>
      </c>
      <c r="I215" s="163">
        <v>2410</v>
      </c>
      <c r="K215" s="168"/>
    </row>
    <row r="216" spans="1:11" x14ac:dyDescent="0.25">
      <c r="A216" s="164" t="s">
        <v>428</v>
      </c>
      <c r="B216" s="164" t="s">
        <v>517</v>
      </c>
      <c r="C216" s="170">
        <v>38742</v>
      </c>
      <c r="D216" s="171">
        <f t="shared" si="6"/>
        <v>2006</v>
      </c>
      <c r="E216" s="167" t="s">
        <v>529</v>
      </c>
      <c r="F216" s="163">
        <v>800</v>
      </c>
      <c r="G216" s="163">
        <v>20008</v>
      </c>
      <c r="H216" s="163">
        <v>8176</v>
      </c>
      <c r="I216" s="163">
        <v>11832</v>
      </c>
      <c r="K216" s="168"/>
    </row>
    <row r="217" spans="1:11" x14ac:dyDescent="0.25">
      <c r="A217" s="164" t="s">
        <v>428</v>
      </c>
      <c r="B217" s="164" t="s">
        <v>515</v>
      </c>
      <c r="C217" s="170">
        <v>38743</v>
      </c>
      <c r="D217" s="171">
        <f t="shared" si="6"/>
        <v>2006</v>
      </c>
      <c r="E217" s="167" t="s">
        <v>528</v>
      </c>
      <c r="F217" s="163">
        <v>200</v>
      </c>
      <c r="G217" s="163">
        <v>4526</v>
      </c>
      <c r="H217" s="163">
        <v>1968</v>
      </c>
      <c r="I217" s="163">
        <v>2558</v>
      </c>
      <c r="K217" s="168"/>
    </row>
    <row r="218" spans="1:11" x14ac:dyDescent="0.25">
      <c r="A218" s="164" t="s">
        <v>527</v>
      </c>
      <c r="B218" s="164" t="s">
        <v>517</v>
      </c>
      <c r="C218" s="170">
        <v>38745</v>
      </c>
      <c r="D218" s="171">
        <f t="shared" si="6"/>
        <v>2006</v>
      </c>
      <c r="E218" s="167" t="s">
        <v>530</v>
      </c>
      <c r="F218" s="163">
        <v>900</v>
      </c>
      <c r="G218" s="163">
        <v>21762</v>
      </c>
      <c r="H218" s="163">
        <v>9198</v>
      </c>
      <c r="I218" s="163">
        <v>12564</v>
      </c>
      <c r="K218" s="168"/>
    </row>
    <row r="219" spans="1:11" x14ac:dyDescent="0.25">
      <c r="A219" s="164" t="s">
        <v>428</v>
      </c>
      <c r="B219" s="164" t="s">
        <v>515</v>
      </c>
      <c r="C219" s="170">
        <v>38746</v>
      </c>
      <c r="D219" s="171">
        <f t="shared" si="6"/>
        <v>2006</v>
      </c>
      <c r="E219" s="167" t="s">
        <v>531</v>
      </c>
      <c r="F219" s="163">
        <v>800</v>
      </c>
      <c r="G219" s="163">
        <v>19280</v>
      </c>
      <c r="H219" s="163">
        <v>7872</v>
      </c>
      <c r="I219" s="163">
        <v>11408</v>
      </c>
      <c r="K219" s="168"/>
    </row>
    <row r="220" spans="1:11" x14ac:dyDescent="0.25">
      <c r="A220" s="164" t="s">
        <v>527</v>
      </c>
      <c r="B220" s="164" t="s">
        <v>515</v>
      </c>
      <c r="C220" s="170">
        <v>38748</v>
      </c>
      <c r="D220" s="171">
        <f t="shared" si="6"/>
        <v>2006</v>
      </c>
      <c r="E220" s="167" t="s">
        <v>533</v>
      </c>
      <c r="F220" s="163">
        <v>500</v>
      </c>
      <c r="G220" s="163">
        <v>11545</v>
      </c>
      <c r="H220" s="163">
        <v>4920</v>
      </c>
      <c r="I220" s="163">
        <v>6625</v>
      </c>
      <c r="K220" s="168"/>
    </row>
    <row r="221" spans="1:11" x14ac:dyDescent="0.25">
      <c r="A221" s="164" t="s">
        <v>422</v>
      </c>
      <c r="B221" s="164" t="s">
        <v>517</v>
      </c>
      <c r="C221" s="170">
        <v>38750</v>
      </c>
      <c r="D221" s="171">
        <f t="shared" si="6"/>
        <v>2006</v>
      </c>
      <c r="E221" s="167" t="s">
        <v>536</v>
      </c>
      <c r="F221" s="163">
        <v>400</v>
      </c>
      <c r="G221" s="163">
        <v>9240</v>
      </c>
      <c r="H221" s="163">
        <v>4088</v>
      </c>
      <c r="I221" s="163">
        <v>5152</v>
      </c>
      <c r="K221" s="168"/>
    </row>
    <row r="222" spans="1:11" x14ac:dyDescent="0.25">
      <c r="A222" s="164" t="s">
        <v>527</v>
      </c>
      <c r="B222" s="164" t="s">
        <v>517</v>
      </c>
      <c r="C222" s="170">
        <v>38751</v>
      </c>
      <c r="D222" s="171">
        <f t="shared" si="6"/>
        <v>2006</v>
      </c>
      <c r="E222" s="167" t="s">
        <v>530</v>
      </c>
      <c r="F222" s="163">
        <v>100</v>
      </c>
      <c r="G222" s="163">
        <v>2149</v>
      </c>
      <c r="H222" s="163">
        <v>1022</v>
      </c>
      <c r="I222" s="163">
        <v>1127</v>
      </c>
      <c r="K222" s="168"/>
    </row>
    <row r="223" spans="1:11" x14ac:dyDescent="0.25">
      <c r="A223" s="164" t="s">
        <v>428</v>
      </c>
      <c r="B223" s="164" t="s">
        <v>515</v>
      </c>
      <c r="C223" s="170">
        <v>38751</v>
      </c>
      <c r="D223" s="171">
        <f t="shared" si="6"/>
        <v>2006</v>
      </c>
      <c r="E223" s="167" t="s">
        <v>530</v>
      </c>
      <c r="F223" s="163">
        <v>500</v>
      </c>
      <c r="G223" s="163">
        <v>12095</v>
      </c>
      <c r="H223" s="163">
        <v>4920</v>
      </c>
      <c r="I223" s="163">
        <v>7175</v>
      </c>
      <c r="K223" s="168"/>
    </row>
    <row r="224" spans="1:11" x14ac:dyDescent="0.25">
      <c r="A224" s="164" t="s">
        <v>527</v>
      </c>
      <c r="B224" s="164" t="s">
        <v>516</v>
      </c>
      <c r="C224" s="170">
        <v>38751</v>
      </c>
      <c r="D224" s="171">
        <f t="shared" si="6"/>
        <v>2006</v>
      </c>
      <c r="E224" s="167" t="s">
        <v>528</v>
      </c>
      <c r="F224" s="163">
        <v>900</v>
      </c>
      <c r="G224" s="163">
        <v>16209</v>
      </c>
      <c r="H224" s="163">
        <v>7623</v>
      </c>
      <c r="I224" s="163">
        <v>8586</v>
      </c>
      <c r="K224" s="168"/>
    </row>
    <row r="225" spans="1:11" x14ac:dyDescent="0.25">
      <c r="A225" s="164" t="s">
        <v>422</v>
      </c>
      <c r="B225" s="164" t="s">
        <v>517</v>
      </c>
      <c r="C225" s="170">
        <v>38751</v>
      </c>
      <c r="D225" s="171">
        <f t="shared" si="6"/>
        <v>2006</v>
      </c>
      <c r="E225" s="167" t="s">
        <v>545</v>
      </c>
      <c r="F225" s="163">
        <v>800</v>
      </c>
      <c r="G225" s="163">
        <v>17856</v>
      </c>
      <c r="H225" s="163">
        <v>8176</v>
      </c>
      <c r="I225" s="163">
        <v>9680</v>
      </c>
      <c r="K225" s="168"/>
    </row>
    <row r="226" spans="1:11" x14ac:dyDescent="0.25">
      <c r="A226" s="164" t="s">
        <v>527</v>
      </c>
      <c r="B226" s="164" t="s">
        <v>517</v>
      </c>
      <c r="C226" s="170">
        <v>38753</v>
      </c>
      <c r="D226" s="171">
        <f t="shared" si="6"/>
        <v>2006</v>
      </c>
      <c r="E226" s="167" t="s">
        <v>532</v>
      </c>
      <c r="F226" s="163">
        <v>900</v>
      </c>
      <c r="G226" s="163">
        <v>19584</v>
      </c>
      <c r="H226" s="163">
        <v>9198</v>
      </c>
      <c r="I226" s="163">
        <v>10386</v>
      </c>
      <c r="K226" s="168"/>
    </row>
    <row r="227" spans="1:11" x14ac:dyDescent="0.25">
      <c r="A227" s="164" t="s">
        <v>422</v>
      </c>
      <c r="B227" s="164" t="s">
        <v>515</v>
      </c>
      <c r="C227" s="170">
        <v>38757</v>
      </c>
      <c r="D227" s="171">
        <f t="shared" si="6"/>
        <v>2006</v>
      </c>
      <c r="E227" s="167" t="s">
        <v>532</v>
      </c>
      <c r="F227" s="163">
        <v>600</v>
      </c>
      <c r="G227" s="163">
        <v>13728</v>
      </c>
      <c r="H227" s="163">
        <v>5904</v>
      </c>
      <c r="I227" s="163">
        <v>7824</v>
      </c>
      <c r="K227" s="168"/>
    </row>
    <row r="228" spans="1:11" x14ac:dyDescent="0.25">
      <c r="A228" s="164" t="s">
        <v>428</v>
      </c>
      <c r="B228" s="164" t="s">
        <v>516</v>
      </c>
      <c r="C228" s="170">
        <v>38759</v>
      </c>
      <c r="D228" s="171">
        <f t="shared" si="6"/>
        <v>2006</v>
      </c>
      <c r="E228" s="167" t="s">
        <v>533</v>
      </c>
      <c r="F228" s="163">
        <v>100</v>
      </c>
      <c r="G228" s="163">
        <v>2028</v>
      </c>
      <c r="H228" s="163">
        <v>847</v>
      </c>
      <c r="I228" s="163">
        <v>1181</v>
      </c>
      <c r="K228" s="168"/>
    </row>
    <row r="229" spans="1:11" x14ac:dyDescent="0.25">
      <c r="A229" s="164" t="s">
        <v>527</v>
      </c>
      <c r="B229" s="164" t="s">
        <v>515</v>
      </c>
      <c r="C229" s="170">
        <v>38760</v>
      </c>
      <c r="D229" s="171">
        <f t="shared" si="6"/>
        <v>2006</v>
      </c>
      <c r="E229" s="167" t="s">
        <v>525</v>
      </c>
      <c r="F229" s="163">
        <v>1000</v>
      </c>
      <c r="G229" s="163">
        <v>20950</v>
      </c>
      <c r="H229" s="163">
        <v>9840</v>
      </c>
      <c r="I229" s="163">
        <v>11110</v>
      </c>
      <c r="K229" s="168"/>
    </row>
    <row r="230" spans="1:11" x14ac:dyDescent="0.25">
      <c r="A230" s="164" t="s">
        <v>527</v>
      </c>
      <c r="B230" s="164" t="s">
        <v>517</v>
      </c>
      <c r="C230" s="170">
        <v>38761</v>
      </c>
      <c r="D230" s="171">
        <f t="shared" si="6"/>
        <v>2006</v>
      </c>
      <c r="E230" s="167" t="s">
        <v>532</v>
      </c>
      <c r="F230" s="163">
        <v>1000</v>
      </c>
      <c r="G230" s="163">
        <v>22530</v>
      </c>
      <c r="H230" s="163">
        <v>10220</v>
      </c>
      <c r="I230" s="163">
        <v>12310</v>
      </c>
      <c r="K230" s="168"/>
    </row>
    <row r="231" spans="1:11" x14ac:dyDescent="0.25">
      <c r="A231" s="164" t="s">
        <v>428</v>
      </c>
      <c r="B231" s="164" t="s">
        <v>516</v>
      </c>
      <c r="C231" s="170">
        <v>38767</v>
      </c>
      <c r="D231" s="171">
        <f t="shared" si="6"/>
        <v>2006</v>
      </c>
      <c r="E231" s="167" t="s">
        <v>548</v>
      </c>
      <c r="F231" s="163">
        <v>400</v>
      </c>
      <c r="G231" s="163">
        <v>8116</v>
      </c>
      <c r="H231" s="163">
        <v>3388</v>
      </c>
      <c r="I231" s="163">
        <v>4728</v>
      </c>
      <c r="K231" s="168"/>
    </row>
    <row r="232" spans="1:11" x14ac:dyDescent="0.25">
      <c r="A232" s="164" t="s">
        <v>422</v>
      </c>
      <c r="B232" s="164" t="s">
        <v>516</v>
      </c>
      <c r="C232" s="170">
        <v>38767</v>
      </c>
      <c r="D232" s="171">
        <f t="shared" si="6"/>
        <v>2006</v>
      </c>
      <c r="E232" s="167" t="s">
        <v>532</v>
      </c>
      <c r="F232" s="163">
        <v>600</v>
      </c>
      <c r="G232" s="163">
        <v>12684</v>
      </c>
      <c r="H232" s="163">
        <v>5082</v>
      </c>
      <c r="I232" s="163">
        <v>7602</v>
      </c>
      <c r="K232" s="168"/>
    </row>
    <row r="233" spans="1:11" x14ac:dyDescent="0.25">
      <c r="A233" s="164" t="s">
        <v>527</v>
      </c>
      <c r="B233" s="164" t="s">
        <v>516</v>
      </c>
      <c r="C233" s="170">
        <v>38768</v>
      </c>
      <c r="D233" s="171">
        <f t="shared" si="6"/>
        <v>2006</v>
      </c>
      <c r="E233" s="167" t="s">
        <v>529</v>
      </c>
      <c r="F233" s="163">
        <v>900</v>
      </c>
      <c r="G233" s="163">
        <v>17505</v>
      </c>
      <c r="H233" s="163">
        <v>7623</v>
      </c>
      <c r="I233" s="163">
        <v>9882</v>
      </c>
      <c r="K233" s="168"/>
    </row>
    <row r="234" spans="1:11" x14ac:dyDescent="0.25">
      <c r="A234" s="164" t="s">
        <v>527</v>
      </c>
      <c r="B234" s="164" t="s">
        <v>516</v>
      </c>
      <c r="C234" s="170">
        <v>38770</v>
      </c>
      <c r="D234" s="171">
        <f t="shared" si="6"/>
        <v>2006</v>
      </c>
      <c r="E234" s="167" t="s">
        <v>530</v>
      </c>
      <c r="F234" s="163">
        <v>1000</v>
      </c>
      <c r="G234" s="163">
        <v>21120</v>
      </c>
      <c r="H234" s="163">
        <v>8470</v>
      </c>
      <c r="I234" s="163">
        <v>12650</v>
      </c>
      <c r="K234" s="168"/>
    </row>
    <row r="235" spans="1:11" x14ac:dyDescent="0.25">
      <c r="A235" s="164" t="s">
        <v>422</v>
      </c>
      <c r="B235" s="164" t="s">
        <v>515</v>
      </c>
      <c r="C235" s="170">
        <v>38773</v>
      </c>
      <c r="D235" s="171">
        <f t="shared" si="6"/>
        <v>2006</v>
      </c>
      <c r="E235" s="167" t="s">
        <v>530</v>
      </c>
      <c r="F235" s="163">
        <v>300</v>
      </c>
      <c r="G235" s="163">
        <v>6735</v>
      </c>
      <c r="H235" s="163">
        <v>2952</v>
      </c>
      <c r="I235" s="163">
        <v>3783</v>
      </c>
      <c r="K235" s="168"/>
    </row>
    <row r="236" spans="1:11" x14ac:dyDescent="0.25">
      <c r="A236" s="164" t="s">
        <v>527</v>
      </c>
      <c r="B236" s="164" t="s">
        <v>517</v>
      </c>
      <c r="C236" s="170">
        <v>38774</v>
      </c>
      <c r="D236" s="171">
        <f t="shared" si="6"/>
        <v>2006</v>
      </c>
      <c r="E236" s="167" t="s">
        <v>522</v>
      </c>
      <c r="F236" s="163">
        <v>400</v>
      </c>
      <c r="G236" s="163">
        <v>9204</v>
      </c>
      <c r="H236" s="163">
        <v>4088</v>
      </c>
      <c r="I236" s="163">
        <v>5116</v>
      </c>
      <c r="K236" s="168"/>
    </row>
    <row r="237" spans="1:11" x14ac:dyDescent="0.25">
      <c r="A237" s="164" t="s">
        <v>527</v>
      </c>
      <c r="B237" s="164" t="s">
        <v>515</v>
      </c>
      <c r="C237" s="170">
        <v>38777</v>
      </c>
      <c r="D237" s="171">
        <f t="shared" si="6"/>
        <v>2006</v>
      </c>
      <c r="E237" s="167" t="s">
        <v>532</v>
      </c>
      <c r="F237" s="163">
        <v>500</v>
      </c>
      <c r="G237" s="163">
        <v>12270</v>
      </c>
      <c r="H237" s="163">
        <v>4920</v>
      </c>
      <c r="I237" s="163">
        <v>7350</v>
      </c>
      <c r="K237" s="168"/>
    </row>
    <row r="238" spans="1:11" x14ac:dyDescent="0.25">
      <c r="A238" s="164" t="s">
        <v>527</v>
      </c>
      <c r="B238" s="164" t="s">
        <v>517</v>
      </c>
      <c r="C238" s="170">
        <v>38781</v>
      </c>
      <c r="D238" s="171">
        <f t="shared" si="6"/>
        <v>2006</v>
      </c>
      <c r="E238" s="167" t="s">
        <v>524</v>
      </c>
      <c r="F238" s="163">
        <v>200</v>
      </c>
      <c r="G238" s="163">
        <v>4440</v>
      </c>
      <c r="H238" s="163">
        <v>2044</v>
      </c>
      <c r="I238" s="163">
        <v>2396</v>
      </c>
      <c r="K238" s="168"/>
    </row>
    <row r="239" spans="1:11" x14ac:dyDescent="0.25">
      <c r="A239" s="164" t="s">
        <v>422</v>
      </c>
      <c r="B239" s="164" t="s">
        <v>515</v>
      </c>
      <c r="C239" s="170">
        <v>38784</v>
      </c>
      <c r="D239" s="171">
        <f t="shared" si="6"/>
        <v>2006</v>
      </c>
      <c r="E239" s="167" t="s">
        <v>532</v>
      </c>
      <c r="F239" s="163">
        <v>1000</v>
      </c>
      <c r="G239" s="163">
        <v>23690</v>
      </c>
      <c r="H239" s="163">
        <v>9840</v>
      </c>
      <c r="I239" s="163">
        <v>13850</v>
      </c>
      <c r="K239" s="168"/>
    </row>
    <row r="240" spans="1:11" x14ac:dyDescent="0.25">
      <c r="A240" s="164" t="s">
        <v>527</v>
      </c>
      <c r="B240" s="164" t="s">
        <v>516</v>
      </c>
      <c r="C240" s="170">
        <v>38787</v>
      </c>
      <c r="D240" s="171">
        <f t="shared" si="6"/>
        <v>2006</v>
      </c>
      <c r="E240" s="167" t="s">
        <v>531</v>
      </c>
      <c r="F240" s="163">
        <v>800</v>
      </c>
      <c r="G240" s="163">
        <v>16696</v>
      </c>
      <c r="H240" s="163">
        <v>6776</v>
      </c>
      <c r="I240" s="163">
        <v>9920</v>
      </c>
      <c r="K240" s="168"/>
    </row>
    <row r="241" spans="1:11" x14ac:dyDescent="0.25">
      <c r="A241" s="164" t="s">
        <v>527</v>
      </c>
      <c r="B241" s="164" t="s">
        <v>515</v>
      </c>
      <c r="C241" s="170">
        <v>38792</v>
      </c>
      <c r="D241" s="171">
        <f t="shared" si="6"/>
        <v>2006</v>
      </c>
      <c r="E241" s="167" t="s">
        <v>532</v>
      </c>
      <c r="F241" s="163">
        <v>100</v>
      </c>
      <c r="G241" s="163">
        <v>2004</v>
      </c>
      <c r="H241" s="163">
        <v>984</v>
      </c>
      <c r="I241" s="163">
        <v>1020</v>
      </c>
      <c r="K241" s="168"/>
    </row>
    <row r="242" spans="1:11" x14ac:dyDescent="0.25">
      <c r="A242" s="164" t="s">
        <v>428</v>
      </c>
      <c r="B242" s="164" t="s">
        <v>516</v>
      </c>
      <c r="C242" s="170">
        <v>38794</v>
      </c>
      <c r="D242" s="171">
        <f t="shared" si="6"/>
        <v>2006</v>
      </c>
      <c r="E242" s="167" t="s">
        <v>530</v>
      </c>
      <c r="F242" s="163">
        <v>300</v>
      </c>
      <c r="G242" s="163">
        <v>5904</v>
      </c>
      <c r="H242" s="163">
        <v>2541</v>
      </c>
      <c r="I242" s="163">
        <v>3363</v>
      </c>
      <c r="K242" s="168"/>
    </row>
    <row r="243" spans="1:11" x14ac:dyDescent="0.25">
      <c r="A243" s="164" t="s">
        <v>422</v>
      </c>
      <c r="B243" s="164" t="s">
        <v>516</v>
      </c>
      <c r="C243" s="170">
        <v>38795</v>
      </c>
      <c r="D243" s="171">
        <f t="shared" si="6"/>
        <v>2006</v>
      </c>
      <c r="E243" s="167" t="s">
        <v>548</v>
      </c>
      <c r="F243" s="163">
        <v>1000</v>
      </c>
      <c r="G243" s="163">
        <v>18290</v>
      </c>
      <c r="H243" s="163">
        <v>8470</v>
      </c>
      <c r="I243" s="163">
        <v>9820</v>
      </c>
      <c r="K243" s="168"/>
    </row>
    <row r="244" spans="1:11" x14ac:dyDescent="0.25">
      <c r="A244" s="164" t="s">
        <v>428</v>
      </c>
      <c r="B244" s="164" t="s">
        <v>517</v>
      </c>
      <c r="C244" s="170">
        <v>38798</v>
      </c>
      <c r="D244" s="171">
        <f t="shared" si="6"/>
        <v>2006</v>
      </c>
      <c r="E244" s="167" t="s">
        <v>536</v>
      </c>
      <c r="F244" s="163">
        <v>1000</v>
      </c>
      <c r="G244" s="163">
        <v>25350</v>
      </c>
      <c r="H244" s="163">
        <v>10220</v>
      </c>
      <c r="I244" s="163">
        <v>15130</v>
      </c>
      <c r="K244" s="168"/>
    </row>
    <row r="245" spans="1:11" x14ac:dyDescent="0.25">
      <c r="A245" s="164" t="s">
        <v>422</v>
      </c>
      <c r="B245" s="164" t="s">
        <v>517</v>
      </c>
      <c r="C245" s="170">
        <v>38802</v>
      </c>
      <c r="D245" s="171">
        <f t="shared" si="6"/>
        <v>2006</v>
      </c>
      <c r="E245" s="167" t="s">
        <v>522</v>
      </c>
      <c r="F245" s="163">
        <v>300</v>
      </c>
      <c r="G245" s="163">
        <v>7569</v>
      </c>
      <c r="H245" s="163">
        <v>3066</v>
      </c>
      <c r="I245" s="163">
        <v>4503</v>
      </c>
      <c r="K245" s="168"/>
    </row>
    <row r="246" spans="1:11" x14ac:dyDescent="0.25">
      <c r="A246" s="164" t="s">
        <v>428</v>
      </c>
      <c r="B246" s="164" t="s">
        <v>517</v>
      </c>
      <c r="C246" s="170">
        <v>38804</v>
      </c>
      <c r="D246" s="171">
        <f t="shared" si="6"/>
        <v>2006</v>
      </c>
      <c r="E246" s="167" t="s">
        <v>528</v>
      </c>
      <c r="F246" s="163">
        <v>500</v>
      </c>
      <c r="G246" s="163">
        <v>10380</v>
      </c>
      <c r="H246" s="163">
        <v>5110</v>
      </c>
      <c r="I246" s="163">
        <v>5270</v>
      </c>
      <c r="K246" s="168"/>
    </row>
    <row r="247" spans="1:11" x14ac:dyDescent="0.25">
      <c r="A247" s="164" t="s">
        <v>428</v>
      </c>
      <c r="B247" s="164" t="s">
        <v>515</v>
      </c>
      <c r="C247" s="170">
        <v>38805</v>
      </c>
      <c r="D247" s="171">
        <f t="shared" si="6"/>
        <v>2006</v>
      </c>
      <c r="E247" s="167" t="s">
        <v>522</v>
      </c>
      <c r="F247" s="163">
        <v>700</v>
      </c>
      <c r="G247" s="163">
        <v>13797</v>
      </c>
      <c r="H247" s="163">
        <v>6888</v>
      </c>
      <c r="I247" s="163">
        <v>6909</v>
      </c>
      <c r="K247" s="168"/>
    </row>
    <row r="248" spans="1:11" x14ac:dyDescent="0.25">
      <c r="A248" s="164" t="s">
        <v>422</v>
      </c>
      <c r="B248" s="164" t="s">
        <v>517</v>
      </c>
      <c r="C248" s="170">
        <v>38807</v>
      </c>
      <c r="D248" s="171">
        <f t="shared" si="6"/>
        <v>2006</v>
      </c>
      <c r="E248" s="167" t="s">
        <v>533</v>
      </c>
      <c r="F248" s="163">
        <v>300</v>
      </c>
      <c r="G248" s="163">
        <v>7305</v>
      </c>
      <c r="H248" s="163">
        <v>3066</v>
      </c>
      <c r="I248" s="163">
        <v>4239</v>
      </c>
      <c r="K248" s="168"/>
    </row>
    <row r="249" spans="1:11" x14ac:dyDescent="0.25">
      <c r="A249" s="164" t="s">
        <v>428</v>
      </c>
      <c r="B249" s="164" t="s">
        <v>516</v>
      </c>
      <c r="C249" s="170">
        <v>38808</v>
      </c>
      <c r="D249" s="171">
        <f t="shared" si="6"/>
        <v>2006</v>
      </c>
      <c r="E249" s="167" t="s">
        <v>525</v>
      </c>
      <c r="F249" s="163">
        <v>500</v>
      </c>
      <c r="G249" s="163">
        <v>9635</v>
      </c>
      <c r="H249" s="163">
        <v>4235</v>
      </c>
      <c r="I249" s="163">
        <v>5400</v>
      </c>
      <c r="K249" s="168"/>
    </row>
    <row r="250" spans="1:11" x14ac:dyDescent="0.25">
      <c r="A250" s="164" t="s">
        <v>422</v>
      </c>
      <c r="B250" s="164" t="s">
        <v>517</v>
      </c>
      <c r="C250" s="170">
        <v>38810</v>
      </c>
      <c r="D250" s="171">
        <f t="shared" si="6"/>
        <v>2006</v>
      </c>
      <c r="E250" s="167" t="s">
        <v>528</v>
      </c>
      <c r="F250" s="163">
        <v>500</v>
      </c>
      <c r="G250" s="163">
        <v>12755</v>
      </c>
      <c r="H250" s="163">
        <v>5110</v>
      </c>
      <c r="I250" s="163">
        <v>7645</v>
      </c>
      <c r="K250" s="168"/>
    </row>
    <row r="251" spans="1:11" x14ac:dyDescent="0.25">
      <c r="A251" s="164" t="s">
        <v>422</v>
      </c>
      <c r="B251" s="164" t="s">
        <v>516</v>
      </c>
      <c r="C251" s="170">
        <v>38810</v>
      </c>
      <c r="D251" s="171">
        <f t="shared" si="6"/>
        <v>2006</v>
      </c>
      <c r="E251" s="167" t="s">
        <v>532</v>
      </c>
      <c r="F251" s="163">
        <v>500</v>
      </c>
      <c r="G251" s="163">
        <v>9855</v>
      </c>
      <c r="H251" s="163">
        <v>4235</v>
      </c>
      <c r="I251" s="163">
        <v>5620</v>
      </c>
      <c r="K251" s="168"/>
    </row>
    <row r="252" spans="1:11" x14ac:dyDescent="0.25">
      <c r="A252" s="164" t="s">
        <v>422</v>
      </c>
      <c r="B252" s="164" t="s">
        <v>516</v>
      </c>
      <c r="C252" s="170">
        <v>38814</v>
      </c>
      <c r="D252" s="171">
        <f t="shared" si="6"/>
        <v>2006</v>
      </c>
      <c r="E252" s="167" t="s">
        <v>531</v>
      </c>
      <c r="F252" s="163">
        <v>400</v>
      </c>
      <c r="G252" s="163">
        <v>6880</v>
      </c>
      <c r="H252" s="163">
        <v>3388</v>
      </c>
      <c r="I252" s="163">
        <v>3492</v>
      </c>
      <c r="K252" s="168"/>
    </row>
    <row r="253" spans="1:11" x14ac:dyDescent="0.25">
      <c r="A253" s="164" t="s">
        <v>527</v>
      </c>
      <c r="B253" s="164" t="s">
        <v>517</v>
      </c>
      <c r="C253" s="170">
        <v>38815</v>
      </c>
      <c r="D253" s="171">
        <f t="shared" si="6"/>
        <v>2006</v>
      </c>
      <c r="E253" s="167" t="s">
        <v>529</v>
      </c>
      <c r="F253" s="163">
        <v>900</v>
      </c>
      <c r="G253" s="163">
        <v>18783</v>
      </c>
      <c r="H253" s="163">
        <v>9198</v>
      </c>
      <c r="I253" s="163">
        <v>9585</v>
      </c>
      <c r="K253" s="168"/>
    </row>
    <row r="254" spans="1:11" x14ac:dyDescent="0.25">
      <c r="A254" s="164" t="s">
        <v>527</v>
      </c>
      <c r="B254" s="164" t="s">
        <v>517</v>
      </c>
      <c r="C254" s="170">
        <v>38815</v>
      </c>
      <c r="D254" s="171">
        <f t="shared" si="6"/>
        <v>2006</v>
      </c>
      <c r="E254" s="167" t="s">
        <v>528</v>
      </c>
      <c r="F254" s="163">
        <v>200</v>
      </c>
      <c r="G254" s="163">
        <v>4550</v>
      </c>
      <c r="H254" s="163">
        <v>2044</v>
      </c>
      <c r="I254" s="163">
        <v>2506</v>
      </c>
      <c r="K254" s="168"/>
    </row>
    <row r="255" spans="1:11" x14ac:dyDescent="0.25">
      <c r="A255" s="164" t="s">
        <v>428</v>
      </c>
      <c r="B255" s="164" t="s">
        <v>515</v>
      </c>
      <c r="C255" s="170">
        <v>38816</v>
      </c>
      <c r="D255" s="171">
        <f t="shared" si="6"/>
        <v>2006</v>
      </c>
      <c r="E255" s="167" t="s">
        <v>533</v>
      </c>
      <c r="F255" s="163">
        <v>500</v>
      </c>
      <c r="G255" s="163">
        <v>11695</v>
      </c>
      <c r="H255" s="163">
        <v>4920</v>
      </c>
      <c r="I255" s="163">
        <v>6775</v>
      </c>
      <c r="K255" s="168"/>
    </row>
    <row r="256" spans="1:11" x14ac:dyDescent="0.25">
      <c r="A256" s="164" t="s">
        <v>428</v>
      </c>
      <c r="B256" s="164" t="s">
        <v>515</v>
      </c>
      <c r="C256" s="170">
        <v>38817</v>
      </c>
      <c r="D256" s="171">
        <f t="shared" si="6"/>
        <v>2006</v>
      </c>
      <c r="E256" s="167" t="s">
        <v>531</v>
      </c>
      <c r="F256" s="163">
        <v>700</v>
      </c>
      <c r="G256" s="163">
        <v>14784</v>
      </c>
      <c r="H256" s="163">
        <v>6888</v>
      </c>
      <c r="I256" s="163">
        <v>7896</v>
      </c>
      <c r="K256" s="168"/>
    </row>
    <row r="257" spans="1:11" x14ac:dyDescent="0.25">
      <c r="A257" s="164" t="s">
        <v>527</v>
      </c>
      <c r="B257" s="164" t="s">
        <v>515</v>
      </c>
      <c r="C257" s="170">
        <v>38820</v>
      </c>
      <c r="D257" s="171">
        <f t="shared" si="6"/>
        <v>2006</v>
      </c>
      <c r="E257" s="167" t="s">
        <v>528</v>
      </c>
      <c r="F257" s="163">
        <v>800</v>
      </c>
      <c r="G257" s="163">
        <v>16264</v>
      </c>
      <c r="H257" s="163">
        <v>7872</v>
      </c>
      <c r="I257" s="163">
        <v>8392</v>
      </c>
      <c r="K257" s="168"/>
    </row>
    <row r="258" spans="1:11" x14ac:dyDescent="0.25">
      <c r="A258" s="164" t="s">
        <v>422</v>
      </c>
      <c r="B258" s="164" t="s">
        <v>515</v>
      </c>
      <c r="C258" s="170">
        <v>38827</v>
      </c>
      <c r="D258" s="171">
        <f t="shared" si="6"/>
        <v>2006</v>
      </c>
      <c r="E258" s="167" t="s">
        <v>531</v>
      </c>
      <c r="F258" s="163">
        <v>1000</v>
      </c>
      <c r="G258" s="163">
        <v>23820</v>
      </c>
      <c r="H258" s="163">
        <v>9840</v>
      </c>
      <c r="I258" s="163">
        <v>13980</v>
      </c>
      <c r="K258" s="168"/>
    </row>
    <row r="259" spans="1:11" x14ac:dyDescent="0.25">
      <c r="A259" s="164" t="s">
        <v>428</v>
      </c>
      <c r="B259" s="164" t="s">
        <v>515</v>
      </c>
      <c r="C259" s="170">
        <v>38830</v>
      </c>
      <c r="D259" s="171">
        <f t="shared" si="6"/>
        <v>2006</v>
      </c>
      <c r="E259" s="167" t="s">
        <v>526</v>
      </c>
      <c r="F259" s="163">
        <v>600</v>
      </c>
      <c r="G259" s="163">
        <v>14004</v>
      </c>
      <c r="H259" s="163">
        <v>5904</v>
      </c>
      <c r="I259" s="163">
        <v>8100</v>
      </c>
      <c r="K259" s="168"/>
    </row>
    <row r="260" spans="1:11" x14ac:dyDescent="0.25">
      <c r="A260" s="164" t="s">
        <v>527</v>
      </c>
      <c r="B260" s="164" t="s">
        <v>517</v>
      </c>
      <c r="C260" s="170">
        <v>38830</v>
      </c>
      <c r="D260" s="171">
        <f t="shared" si="6"/>
        <v>2006</v>
      </c>
      <c r="E260" s="167" t="s">
        <v>534</v>
      </c>
      <c r="F260" s="163">
        <v>400</v>
      </c>
      <c r="G260" s="163">
        <v>9064</v>
      </c>
      <c r="H260" s="163">
        <v>4088</v>
      </c>
      <c r="I260" s="163">
        <v>4976</v>
      </c>
      <c r="K260" s="168"/>
    </row>
    <row r="261" spans="1:11" x14ac:dyDescent="0.25">
      <c r="A261" s="164" t="s">
        <v>527</v>
      </c>
      <c r="B261" s="164" t="s">
        <v>517</v>
      </c>
      <c r="C261" s="170">
        <v>38830</v>
      </c>
      <c r="D261" s="171">
        <f t="shared" si="6"/>
        <v>2006</v>
      </c>
      <c r="E261" s="167" t="s">
        <v>533</v>
      </c>
      <c r="F261" s="163">
        <v>500</v>
      </c>
      <c r="G261" s="163">
        <v>12135</v>
      </c>
      <c r="H261" s="163">
        <v>5110</v>
      </c>
      <c r="I261" s="163">
        <v>7025</v>
      </c>
      <c r="K261" s="168"/>
    </row>
    <row r="262" spans="1:11" x14ac:dyDescent="0.25">
      <c r="A262" s="164" t="s">
        <v>428</v>
      </c>
      <c r="B262" s="164" t="s">
        <v>517</v>
      </c>
      <c r="C262" s="170">
        <v>38832</v>
      </c>
      <c r="D262" s="171">
        <f t="shared" si="6"/>
        <v>2006</v>
      </c>
      <c r="E262" s="167" t="s">
        <v>536</v>
      </c>
      <c r="F262" s="163">
        <v>900</v>
      </c>
      <c r="G262" s="163">
        <v>18756</v>
      </c>
      <c r="H262" s="163">
        <v>9198</v>
      </c>
      <c r="I262" s="163">
        <v>9558</v>
      </c>
      <c r="K262" s="168"/>
    </row>
    <row r="263" spans="1:11" x14ac:dyDescent="0.25">
      <c r="A263" s="164" t="s">
        <v>422</v>
      </c>
      <c r="B263" s="164" t="s">
        <v>517</v>
      </c>
      <c r="C263" s="170">
        <v>38833</v>
      </c>
      <c r="D263" s="171">
        <f t="shared" si="6"/>
        <v>2006</v>
      </c>
      <c r="E263" s="167" t="s">
        <v>530</v>
      </c>
      <c r="F263" s="163">
        <v>200</v>
      </c>
      <c r="G263" s="163">
        <v>5002</v>
      </c>
      <c r="H263" s="163">
        <v>2044</v>
      </c>
      <c r="I263" s="163">
        <v>2958</v>
      </c>
      <c r="K263" s="168"/>
    </row>
    <row r="264" spans="1:11" x14ac:dyDescent="0.25">
      <c r="A264" s="164" t="s">
        <v>422</v>
      </c>
      <c r="B264" s="164" t="s">
        <v>515</v>
      </c>
      <c r="C264" s="170">
        <v>38834</v>
      </c>
      <c r="D264" s="171">
        <f t="shared" si="6"/>
        <v>2006</v>
      </c>
      <c r="E264" s="167" t="s">
        <v>529</v>
      </c>
      <c r="F264" s="163">
        <v>800</v>
      </c>
      <c r="G264" s="163">
        <v>15856</v>
      </c>
      <c r="H264" s="163">
        <v>7872</v>
      </c>
      <c r="I264" s="163">
        <v>7984</v>
      </c>
      <c r="K264" s="168"/>
    </row>
    <row r="265" spans="1:11" x14ac:dyDescent="0.25">
      <c r="A265" s="164" t="s">
        <v>428</v>
      </c>
      <c r="B265" s="164" t="s">
        <v>516</v>
      </c>
      <c r="C265" s="170">
        <v>38834</v>
      </c>
      <c r="D265" s="171">
        <f t="shared" si="6"/>
        <v>2006</v>
      </c>
      <c r="E265" s="167" t="s">
        <v>543</v>
      </c>
      <c r="F265" s="163">
        <v>400</v>
      </c>
      <c r="G265" s="163">
        <v>7136</v>
      </c>
      <c r="H265" s="163">
        <v>3388</v>
      </c>
      <c r="I265" s="163">
        <v>3748</v>
      </c>
      <c r="K265" s="168"/>
    </row>
    <row r="266" spans="1:11" x14ac:dyDescent="0.25">
      <c r="A266" s="164" t="s">
        <v>428</v>
      </c>
      <c r="B266" s="164" t="s">
        <v>515</v>
      </c>
      <c r="C266" s="170">
        <v>38835</v>
      </c>
      <c r="D266" s="171">
        <f t="shared" ref="D266:D329" si="7">YEAR(C266)</f>
        <v>2006</v>
      </c>
      <c r="E266" s="167" t="s">
        <v>524</v>
      </c>
      <c r="F266" s="163">
        <v>600</v>
      </c>
      <c r="G266" s="163">
        <v>14154</v>
      </c>
      <c r="H266" s="163">
        <v>5904</v>
      </c>
      <c r="I266" s="163">
        <v>8250</v>
      </c>
      <c r="K266" s="168"/>
    </row>
    <row r="267" spans="1:11" x14ac:dyDescent="0.25">
      <c r="A267" s="164" t="s">
        <v>527</v>
      </c>
      <c r="B267" s="164" t="s">
        <v>516</v>
      </c>
      <c r="C267" s="170">
        <v>38837</v>
      </c>
      <c r="D267" s="171">
        <f t="shared" si="7"/>
        <v>2006</v>
      </c>
      <c r="E267" s="167" t="s">
        <v>529</v>
      </c>
      <c r="F267" s="163">
        <v>1000</v>
      </c>
      <c r="G267" s="163">
        <v>20770</v>
      </c>
      <c r="H267" s="163">
        <v>8470</v>
      </c>
      <c r="I267" s="163">
        <v>12300</v>
      </c>
      <c r="K267" s="168"/>
    </row>
    <row r="268" spans="1:11" x14ac:dyDescent="0.25">
      <c r="A268" s="164" t="s">
        <v>428</v>
      </c>
      <c r="B268" s="164" t="s">
        <v>517</v>
      </c>
      <c r="C268" s="170">
        <v>38842</v>
      </c>
      <c r="D268" s="171">
        <f t="shared" si="7"/>
        <v>2006</v>
      </c>
      <c r="E268" s="167" t="s">
        <v>524</v>
      </c>
      <c r="F268" s="163">
        <v>900</v>
      </c>
      <c r="G268" s="163">
        <v>21042</v>
      </c>
      <c r="H268" s="163">
        <v>9198</v>
      </c>
      <c r="I268" s="163">
        <v>11844</v>
      </c>
      <c r="K268" s="168"/>
    </row>
    <row r="269" spans="1:11" x14ac:dyDescent="0.25">
      <c r="A269" s="164" t="s">
        <v>422</v>
      </c>
      <c r="B269" s="164" t="s">
        <v>515</v>
      </c>
      <c r="C269" s="170">
        <v>38844</v>
      </c>
      <c r="D269" s="171">
        <f t="shared" si="7"/>
        <v>2006</v>
      </c>
      <c r="E269" s="167" t="s">
        <v>523</v>
      </c>
      <c r="F269" s="163">
        <v>100</v>
      </c>
      <c r="G269" s="163">
        <v>2042</v>
      </c>
      <c r="H269" s="163">
        <v>984</v>
      </c>
      <c r="I269" s="163">
        <v>1058</v>
      </c>
      <c r="K269" s="168"/>
    </row>
    <row r="270" spans="1:11" x14ac:dyDescent="0.25">
      <c r="A270" s="164" t="s">
        <v>428</v>
      </c>
      <c r="B270" s="164" t="s">
        <v>517</v>
      </c>
      <c r="C270" s="170">
        <v>38848</v>
      </c>
      <c r="D270" s="171">
        <f t="shared" si="7"/>
        <v>2006</v>
      </c>
      <c r="E270" s="167" t="s">
        <v>524</v>
      </c>
      <c r="F270" s="163">
        <v>900</v>
      </c>
      <c r="G270" s="163">
        <v>19062</v>
      </c>
      <c r="H270" s="163">
        <v>9198</v>
      </c>
      <c r="I270" s="163">
        <v>9864</v>
      </c>
      <c r="K270" s="168"/>
    </row>
    <row r="271" spans="1:11" x14ac:dyDescent="0.25">
      <c r="A271" s="164" t="s">
        <v>428</v>
      </c>
      <c r="B271" s="164" t="s">
        <v>517</v>
      </c>
      <c r="C271" s="170">
        <v>38853</v>
      </c>
      <c r="D271" s="171">
        <f t="shared" si="7"/>
        <v>2006</v>
      </c>
      <c r="E271" s="167" t="s">
        <v>533</v>
      </c>
      <c r="F271" s="163">
        <v>400</v>
      </c>
      <c r="G271" s="163">
        <v>9816</v>
      </c>
      <c r="H271" s="163">
        <v>4088</v>
      </c>
      <c r="I271" s="163">
        <v>5728</v>
      </c>
      <c r="K271" s="168"/>
    </row>
    <row r="272" spans="1:11" x14ac:dyDescent="0.25">
      <c r="A272" s="164" t="s">
        <v>527</v>
      </c>
      <c r="B272" s="164" t="s">
        <v>515</v>
      </c>
      <c r="C272" s="170">
        <v>38856</v>
      </c>
      <c r="D272" s="171">
        <f t="shared" si="7"/>
        <v>2006</v>
      </c>
      <c r="E272" s="167" t="s">
        <v>536</v>
      </c>
      <c r="F272" s="163">
        <v>900</v>
      </c>
      <c r="G272" s="163">
        <v>21033</v>
      </c>
      <c r="H272" s="163">
        <v>8856</v>
      </c>
      <c r="I272" s="163">
        <v>12177</v>
      </c>
      <c r="K272" s="168"/>
    </row>
    <row r="273" spans="1:11" x14ac:dyDescent="0.25">
      <c r="A273" s="164" t="s">
        <v>428</v>
      </c>
      <c r="B273" s="164" t="s">
        <v>517</v>
      </c>
      <c r="C273" s="170">
        <v>38858</v>
      </c>
      <c r="D273" s="171">
        <f t="shared" si="7"/>
        <v>2006</v>
      </c>
      <c r="E273" s="167" t="s">
        <v>528</v>
      </c>
      <c r="F273" s="163">
        <v>400</v>
      </c>
      <c r="G273" s="163">
        <v>9156</v>
      </c>
      <c r="H273" s="163">
        <v>4088</v>
      </c>
      <c r="I273" s="163">
        <v>5068</v>
      </c>
      <c r="K273" s="168"/>
    </row>
    <row r="274" spans="1:11" x14ac:dyDescent="0.25">
      <c r="A274" s="164" t="s">
        <v>428</v>
      </c>
      <c r="B274" s="164" t="s">
        <v>516</v>
      </c>
      <c r="C274" s="170">
        <v>38858</v>
      </c>
      <c r="D274" s="171">
        <f t="shared" si="7"/>
        <v>2006</v>
      </c>
      <c r="E274" s="167" t="s">
        <v>522</v>
      </c>
      <c r="F274" s="163">
        <v>700</v>
      </c>
      <c r="G274" s="163">
        <v>13874</v>
      </c>
      <c r="H274" s="163">
        <v>5929</v>
      </c>
      <c r="I274" s="163">
        <v>7945</v>
      </c>
      <c r="K274" s="168"/>
    </row>
    <row r="275" spans="1:11" x14ac:dyDescent="0.25">
      <c r="A275" s="164" t="s">
        <v>428</v>
      </c>
      <c r="B275" s="164" t="s">
        <v>515</v>
      </c>
      <c r="C275" s="170">
        <v>38860</v>
      </c>
      <c r="D275" s="171">
        <f t="shared" si="7"/>
        <v>2006</v>
      </c>
      <c r="E275" s="167" t="s">
        <v>528</v>
      </c>
      <c r="F275" s="163">
        <v>200</v>
      </c>
      <c r="G275" s="163">
        <v>4474</v>
      </c>
      <c r="H275" s="163">
        <v>1968</v>
      </c>
      <c r="I275" s="163">
        <v>2506</v>
      </c>
      <c r="K275" s="168"/>
    </row>
    <row r="276" spans="1:11" x14ac:dyDescent="0.25">
      <c r="A276" s="164" t="s">
        <v>428</v>
      </c>
      <c r="B276" s="164" t="s">
        <v>516</v>
      </c>
      <c r="C276" s="170">
        <v>38861</v>
      </c>
      <c r="D276" s="171">
        <f t="shared" si="7"/>
        <v>2006</v>
      </c>
      <c r="E276" s="167" t="s">
        <v>536</v>
      </c>
      <c r="F276" s="163">
        <v>400</v>
      </c>
      <c r="G276" s="163">
        <v>7152</v>
      </c>
      <c r="H276" s="163">
        <v>3388</v>
      </c>
      <c r="I276" s="163">
        <v>3764</v>
      </c>
      <c r="K276" s="168"/>
    </row>
    <row r="277" spans="1:11" x14ac:dyDescent="0.25">
      <c r="A277" s="164" t="s">
        <v>527</v>
      </c>
      <c r="B277" s="164" t="s">
        <v>516</v>
      </c>
      <c r="C277" s="170">
        <v>38861</v>
      </c>
      <c r="D277" s="171">
        <f t="shared" si="7"/>
        <v>2006</v>
      </c>
      <c r="E277" s="167" t="s">
        <v>530</v>
      </c>
      <c r="F277" s="163">
        <v>600</v>
      </c>
      <c r="G277" s="163">
        <v>11964</v>
      </c>
      <c r="H277" s="163">
        <v>5082</v>
      </c>
      <c r="I277" s="163">
        <v>6882</v>
      </c>
      <c r="K277" s="168"/>
    </row>
    <row r="278" spans="1:11" x14ac:dyDescent="0.25">
      <c r="A278" s="164" t="s">
        <v>422</v>
      </c>
      <c r="B278" s="164" t="s">
        <v>516</v>
      </c>
      <c r="C278" s="170">
        <v>38862</v>
      </c>
      <c r="D278" s="171">
        <f t="shared" si="7"/>
        <v>2006</v>
      </c>
      <c r="E278" s="167" t="s">
        <v>530</v>
      </c>
      <c r="F278" s="163">
        <v>1000</v>
      </c>
      <c r="G278" s="163">
        <v>18530</v>
      </c>
      <c r="H278" s="163">
        <v>8470</v>
      </c>
      <c r="I278" s="163">
        <v>10060</v>
      </c>
      <c r="K278" s="168"/>
    </row>
    <row r="279" spans="1:11" x14ac:dyDescent="0.25">
      <c r="A279" s="164" t="s">
        <v>428</v>
      </c>
      <c r="B279" s="164" t="s">
        <v>517</v>
      </c>
      <c r="C279" s="170">
        <v>38865</v>
      </c>
      <c r="D279" s="171">
        <f t="shared" si="7"/>
        <v>2006</v>
      </c>
      <c r="E279" s="167" t="s">
        <v>523</v>
      </c>
      <c r="F279" s="163">
        <v>600</v>
      </c>
      <c r="G279" s="163">
        <v>13290</v>
      </c>
      <c r="H279" s="163">
        <v>6132</v>
      </c>
      <c r="I279" s="163">
        <v>7158</v>
      </c>
      <c r="K279" s="168"/>
    </row>
    <row r="280" spans="1:11" x14ac:dyDescent="0.25">
      <c r="A280" s="164" t="s">
        <v>428</v>
      </c>
      <c r="B280" s="164" t="s">
        <v>515</v>
      </c>
      <c r="C280" s="170">
        <v>38868</v>
      </c>
      <c r="D280" s="171">
        <f t="shared" si="7"/>
        <v>2006</v>
      </c>
      <c r="E280" s="167" t="s">
        <v>529</v>
      </c>
      <c r="F280" s="163">
        <v>800</v>
      </c>
      <c r="G280" s="163">
        <v>17136</v>
      </c>
      <c r="H280" s="163">
        <v>7872</v>
      </c>
      <c r="I280" s="163">
        <v>9264</v>
      </c>
      <c r="K280" s="168"/>
    </row>
    <row r="281" spans="1:11" x14ac:dyDescent="0.25">
      <c r="A281" s="164" t="s">
        <v>527</v>
      </c>
      <c r="B281" s="164" t="s">
        <v>515</v>
      </c>
      <c r="C281" s="170">
        <v>38870</v>
      </c>
      <c r="D281" s="171">
        <f t="shared" si="7"/>
        <v>2006</v>
      </c>
      <c r="E281" s="167" t="s">
        <v>532</v>
      </c>
      <c r="F281" s="163">
        <v>200</v>
      </c>
      <c r="G281" s="163">
        <v>4492</v>
      </c>
      <c r="H281" s="163">
        <v>1968</v>
      </c>
      <c r="I281" s="163">
        <v>2524</v>
      </c>
      <c r="K281" s="168"/>
    </row>
    <row r="282" spans="1:11" x14ac:dyDescent="0.25">
      <c r="A282" s="164" t="s">
        <v>428</v>
      </c>
      <c r="B282" s="164" t="s">
        <v>516</v>
      </c>
      <c r="C282" s="170">
        <v>38872</v>
      </c>
      <c r="D282" s="171">
        <f t="shared" si="7"/>
        <v>2006</v>
      </c>
      <c r="E282" s="167" t="s">
        <v>536</v>
      </c>
      <c r="F282" s="163">
        <v>800</v>
      </c>
      <c r="G282" s="163">
        <v>14984</v>
      </c>
      <c r="H282" s="163">
        <v>6776</v>
      </c>
      <c r="I282" s="163">
        <v>8208</v>
      </c>
      <c r="K282" s="168"/>
    </row>
    <row r="283" spans="1:11" x14ac:dyDescent="0.25">
      <c r="A283" s="164" t="s">
        <v>428</v>
      </c>
      <c r="B283" s="164" t="s">
        <v>516</v>
      </c>
      <c r="C283" s="170">
        <v>38873</v>
      </c>
      <c r="D283" s="171">
        <f t="shared" si="7"/>
        <v>2006</v>
      </c>
      <c r="E283" s="167" t="s">
        <v>536</v>
      </c>
      <c r="F283" s="163">
        <v>900</v>
      </c>
      <c r="G283" s="163">
        <v>18576</v>
      </c>
      <c r="H283" s="163">
        <v>7623</v>
      </c>
      <c r="I283" s="163">
        <v>10953</v>
      </c>
      <c r="K283" s="168"/>
    </row>
    <row r="284" spans="1:11" x14ac:dyDescent="0.25">
      <c r="A284" s="164" t="s">
        <v>527</v>
      </c>
      <c r="B284" s="164" t="s">
        <v>515</v>
      </c>
      <c r="C284" s="170">
        <v>38873</v>
      </c>
      <c r="D284" s="171">
        <f t="shared" si="7"/>
        <v>2006</v>
      </c>
      <c r="E284" s="167" t="s">
        <v>541</v>
      </c>
      <c r="F284" s="163">
        <v>500</v>
      </c>
      <c r="G284" s="163">
        <v>11220</v>
      </c>
      <c r="H284" s="163">
        <v>4920</v>
      </c>
      <c r="I284" s="163">
        <v>6300</v>
      </c>
      <c r="K284" s="168"/>
    </row>
    <row r="285" spans="1:11" x14ac:dyDescent="0.25">
      <c r="A285" s="164" t="s">
        <v>428</v>
      </c>
      <c r="B285" s="164" t="s">
        <v>517</v>
      </c>
      <c r="C285" s="170">
        <v>38873</v>
      </c>
      <c r="D285" s="171">
        <f t="shared" si="7"/>
        <v>2006</v>
      </c>
      <c r="E285" s="167" t="s">
        <v>531</v>
      </c>
      <c r="F285" s="163">
        <v>900</v>
      </c>
      <c r="G285" s="163">
        <v>22716</v>
      </c>
      <c r="H285" s="163">
        <v>9198</v>
      </c>
      <c r="I285" s="163">
        <v>13518</v>
      </c>
      <c r="K285" s="168"/>
    </row>
    <row r="286" spans="1:11" x14ac:dyDescent="0.25">
      <c r="A286" s="164" t="s">
        <v>428</v>
      </c>
      <c r="B286" s="164" t="s">
        <v>516</v>
      </c>
      <c r="C286" s="170">
        <v>38877</v>
      </c>
      <c r="D286" s="171">
        <f t="shared" si="7"/>
        <v>2006</v>
      </c>
      <c r="E286" s="167" t="s">
        <v>523</v>
      </c>
      <c r="F286" s="163">
        <v>500</v>
      </c>
      <c r="G286" s="163">
        <v>9345</v>
      </c>
      <c r="H286" s="163">
        <v>4235</v>
      </c>
      <c r="I286" s="163">
        <v>5110</v>
      </c>
      <c r="K286" s="168"/>
    </row>
    <row r="287" spans="1:11" x14ac:dyDescent="0.25">
      <c r="A287" s="164" t="s">
        <v>527</v>
      </c>
      <c r="B287" s="164" t="s">
        <v>517</v>
      </c>
      <c r="C287" s="170">
        <v>38887</v>
      </c>
      <c r="D287" s="171">
        <f t="shared" si="7"/>
        <v>2006</v>
      </c>
      <c r="E287" s="167" t="s">
        <v>530</v>
      </c>
      <c r="F287" s="163">
        <v>300</v>
      </c>
      <c r="G287" s="163">
        <v>6495</v>
      </c>
      <c r="H287" s="163">
        <v>3066</v>
      </c>
      <c r="I287" s="163">
        <v>3429</v>
      </c>
      <c r="K287" s="168"/>
    </row>
    <row r="288" spans="1:11" x14ac:dyDescent="0.25">
      <c r="A288" s="164" t="s">
        <v>422</v>
      </c>
      <c r="B288" s="164" t="s">
        <v>516</v>
      </c>
      <c r="C288" s="170">
        <v>38887</v>
      </c>
      <c r="D288" s="171">
        <f t="shared" si="7"/>
        <v>2006</v>
      </c>
      <c r="E288" s="167" t="s">
        <v>522</v>
      </c>
      <c r="F288" s="163">
        <v>300</v>
      </c>
      <c r="G288" s="163">
        <v>5094</v>
      </c>
      <c r="H288" s="163">
        <v>2541</v>
      </c>
      <c r="I288" s="163">
        <v>2553</v>
      </c>
      <c r="K288" s="168"/>
    </row>
    <row r="289" spans="1:11" x14ac:dyDescent="0.25">
      <c r="A289" s="164" t="s">
        <v>428</v>
      </c>
      <c r="B289" s="164" t="s">
        <v>517</v>
      </c>
      <c r="C289" s="170">
        <v>38887</v>
      </c>
      <c r="D289" s="171">
        <f t="shared" si="7"/>
        <v>2006</v>
      </c>
      <c r="E289" s="167" t="s">
        <v>523</v>
      </c>
      <c r="F289" s="163">
        <v>1000</v>
      </c>
      <c r="G289" s="163">
        <v>21880</v>
      </c>
      <c r="H289" s="163">
        <v>10220</v>
      </c>
      <c r="I289" s="163">
        <v>11660</v>
      </c>
      <c r="K289" s="168"/>
    </row>
    <row r="290" spans="1:11" x14ac:dyDescent="0.25">
      <c r="A290" s="164" t="s">
        <v>422</v>
      </c>
      <c r="B290" s="164" t="s">
        <v>517</v>
      </c>
      <c r="C290" s="170">
        <v>38889</v>
      </c>
      <c r="D290" s="171">
        <f t="shared" si="7"/>
        <v>2006</v>
      </c>
      <c r="E290" s="167" t="s">
        <v>526</v>
      </c>
      <c r="F290" s="163">
        <v>800</v>
      </c>
      <c r="G290" s="163">
        <v>18072</v>
      </c>
      <c r="H290" s="163">
        <v>8176</v>
      </c>
      <c r="I290" s="163">
        <v>9896</v>
      </c>
      <c r="K290" s="168"/>
    </row>
    <row r="291" spans="1:11" x14ac:dyDescent="0.25">
      <c r="A291" s="164" t="s">
        <v>527</v>
      </c>
      <c r="B291" s="164" t="s">
        <v>517</v>
      </c>
      <c r="C291" s="170">
        <v>38890</v>
      </c>
      <c r="D291" s="171">
        <f t="shared" si="7"/>
        <v>2006</v>
      </c>
      <c r="E291" s="167" t="s">
        <v>529</v>
      </c>
      <c r="F291" s="163">
        <v>100</v>
      </c>
      <c r="G291" s="163">
        <v>2309</v>
      </c>
      <c r="H291" s="163">
        <v>1022</v>
      </c>
      <c r="I291" s="163">
        <v>1287</v>
      </c>
      <c r="K291" s="168"/>
    </row>
    <row r="292" spans="1:11" x14ac:dyDescent="0.25">
      <c r="A292" s="164" t="s">
        <v>527</v>
      </c>
      <c r="B292" s="164" t="s">
        <v>517</v>
      </c>
      <c r="C292" s="170">
        <v>38890</v>
      </c>
      <c r="D292" s="171">
        <f t="shared" si="7"/>
        <v>2006</v>
      </c>
      <c r="E292" s="167" t="s">
        <v>532</v>
      </c>
      <c r="F292" s="163">
        <v>500</v>
      </c>
      <c r="G292" s="163">
        <v>11470</v>
      </c>
      <c r="H292" s="163">
        <v>5110</v>
      </c>
      <c r="I292" s="163">
        <v>6360</v>
      </c>
      <c r="K292" s="168"/>
    </row>
    <row r="293" spans="1:11" x14ac:dyDescent="0.25">
      <c r="A293" s="164" t="s">
        <v>428</v>
      </c>
      <c r="B293" s="164" t="s">
        <v>515</v>
      </c>
      <c r="C293" s="170">
        <v>38895</v>
      </c>
      <c r="D293" s="171">
        <f t="shared" si="7"/>
        <v>2006</v>
      </c>
      <c r="E293" s="167" t="s">
        <v>530</v>
      </c>
      <c r="F293" s="163">
        <v>900</v>
      </c>
      <c r="G293" s="163">
        <v>21168</v>
      </c>
      <c r="H293" s="163">
        <v>8856</v>
      </c>
      <c r="I293" s="163">
        <v>12312</v>
      </c>
      <c r="K293" s="168"/>
    </row>
    <row r="294" spans="1:11" x14ac:dyDescent="0.25">
      <c r="A294" s="164" t="s">
        <v>527</v>
      </c>
      <c r="B294" s="164" t="s">
        <v>515</v>
      </c>
      <c r="C294" s="170">
        <v>38896</v>
      </c>
      <c r="D294" s="171">
        <f t="shared" si="7"/>
        <v>2006</v>
      </c>
      <c r="E294" s="167" t="s">
        <v>523</v>
      </c>
      <c r="F294" s="163">
        <v>100</v>
      </c>
      <c r="G294" s="163">
        <v>2257</v>
      </c>
      <c r="H294" s="163">
        <v>984</v>
      </c>
      <c r="I294" s="163">
        <v>1273</v>
      </c>
      <c r="K294" s="168"/>
    </row>
    <row r="295" spans="1:11" x14ac:dyDescent="0.25">
      <c r="A295" s="164" t="s">
        <v>422</v>
      </c>
      <c r="B295" s="164" t="s">
        <v>516</v>
      </c>
      <c r="C295" s="170">
        <v>38900</v>
      </c>
      <c r="D295" s="171">
        <f t="shared" si="7"/>
        <v>2006</v>
      </c>
      <c r="E295" s="167" t="s">
        <v>531</v>
      </c>
      <c r="F295" s="163">
        <v>200</v>
      </c>
      <c r="G295" s="163">
        <v>3418</v>
      </c>
      <c r="H295" s="163">
        <v>1694</v>
      </c>
      <c r="I295" s="163">
        <v>1724</v>
      </c>
      <c r="K295" s="168"/>
    </row>
    <row r="296" spans="1:11" x14ac:dyDescent="0.25">
      <c r="A296" s="164" t="s">
        <v>527</v>
      </c>
      <c r="B296" s="164" t="s">
        <v>515</v>
      </c>
      <c r="C296" s="170">
        <v>38904</v>
      </c>
      <c r="D296" s="171">
        <f t="shared" si="7"/>
        <v>2006</v>
      </c>
      <c r="E296" s="167" t="s">
        <v>530</v>
      </c>
      <c r="F296" s="163">
        <v>1000</v>
      </c>
      <c r="G296" s="163">
        <v>20840</v>
      </c>
      <c r="H296" s="163">
        <v>9840</v>
      </c>
      <c r="I296" s="163">
        <v>11000</v>
      </c>
      <c r="K296" s="168"/>
    </row>
    <row r="297" spans="1:11" x14ac:dyDescent="0.25">
      <c r="A297" s="164" t="s">
        <v>422</v>
      </c>
      <c r="B297" s="164" t="s">
        <v>516</v>
      </c>
      <c r="C297" s="170">
        <v>38906</v>
      </c>
      <c r="D297" s="171">
        <f t="shared" si="7"/>
        <v>2006</v>
      </c>
      <c r="E297" s="167" t="s">
        <v>531</v>
      </c>
      <c r="F297" s="163">
        <v>1000</v>
      </c>
      <c r="G297" s="163">
        <v>19110</v>
      </c>
      <c r="H297" s="163">
        <v>8470</v>
      </c>
      <c r="I297" s="163">
        <v>10640</v>
      </c>
      <c r="K297" s="168"/>
    </row>
    <row r="298" spans="1:11" x14ac:dyDescent="0.25">
      <c r="A298" s="164" t="s">
        <v>527</v>
      </c>
      <c r="B298" s="164" t="s">
        <v>516</v>
      </c>
      <c r="C298" s="170">
        <v>38908</v>
      </c>
      <c r="D298" s="171">
        <f t="shared" si="7"/>
        <v>2006</v>
      </c>
      <c r="E298" s="167" t="s">
        <v>533</v>
      </c>
      <c r="F298" s="163">
        <v>100</v>
      </c>
      <c r="G298" s="163">
        <v>2108</v>
      </c>
      <c r="H298" s="163">
        <v>847</v>
      </c>
      <c r="I298" s="163">
        <v>1261</v>
      </c>
      <c r="K298" s="168"/>
    </row>
    <row r="299" spans="1:11" x14ac:dyDescent="0.25">
      <c r="A299" s="164" t="s">
        <v>422</v>
      </c>
      <c r="B299" s="164" t="s">
        <v>516</v>
      </c>
      <c r="C299" s="170">
        <v>38909</v>
      </c>
      <c r="D299" s="171">
        <f t="shared" si="7"/>
        <v>2006</v>
      </c>
      <c r="E299" s="167" t="s">
        <v>530</v>
      </c>
      <c r="F299" s="163">
        <v>1000</v>
      </c>
      <c r="G299" s="163">
        <v>18500</v>
      </c>
      <c r="H299" s="163">
        <v>8470</v>
      </c>
      <c r="I299" s="163">
        <v>10030</v>
      </c>
      <c r="K299" s="168"/>
    </row>
    <row r="300" spans="1:11" x14ac:dyDescent="0.25">
      <c r="A300" s="164" t="s">
        <v>422</v>
      </c>
      <c r="B300" s="164" t="s">
        <v>517</v>
      </c>
      <c r="C300" s="170">
        <v>38910</v>
      </c>
      <c r="D300" s="171">
        <f t="shared" si="7"/>
        <v>2006</v>
      </c>
      <c r="E300" s="167" t="s">
        <v>533</v>
      </c>
      <c r="F300" s="163">
        <v>100</v>
      </c>
      <c r="G300" s="163">
        <v>2213</v>
      </c>
      <c r="H300" s="163">
        <v>1022</v>
      </c>
      <c r="I300" s="163">
        <v>1191</v>
      </c>
      <c r="K300" s="168"/>
    </row>
    <row r="301" spans="1:11" x14ac:dyDescent="0.25">
      <c r="A301" s="164" t="s">
        <v>422</v>
      </c>
      <c r="B301" s="164" t="s">
        <v>515</v>
      </c>
      <c r="C301" s="170">
        <v>38911</v>
      </c>
      <c r="D301" s="171">
        <f t="shared" si="7"/>
        <v>2006</v>
      </c>
      <c r="E301" s="167" t="s">
        <v>528</v>
      </c>
      <c r="F301" s="163">
        <v>1000</v>
      </c>
      <c r="G301" s="163">
        <v>21740</v>
      </c>
      <c r="H301" s="163">
        <v>9840</v>
      </c>
      <c r="I301" s="163">
        <v>11900</v>
      </c>
      <c r="K301" s="168"/>
    </row>
    <row r="302" spans="1:11" x14ac:dyDescent="0.25">
      <c r="A302" s="164" t="s">
        <v>428</v>
      </c>
      <c r="B302" s="164" t="s">
        <v>516</v>
      </c>
      <c r="C302" s="170">
        <v>38914</v>
      </c>
      <c r="D302" s="171">
        <f t="shared" si="7"/>
        <v>2006</v>
      </c>
      <c r="E302" s="167" t="s">
        <v>532</v>
      </c>
      <c r="F302" s="163">
        <v>800</v>
      </c>
      <c r="G302" s="163">
        <v>16008</v>
      </c>
      <c r="H302" s="163">
        <v>6776</v>
      </c>
      <c r="I302" s="163">
        <v>9232</v>
      </c>
      <c r="K302" s="168"/>
    </row>
    <row r="303" spans="1:11" x14ac:dyDescent="0.25">
      <c r="A303" s="164" t="s">
        <v>527</v>
      </c>
      <c r="B303" s="164" t="s">
        <v>516</v>
      </c>
      <c r="C303" s="170">
        <v>38915</v>
      </c>
      <c r="D303" s="171">
        <f t="shared" si="7"/>
        <v>2006</v>
      </c>
      <c r="E303" s="167" t="s">
        <v>529</v>
      </c>
      <c r="F303" s="163">
        <v>100</v>
      </c>
      <c r="G303" s="163">
        <v>1817</v>
      </c>
      <c r="H303" s="163">
        <v>847</v>
      </c>
      <c r="I303" s="163">
        <v>970</v>
      </c>
      <c r="K303" s="168"/>
    </row>
    <row r="304" spans="1:11" x14ac:dyDescent="0.25">
      <c r="A304" s="164" t="s">
        <v>527</v>
      </c>
      <c r="B304" s="164" t="s">
        <v>516</v>
      </c>
      <c r="C304" s="170">
        <v>38915</v>
      </c>
      <c r="D304" s="171">
        <f t="shared" si="7"/>
        <v>2006</v>
      </c>
      <c r="E304" s="167" t="s">
        <v>533</v>
      </c>
      <c r="F304" s="163">
        <v>300</v>
      </c>
      <c r="G304" s="163">
        <v>6267</v>
      </c>
      <c r="H304" s="163">
        <v>2541</v>
      </c>
      <c r="I304" s="163">
        <v>3726</v>
      </c>
      <c r="K304" s="168"/>
    </row>
    <row r="305" spans="1:11" x14ac:dyDescent="0.25">
      <c r="A305" s="164" t="s">
        <v>422</v>
      </c>
      <c r="B305" s="164" t="s">
        <v>517</v>
      </c>
      <c r="C305" s="170">
        <v>38916</v>
      </c>
      <c r="D305" s="171">
        <f t="shared" si="7"/>
        <v>2006</v>
      </c>
      <c r="E305" s="167" t="s">
        <v>524</v>
      </c>
      <c r="F305" s="163">
        <v>1000</v>
      </c>
      <c r="G305" s="163">
        <v>25310</v>
      </c>
      <c r="H305" s="163">
        <v>10220</v>
      </c>
      <c r="I305" s="163">
        <v>15090</v>
      </c>
      <c r="K305" s="168"/>
    </row>
    <row r="306" spans="1:11" x14ac:dyDescent="0.25">
      <c r="A306" s="164" t="s">
        <v>428</v>
      </c>
      <c r="B306" s="164" t="s">
        <v>516</v>
      </c>
      <c r="C306" s="170">
        <v>38919</v>
      </c>
      <c r="D306" s="171">
        <f t="shared" si="7"/>
        <v>2006</v>
      </c>
      <c r="E306" s="167" t="s">
        <v>529</v>
      </c>
      <c r="F306" s="163">
        <v>700</v>
      </c>
      <c r="G306" s="163">
        <v>12131</v>
      </c>
      <c r="H306" s="163">
        <v>5929</v>
      </c>
      <c r="I306" s="163">
        <v>6202</v>
      </c>
      <c r="K306" s="168"/>
    </row>
    <row r="307" spans="1:11" x14ac:dyDescent="0.25">
      <c r="A307" s="164" t="s">
        <v>422</v>
      </c>
      <c r="B307" s="164" t="s">
        <v>515</v>
      </c>
      <c r="C307" s="170">
        <v>38919</v>
      </c>
      <c r="D307" s="171">
        <f t="shared" si="7"/>
        <v>2006</v>
      </c>
      <c r="E307" s="167" t="s">
        <v>532</v>
      </c>
      <c r="F307" s="163">
        <v>200</v>
      </c>
      <c r="G307" s="163">
        <v>4470</v>
      </c>
      <c r="H307" s="163">
        <v>1968</v>
      </c>
      <c r="I307" s="163">
        <v>2502</v>
      </c>
      <c r="K307" s="168"/>
    </row>
    <row r="308" spans="1:11" x14ac:dyDescent="0.25">
      <c r="A308" s="164" t="s">
        <v>428</v>
      </c>
      <c r="B308" s="164" t="s">
        <v>516</v>
      </c>
      <c r="C308" s="170">
        <v>38919</v>
      </c>
      <c r="D308" s="171">
        <f t="shared" si="7"/>
        <v>2006</v>
      </c>
      <c r="E308" s="167" t="s">
        <v>531</v>
      </c>
      <c r="F308" s="163">
        <v>800</v>
      </c>
      <c r="G308" s="163">
        <v>14224</v>
      </c>
      <c r="H308" s="163">
        <v>6776</v>
      </c>
      <c r="I308" s="163">
        <v>7448</v>
      </c>
      <c r="K308" s="168"/>
    </row>
    <row r="309" spans="1:11" x14ac:dyDescent="0.25">
      <c r="A309" s="164" t="s">
        <v>422</v>
      </c>
      <c r="B309" s="164" t="s">
        <v>517</v>
      </c>
      <c r="C309" s="170">
        <v>38921</v>
      </c>
      <c r="D309" s="171">
        <f t="shared" si="7"/>
        <v>2006</v>
      </c>
      <c r="E309" s="167" t="s">
        <v>522</v>
      </c>
      <c r="F309" s="163">
        <v>400</v>
      </c>
      <c r="G309" s="163">
        <v>9144</v>
      </c>
      <c r="H309" s="163">
        <v>4088</v>
      </c>
      <c r="I309" s="163">
        <v>5056</v>
      </c>
      <c r="K309" s="168"/>
    </row>
    <row r="310" spans="1:11" x14ac:dyDescent="0.25">
      <c r="A310" s="164" t="s">
        <v>422</v>
      </c>
      <c r="B310" s="164" t="s">
        <v>516</v>
      </c>
      <c r="C310" s="170">
        <v>38921</v>
      </c>
      <c r="D310" s="171">
        <f t="shared" si="7"/>
        <v>2006</v>
      </c>
      <c r="E310" s="167" t="s">
        <v>540</v>
      </c>
      <c r="F310" s="163">
        <v>700</v>
      </c>
      <c r="G310" s="163">
        <v>13853</v>
      </c>
      <c r="H310" s="163">
        <v>5929</v>
      </c>
      <c r="I310" s="163">
        <v>7924</v>
      </c>
      <c r="K310" s="168"/>
    </row>
    <row r="311" spans="1:11" x14ac:dyDescent="0.25">
      <c r="A311" s="164" t="s">
        <v>422</v>
      </c>
      <c r="B311" s="164" t="s">
        <v>517</v>
      </c>
      <c r="C311" s="170">
        <v>38927</v>
      </c>
      <c r="D311" s="171">
        <f t="shared" si="7"/>
        <v>2006</v>
      </c>
      <c r="E311" s="167" t="s">
        <v>534</v>
      </c>
      <c r="F311" s="163">
        <v>400</v>
      </c>
      <c r="G311" s="163">
        <v>8556</v>
      </c>
      <c r="H311" s="163">
        <v>4088</v>
      </c>
      <c r="I311" s="163">
        <v>4468</v>
      </c>
      <c r="K311" s="168"/>
    </row>
    <row r="312" spans="1:11" x14ac:dyDescent="0.25">
      <c r="A312" s="164" t="s">
        <v>527</v>
      </c>
      <c r="B312" s="164" t="s">
        <v>515</v>
      </c>
      <c r="C312" s="170">
        <v>38932</v>
      </c>
      <c r="D312" s="171">
        <f t="shared" si="7"/>
        <v>2006</v>
      </c>
      <c r="E312" s="167" t="s">
        <v>530</v>
      </c>
      <c r="F312" s="163">
        <v>100</v>
      </c>
      <c r="G312" s="163">
        <v>2231</v>
      </c>
      <c r="H312" s="163">
        <v>984</v>
      </c>
      <c r="I312" s="163">
        <v>1247</v>
      </c>
      <c r="K312" s="168"/>
    </row>
    <row r="313" spans="1:11" x14ac:dyDescent="0.25">
      <c r="A313" s="164" t="s">
        <v>527</v>
      </c>
      <c r="B313" s="164" t="s">
        <v>515</v>
      </c>
      <c r="C313" s="170">
        <v>38935</v>
      </c>
      <c r="D313" s="171">
        <f t="shared" si="7"/>
        <v>2006</v>
      </c>
      <c r="E313" s="167" t="s">
        <v>532</v>
      </c>
      <c r="F313" s="163">
        <v>700</v>
      </c>
      <c r="G313" s="163">
        <v>15407</v>
      </c>
      <c r="H313" s="163">
        <v>6888</v>
      </c>
      <c r="I313" s="163">
        <v>8519</v>
      </c>
      <c r="K313" s="168"/>
    </row>
    <row r="314" spans="1:11" x14ac:dyDescent="0.25">
      <c r="A314" s="164" t="s">
        <v>428</v>
      </c>
      <c r="B314" s="164" t="s">
        <v>515</v>
      </c>
      <c r="C314" s="170">
        <v>38935</v>
      </c>
      <c r="D314" s="171">
        <f t="shared" si="7"/>
        <v>2006</v>
      </c>
      <c r="E314" s="167" t="s">
        <v>531</v>
      </c>
      <c r="F314" s="163">
        <v>500</v>
      </c>
      <c r="G314" s="163">
        <v>11235</v>
      </c>
      <c r="H314" s="163">
        <v>4920</v>
      </c>
      <c r="I314" s="163">
        <v>6315</v>
      </c>
      <c r="K314" s="168"/>
    </row>
    <row r="315" spans="1:11" x14ac:dyDescent="0.25">
      <c r="A315" s="164" t="s">
        <v>527</v>
      </c>
      <c r="B315" s="164" t="s">
        <v>515</v>
      </c>
      <c r="C315" s="170">
        <v>38936</v>
      </c>
      <c r="D315" s="171">
        <f t="shared" si="7"/>
        <v>2006</v>
      </c>
      <c r="E315" s="167" t="s">
        <v>531</v>
      </c>
      <c r="F315" s="163">
        <v>1000</v>
      </c>
      <c r="G315" s="163">
        <v>23080</v>
      </c>
      <c r="H315" s="163">
        <v>9840</v>
      </c>
      <c r="I315" s="163">
        <v>13240</v>
      </c>
      <c r="K315" s="168"/>
    </row>
    <row r="316" spans="1:11" x14ac:dyDescent="0.25">
      <c r="A316" s="164" t="s">
        <v>527</v>
      </c>
      <c r="B316" s="164" t="s">
        <v>515</v>
      </c>
      <c r="C316" s="170">
        <v>38942</v>
      </c>
      <c r="D316" s="171">
        <f t="shared" si="7"/>
        <v>2006</v>
      </c>
      <c r="E316" s="167" t="s">
        <v>538</v>
      </c>
      <c r="F316" s="163">
        <v>500</v>
      </c>
      <c r="G316" s="163">
        <v>11550</v>
      </c>
      <c r="H316" s="163">
        <v>4920</v>
      </c>
      <c r="I316" s="163">
        <v>6630</v>
      </c>
      <c r="K316" s="168"/>
    </row>
    <row r="317" spans="1:11" x14ac:dyDescent="0.25">
      <c r="A317" s="164" t="s">
        <v>527</v>
      </c>
      <c r="B317" s="164" t="s">
        <v>516</v>
      </c>
      <c r="C317" s="170">
        <v>38945</v>
      </c>
      <c r="D317" s="171">
        <f t="shared" si="7"/>
        <v>2006</v>
      </c>
      <c r="E317" s="167" t="s">
        <v>533</v>
      </c>
      <c r="F317" s="163">
        <v>500</v>
      </c>
      <c r="G317" s="163">
        <v>10330</v>
      </c>
      <c r="H317" s="163">
        <v>4235</v>
      </c>
      <c r="I317" s="163">
        <v>6095</v>
      </c>
      <c r="K317" s="168"/>
    </row>
    <row r="318" spans="1:11" x14ac:dyDescent="0.25">
      <c r="A318" s="164" t="s">
        <v>527</v>
      </c>
      <c r="B318" s="164" t="s">
        <v>516</v>
      </c>
      <c r="C318" s="170">
        <v>38952</v>
      </c>
      <c r="D318" s="171">
        <f t="shared" si="7"/>
        <v>2006</v>
      </c>
      <c r="E318" s="167" t="s">
        <v>529</v>
      </c>
      <c r="F318" s="163">
        <v>400</v>
      </c>
      <c r="G318" s="163">
        <v>8016</v>
      </c>
      <c r="H318" s="163">
        <v>3388</v>
      </c>
      <c r="I318" s="163">
        <v>4628</v>
      </c>
      <c r="K318" s="168"/>
    </row>
    <row r="319" spans="1:11" x14ac:dyDescent="0.25">
      <c r="A319" s="164" t="s">
        <v>422</v>
      </c>
      <c r="B319" s="164" t="s">
        <v>517</v>
      </c>
      <c r="C319" s="170">
        <v>38952</v>
      </c>
      <c r="D319" s="171">
        <f t="shared" si="7"/>
        <v>2006</v>
      </c>
      <c r="E319" s="167" t="s">
        <v>530</v>
      </c>
      <c r="F319" s="163">
        <v>200</v>
      </c>
      <c r="G319" s="163">
        <v>4388</v>
      </c>
      <c r="H319" s="163">
        <v>2044</v>
      </c>
      <c r="I319" s="163">
        <v>2344</v>
      </c>
      <c r="K319" s="168"/>
    </row>
    <row r="320" spans="1:11" x14ac:dyDescent="0.25">
      <c r="A320" s="164" t="s">
        <v>428</v>
      </c>
      <c r="B320" s="164" t="s">
        <v>515</v>
      </c>
      <c r="C320" s="170">
        <v>38952</v>
      </c>
      <c r="D320" s="171">
        <f t="shared" si="7"/>
        <v>2006</v>
      </c>
      <c r="E320" s="167" t="s">
        <v>528</v>
      </c>
      <c r="F320" s="163">
        <v>200</v>
      </c>
      <c r="G320" s="163">
        <v>4742</v>
      </c>
      <c r="H320" s="163">
        <v>1968</v>
      </c>
      <c r="I320" s="163">
        <v>2774</v>
      </c>
      <c r="K320" s="168"/>
    </row>
    <row r="321" spans="1:11" x14ac:dyDescent="0.25">
      <c r="A321" s="164" t="s">
        <v>428</v>
      </c>
      <c r="B321" s="164" t="s">
        <v>516</v>
      </c>
      <c r="C321" s="170">
        <v>38958</v>
      </c>
      <c r="D321" s="171">
        <f t="shared" si="7"/>
        <v>2006</v>
      </c>
      <c r="E321" s="167" t="s">
        <v>523</v>
      </c>
      <c r="F321" s="163">
        <v>1000</v>
      </c>
      <c r="G321" s="163">
        <v>19630</v>
      </c>
      <c r="H321" s="163">
        <v>8470</v>
      </c>
      <c r="I321" s="163">
        <v>11160</v>
      </c>
      <c r="K321" s="168"/>
    </row>
    <row r="322" spans="1:11" x14ac:dyDescent="0.25">
      <c r="A322" s="164" t="s">
        <v>422</v>
      </c>
      <c r="B322" s="164" t="s">
        <v>517</v>
      </c>
      <c r="C322" s="170">
        <v>38959</v>
      </c>
      <c r="D322" s="171">
        <f t="shared" si="7"/>
        <v>2006</v>
      </c>
      <c r="E322" s="167" t="s">
        <v>548</v>
      </c>
      <c r="F322" s="163">
        <v>300</v>
      </c>
      <c r="G322" s="163">
        <v>7032</v>
      </c>
      <c r="H322" s="163">
        <v>3066</v>
      </c>
      <c r="I322" s="163">
        <v>3966</v>
      </c>
      <c r="K322" s="168"/>
    </row>
    <row r="323" spans="1:11" x14ac:dyDescent="0.25">
      <c r="A323" s="164" t="s">
        <v>527</v>
      </c>
      <c r="B323" s="164" t="s">
        <v>515</v>
      </c>
      <c r="C323" s="170">
        <v>38963</v>
      </c>
      <c r="D323" s="171">
        <f t="shared" si="7"/>
        <v>2006</v>
      </c>
      <c r="E323" s="167" t="s">
        <v>529</v>
      </c>
      <c r="F323" s="163">
        <v>1000</v>
      </c>
      <c r="G323" s="163">
        <v>21800</v>
      </c>
      <c r="H323" s="163">
        <v>9840</v>
      </c>
      <c r="I323" s="163">
        <v>11960</v>
      </c>
      <c r="K323" s="168"/>
    </row>
    <row r="324" spans="1:11" x14ac:dyDescent="0.25">
      <c r="A324" s="164" t="s">
        <v>422</v>
      </c>
      <c r="B324" s="164" t="s">
        <v>515</v>
      </c>
      <c r="C324" s="170">
        <v>38964</v>
      </c>
      <c r="D324" s="171">
        <f t="shared" si="7"/>
        <v>2006</v>
      </c>
      <c r="E324" s="167" t="s">
        <v>536</v>
      </c>
      <c r="F324" s="163">
        <v>300</v>
      </c>
      <c r="G324" s="163">
        <v>6156</v>
      </c>
      <c r="H324" s="163">
        <v>2952</v>
      </c>
      <c r="I324" s="163">
        <v>3204</v>
      </c>
      <c r="K324" s="168"/>
    </row>
    <row r="325" spans="1:11" x14ac:dyDescent="0.25">
      <c r="A325" s="164" t="s">
        <v>428</v>
      </c>
      <c r="B325" s="164" t="s">
        <v>515</v>
      </c>
      <c r="C325" s="170">
        <v>38964</v>
      </c>
      <c r="D325" s="171">
        <f t="shared" si="7"/>
        <v>2006</v>
      </c>
      <c r="E325" s="167" t="s">
        <v>539</v>
      </c>
      <c r="F325" s="163">
        <v>200</v>
      </c>
      <c r="G325" s="163">
        <v>4282</v>
      </c>
      <c r="H325" s="163">
        <v>1968</v>
      </c>
      <c r="I325" s="163">
        <v>2314</v>
      </c>
      <c r="K325" s="168"/>
    </row>
    <row r="326" spans="1:11" x14ac:dyDescent="0.25">
      <c r="A326" s="164" t="s">
        <v>527</v>
      </c>
      <c r="B326" s="164" t="s">
        <v>515</v>
      </c>
      <c r="C326" s="170">
        <v>38965</v>
      </c>
      <c r="D326" s="171">
        <f t="shared" si="7"/>
        <v>2006</v>
      </c>
      <c r="E326" s="167" t="s">
        <v>542</v>
      </c>
      <c r="F326" s="163">
        <v>800</v>
      </c>
      <c r="G326" s="163">
        <v>19520</v>
      </c>
      <c r="H326" s="163">
        <v>7872</v>
      </c>
      <c r="I326" s="163">
        <v>11648</v>
      </c>
      <c r="K326" s="168"/>
    </row>
    <row r="327" spans="1:11" x14ac:dyDescent="0.25">
      <c r="A327" s="164" t="s">
        <v>527</v>
      </c>
      <c r="B327" s="164" t="s">
        <v>517</v>
      </c>
      <c r="C327" s="170">
        <v>38965</v>
      </c>
      <c r="D327" s="171">
        <f t="shared" si="7"/>
        <v>2006</v>
      </c>
      <c r="E327" s="167" t="s">
        <v>531</v>
      </c>
      <c r="F327" s="163">
        <v>700</v>
      </c>
      <c r="G327" s="163">
        <v>15834</v>
      </c>
      <c r="H327" s="163">
        <v>7154</v>
      </c>
      <c r="I327" s="163">
        <v>8680</v>
      </c>
      <c r="K327" s="168"/>
    </row>
    <row r="328" spans="1:11" x14ac:dyDescent="0.25">
      <c r="A328" s="164" t="s">
        <v>527</v>
      </c>
      <c r="B328" s="164" t="s">
        <v>515</v>
      </c>
      <c r="C328" s="170">
        <v>38966</v>
      </c>
      <c r="D328" s="171">
        <f t="shared" si="7"/>
        <v>2006</v>
      </c>
      <c r="E328" s="167" t="s">
        <v>531</v>
      </c>
      <c r="F328" s="163">
        <v>900</v>
      </c>
      <c r="G328" s="163">
        <v>19503</v>
      </c>
      <c r="H328" s="163">
        <v>8856</v>
      </c>
      <c r="I328" s="163">
        <v>10647</v>
      </c>
      <c r="K328" s="168"/>
    </row>
    <row r="329" spans="1:11" x14ac:dyDescent="0.25">
      <c r="A329" s="164" t="s">
        <v>527</v>
      </c>
      <c r="B329" s="164" t="s">
        <v>517</v>
      </c>
      <c r="C329" s="170">
        <v>38969</v>
      </c>
      <c r="D329" s="171">
        <f t="shared" si="7"/>
        <v>2006</v>
      </c>
      <c r="E329" s="167" t="s">
        <v>539</v>
      </c>
      <c r="F329" s="163">
        <v>400</v>
      </c>
      <c r="G329" s="163">
        <v>8876</v>
      </c>
      <c r="H329" s="163">
        <v>4088</v>
      </c>
      <c r="I329" s="163">
        <v>4788</v>
      </c>
      <c r="K329" s="168"/>
    </row>
    <row r="330" spans="1:11" x14ac:dyDescent="0.25">
      <c r="A330" s="164" t="s">
        <v>527</v>
      </c>
      <c r="B330" s="164" t="s">
        <v>515</v>
      </c>
      <c r="C330" s="170">
        <v>38976</v>
      </c>
      <c r="D330" s="171">
        <f t="shared" ref="D330:D393" si="8">YEAR(C330)</f>
        <v>2006</v>
      </c>
      <c r="E330" s="167" t="s">
        <v>526</v>
      </c>
      <c r="F330" s="163">
        <v>200</v>
      </c>
      <c r="G330" s="163">
        <v>4060</v>
      </c>
      <c r="H330" s="163">
        <v>1968</v>
      </c>
      <c r="I330" s="163">
        <v>2092</v>
      </c>
      <c r="K330" s="168"/>
    </row>
    <row r="331" spans="1:11" x14ac:dyDescent="0.25">
      <c r="A331" s="164" t="s">
        <v>527</v>
      </c>
      <c r="B331" s="164" t="s">
        <v>517</v>
      </c>
      <c r="C331" s="170">
        <v>38976</v>
      </c>
      <c r="D331" s="171">
        <f t="shared" si="8"/>
        <v>2006</v>
      </c>
      <c r="E331" s="167" t="s">
        <v>545</v>
      </c>
      <c r="F331" s="163">
        <v>200</v>
      </c>
      <c r="G331" s="163">
        <v>4948</v>
      </c>
      <c r="H331" s="163">
        <v>2044</v>
      </c>
      <c r="I331" s="163">
        <v>2904</v>
      </c>
      <c r="K331" s="168"/>
    </row>
    <row r="332" spans="1:11" x14ac:dyDescent="0.25">
      <c r="A332" s="164" t="s">
        <v>527</v>
      </c>
      <c r="B332" s="164" t="s">
        <v>516</v>
      </c>
      <c r="C332" s="170">
        <v>38976</v>
      </c>
      <c r="D332" s="171">
        <f t="shared" si="8"/>
        <v>2006</v>
      </c>
      <c r="E332" s="167" t="s">
        <v>531</v>
      </c>
      <c r="F332" s="163">
        <v>300</v>
      </c>
      <c r="G332" s="163">
        <v>5355</v>
      </c>
      <c r="H332" s="163">
        <v>2541</v>
      </c>
      <c r="I332" s="163">
        <v>2814</v>
      </c>
      <c r="K332" s="168"/>
    </row>
    <row r="333" spans="1:11" x14ac:dyDescent="0.25">
      <c r="A333" s="164" t="s">
        <v>428</v>
      </c>
      <c r="B333" s="164" t="s">
        <v>515</v>
      </c>
      <c r="C333" s="170">
        <v>38979</v>
      </c>
      <c r="D333" s="171">
        <f t="shared" si="8"/>
        <v>2006</v>
      </c>
      <c r="E333" s="167" t="s">
        <v>522</v>
      </c>
      <c r="F333" s="163">
        <v>200</v>
      </c>
      <c r="G333" s="163">
        <v>4866</v>
      </c>
      <c r="H333" s="163">
        <v>1968</v>
      </c>
      <c r="I333" s="163">
        <v>2898</v>
      </c>
      <c r="K333" s="168"/>
    </row>
    <row r="334" spans="1:11" x14ac:dyDescent="0.25">
      <c r="A334" s="164" t="s">
        <v>428</v>
      </c>
      <c r="B334" s="164" t="s">
        <v>516</v>
      </c>
      <c r="C334" s="170">
        <v>38982</v>
      </c>
      <c r="D334" s="171">
        <f t="shared" si="8"/>
        <v>2006</v>
      </c>
      <c r="E334" s="167" t="s">
        <v>536</v>
      </c>
      <c r="F334" s="163">
        <v>500</v>
      </c>
      <c r="G334" s="163">
        <v>9155</v>
      </c>
      <c r="H334" s="163">
        <v>4235</v>
      </c>
      <c r="I334" s="163">
        <v>4920</v>
      </c>
      <c r="K334" s="168"/>
    </row>
    <row r="335" spans="1:11" x14ac:dyDescent="0.25">
      <c r="A335" s="164" t="s">
        <v>527</v>
      </c>
      <c r="B335" s="164" t="s">
        <v>516</v>
      </c>
      <c r="C335" s="170">
        <v>38984</v>
      </c>
      <c r="D335" s="171">
        <f t="shared" si="8"/>
        <v>2006</v>
      </c>
      <c r="E335" s="167" t="s">
        <v>524</v>
      </c>
      <c r="F335" s="163">
        <v>500</v>
      </c>
      <c r="G335" s="163">
        <v>9350</v>
      </c>
      <c r="H335" s="163">
        <v>4235</v>
      </c>
      <c r="I335" s="163">
        <v>5115</v>
      </c>
      <c r="K335" s="168"/>
    </row>
    <row r="336" spans="1:11" x14ac:dyDescent="0.25">
      <c r="A336" s="164" t="s">
        <v>527</v>
      </c>
      <c r="B336" s="164" t="s">
        <v>516</v>
      </c>
      <c r="C336" s="170">
        <v>38986</v>
      </c>
      <c r="D336" s="171">
        <f t="shared" si="8"/>
        <v>2006</v>
      </c>
      <c r="E336" s="167" t="s">
        <v>532</v>
      </c>
      <c r="F336" s="163">
        <v>700</v>
      </c>
      <c r="G336" s="163">
        <v>13986</v>
      </c>
      <c r="H336" s="163">
        <v>5929</v>
      </c>
      <c r="I336" s="163">
        <v>8057</v>
      </c>
      <c r="K336" s="168"/>
    </row>
    <row r="337" spans="1:11" x14ac:dyDescent="0.25">
      <c r="A337" s="164" t="s">
        <v>428</v>
      </c>
      <c r="B337" s="164" t="s">
        <v>516</v>
      </c>
      <c r="C337" s="170">
        <v>38986</v>
      </c>
      <c r="D337" s="171">
        <f t="shared" si="8"/>
        <v>2006</v>
      </c>
      <c r="E337" s="167" t="s">
        <v>533</v>
      </c>
      <c r="F337" s="163">
        <v>400</v>
      </c>
      <c r="G337" s="163">
        <v>8128</v>
      </c>
      <c r="H337" s="163">
        <v>3388</v>
      </c>
      <c r="I337" s="163">
        <v>4740</v>
      </c>
      <c r="K337" s="168"/>
    </row>
    <row r="338" spans="1:11" x14ac:dyDescent="0.25">
      <c r="A338" s="164" t="s">
        <v>428</v>
      </c>
      <c r="B338" s="164" t="s">
        <v>517</v>
      </c>
      <c r="C338" s="170">
        <v>38987</v>
      </c>
      <c r="D338" s="171">
        <f t="shared" si="8"/>
        <v>2006</v>
      </c>
      <c r="E338" s="167" t="s">
        <v>546</v>
      </c>
      <c r="F338" s="163">
        <v>1000</v>
      </c>
      <c r="G338" s="163">
        <v>24420</v>
      </c>
      <c r="H338" s="163">
        <v>10220</v>
      </c>
      <c r="I338" s="163">
        <v>14200</v>
      </c>
      <c r="K338" s="168"/>
    </row>
    <row r="339" spans="1:11" x14ac:dyDescent="0.25">
      <c r="A339" s="164" t="s">
        <v>428</v>
      </c>
      <c r="B339" s="164" t="s">
        <v>515</v>
      </c>
      <c r="C339" s="170">
        <v>38989</v>
      </c>
      <c r="D339" s="171">
        <f t="shared" si="8"/>
        <v>2006</v>
      </c>
      <c r="E339" s="167" t="s">
        <v>529</v>
      </c>
      <c r="F339" s="163">
        <v>400</v>
      </c>
      <c r="G339" s="163">
        <v>8204</v>
      </c>
      <c r="H339" s="163">
        <v>3936</v>
      </c>
      <c r="I339" s="163">
        <v>4268</v>
      </c>
      <c r="K339" s="168"/>
    </row>
    <row r="340" spans="1:11" x14ac:dyDescent="0.25">
      <c r="A340" s="164" t="s">
        <v>527</v>
      </c>
      <c r="B340" s="164" t="s">
        <v>516</v>
      </c>
      <c r="C340" s="170">
        <v>38990</v>
      </c>
      <c r="D340" s="171">
        <f t="shared" si="8"/>
        <v>2006</v>
      </c>
      <c r="E340" s="167" t="s">
        <v>531</v>
      </c>
      <c r="F340" s="163">
        <v>400</v>
      </c>
      <c r="G340" s="163">
        <v>7180</v>
      </c>
      <c r="H340" s="163">
        <v>3388</v>
      </c>
      <c r="I340" s="163">
        <v>3792</v>
      </c>
      <c r="K340" s="168"/>
    </row>
    <row r="341" spans="1:11" x14ac:dyDescent="0.25">
      <c r="A341" s="164" t="s">
        <v>422</v>
      </c>
      <c r="B341" s="164" t="s">
        <v>517</v>
      </c>
      <c r="C341" s="170">
        <v>38991</v>
      </c>
      <c r="D341" s="171">
        <f t="shared" si="8"/>
        <v>2006</v>
      </c>
      <c r="E341" s="167" t="s">
        <v>532</v>
      </c>
      <c r="F341" s="163">
        <v>900</v>
      </c>
      <c r="G341" s="163">
        <v>22887</v>
      </c>
      <c r="H341" s="163">
        <v>9198</v>
      </c>
      <c r="I341" s="163">
        <v>13689</v>
      </c>
      <c r="K341" s="168"/>
    </row>
    <row r="342" spans="1:11" x14ac:dyDescent="0.25">
      <c r="A342" s="164" t="s">
        <v>527</v>
      </c>
      <c r="B342" s="164" t="s">
        <v>516</v>
      </c>
      <c r="C342" s="170">
        <v>38992</v>
      </c>
      <c r="D342" s="171">
        <f t="shared" si="8"/>
        <v>2006</v>
      </c>
      <c r="E342" s="167" t="s">
        <v>536</v>
      </c>
      <c r="F342" s="163">
        <v>500</v>
      </c>
      <c r="G342" s="163">
        <v>8715</v>
      </c>
      <c r="H342" s="163">
        <v>4235</v>
      </c>
      <c r="I342" s="163">
        <v>4480</v>
      </c>
      <c r="K342" s="168"/>
    </row>
    <row r="343" spans="1:11" x14ac:dyDescent="0.25">
      <c r="A343" s="164" t="s">
        <v>527</v>
      </c>
      <c r="B343" s="164" t="s">
        <v>516</v>
      </c>
      <c r="C343" s="170">
        <v>38994</v>
      </c>
      <c r="D343" s="171">
        <f t="shared" si="8"/>
        <v>2006</v>
      </c>
      <c r="E343" s="167" t="s">
        <v>532</v>
      </c>
      <c r="F343" s="163">
        <v>300</v>
      </c>
      <c r="G343" s="163">
        <v>5157</v>
      </c>
      <c r="H343" s="163">
        <v>2541</v>
      </c>
      <c r="I343" s="163">
        <v>2616</v>
      </c>
      <c r="K343" s="168"/>
    </row>
    <row r="344" spans="1:11" x14ac:dyDescent="0.25">
      <c r="A344" s="164" t="s">
        <v>428</v>
      </c>
      <c r="B344" s="164" t="s">
        <v>517</v>
      </c>
      <c r="C344" s="170">
        <v>38994</v>
      </c>
      <c r="D344" s="171">
        <f t="shared" si="8"/>
        <v>2006</v>
      </c>
      <c r="E344" s="167" t="s">
        <v>531</v>
      </c>
      <c r="F344" s="163">
        <v>400</v>
      </c>
      <c r="G344" s="163">
        <v>8580</v>
      </c>
      <c r="H344" s="163">
        <v>4088</v>
      </c>
      <c r="I344" s="163">
        <v>4492</v>
      </c>
      <c r="K344" s="168"/>
    </row>
    <row r="345" spans="1:11" x14ac:dyDescent="0.25">
      <c r="A345" s="164" t="s">
        <v>422</v>
      </c>
      <c r="B345" s="164" t="s">
        <v>515</v>
      </c>
      <c r="C345" s="170">
        <v>38997</v>
      </c>
      <c r="D345" s="171">
        <f t="shared" si="8"/>
        <v>2006</v>
      </c>
      <c r="E345" s="167" t="s">
        <v>536</v>
      </c>
      <c r="F345" s="163">
        <v>400</v>
      </c>
      <c r="G345" s="163">
        <v>8052</v>
      </c>
      <c r="H345" s="163">
        <v>3936</v>
      </c>
      <c r="I345" s="163">
        <v>4116</v>
      </c>
      <c r="K345" s="168"/>
    </row>
    <row r="346" spans="1:11" x14ac:dyDescent="0.25">
      <c r="A346" s="164" t="s">
        <v>428</v>
      </c>
      <c r="B346" s="164" t="s">
        <v>517</v>
      </c>
      <c r="C346" s="170">
        <v>38999</v>
      </c>
      <c r="D346" s="171">
        <f t="shared" si="8"/>
        <v>2006</v>
      </c>
      <c r="E346" s="167" t="s">
        <v>533</v>
      </c>
      <c r="F346" s="163">
        <v>300</v>
      </c>
      <c r="G346" s="163">
        <v>6744</v>
      </c>
      <c r="H346" s="163">
        <v>3066</v>
      </c>
      <c r="I346" s="163">
        <v>3678</v>
      </c>
      <c r="K346" s="168"/>
    </row>
    <row r="347" spans="1:11" x14ac:dyDescent="0.25">
      <c r="A347" s="164" t="s">
        <v>527</v>
      </c>
      <c r="B347" s="164" t="s">
        <v>516</v>
      </c>
      <c r="C347" s="170">
        <v>39000</v>
      </c>
      <c r="D347" s="171">
        <f t="shared" si="8"/>
        <v>2006</v>
      </c>
      <c r="E347" s="167" t="s">
        <v>532</v>
      </c>
      <c r="F347" s="163">
        <v>300</v>
      </c>
      <c r="G347" s="163">
        <v>5358</v>
      </c>
      <c r="H347" s="163">
        <v>2541</v>
      </c>
      <c r="I347" s="163">
        <v>2817</v>
      </c>
      <c r="K347" s="168"/>
    </row>
    <row r="348" spans="1:11" x14ac:dyDescent="0.25">
      <c r="A348" s="164" t="s">
        <v>428</v>
      </c>
      <c r="B348" s="164" t="s">
        <v>515</v>
      </c>
      <c r="C348" s="170">
        <v>39004</v>
      </c>
      <c r="D348" s="171">
        <f t="shared" si="8"/>
        <v>2006</v>
      </c>
      <c r="E348" s="167" t="s">
        <v>549</v>
      </c>
      <c r="F348" s="163">
        <v>800</v>
      </c>
      <c r="G348" s="163">
        <v>18552</v>
      </c>
      <c r="H348" s="163">
        <v>7872</v>
      </c>
      <c r="I348" s="163">
        <v>10680</v>
      </c>
      <c r="K348" s="168"/>
    </row>
    <row r="349" spans="1:11" x14ac:dyDescent="0.25">
      <c r="A349" s="164" t="s">
        <v>527</v>
      </c>
      <c r="B349" s="164" t="s">
        <v>515</v>
      </c>
      <c r="C349" s="170">
        <v>39006</v>
      </c>
      <c r="D349" s="171">
        <f t="shared" si="8"/>
        <v>2006</v>
      </c>
      <c r="E349" s="167" t="s">
        <v>546</v>
      </c>
      <c r="F349" s="163">
        <v>1000</v>
      </c>
      <c r="G349" s="163">
        <v>22140</v>
      </c>
      <c r="H349" s="163">
        <v>9840</v>
      </c>
      <c r="I349" s="163">
        <v>12300</v>
      </c>
      <c r="K349" s="168"/>
    </row>
    <row r="350" spans="1:11" x14ac:dyDescent="0.25">
      <c r="A350" s="164" t="s">
        <v>428</v>
      </c>
      <c r="B350" s="164" t="s">
        <v>516</v>
      </c>
      <c r="C350" s="170">
        <v>39007</v>
      </c>
      <c r="D350" s="171">
        <f t="shared" si="8"/>
        <v>2006</v>
      </c>
      <c r="E350" s="167" t="s">
        <v>524</v>
      </c>
      <c r="F350" s="163">
        <v>800</v>
      </c>
      <c r="G350" s="163">
        <v>15592</v>
      </c>
      <c r="H350" s="163">
        <v>6776</v>
      </c>
      <c r="I350" s="163">
        <v>8816</v>
      </c>
      <c r="K350" s="168"/>
    </row>
    <row r="351" spans="1:11" x14ac:dyDescent="0.25">
      <c r="A351" s="164" t="s">
        <v>428</v>
      </c>
      <c r="B351" s="164" t="s">
        <v>516</v>
      </c>
      <c r="C351" s="170">
        <v>39008</v>
      </c>
      <c r="D351" s="171">
        <f t="shared" si="8"/>
        <v>2006</v>
      </c>
      <c r="E351" s="167" t="s">
        <v>528</v>
      </c>
      <c r="F351" s="163">
        <v>100</v>
      </c>
      <c r="G351" s="163">
        <v>1982</v>
      </c>
      <c r="H351" s="163">
        <v>847</v>
      </c>
      <c r="I351" s="163">
        <v>1135</v>
      </c>
      <c r="K351" s="168"/>
    </row>
    <row r="352" spans="1:11" x14ac:dyDescent="0.25">
      <c r="A352" s="164" t="s">
        <v>422</v>
      </c>
      <c r="B352" s="164" t="s">
        <v>516</v>
      </c>
      <c r="C352" s="170">
        <v>39010</v>
      </c>
      <c r="D352" s="171">
        <f t="shared" si="8"/>
        <v>2006</v>
      </c>
      <c r="E352" s="167" t="s">
        <v>522</v>
      </c>
      <c r="F352" s="163">
        <v>300</v>
      </c>
      <c r="G352" s="163">
        <v>6063</v>
      </c>
      <c r="H352" s="163">
        <v>2541</v>
      </c>
      <c r="I352" s="163">
        <v>3522</v>
      </c>
      <c r="K352" s="168"/>
    </row>
    <row r="353" spans="1:11" x14ac:dyDescent="0.25">
      <c r="A353" s="164" t="s">
        <v>527</v>
      </c>
      <c r="B353" s="164" t="s">
        <v>517</v>
      </c>
      <c r="C353" s="170">
        <v>39011</v>
      </c>
      <c r="D353" s="171">
        <f t="shared" si="8"/>
        <v>2006</v>
      </c>
      <c r="E353" s="167" t="s">
        <v>532</v>
      </c>
      <c r="F353" s="163">
        <v>300</v>
      </c>
      <c r="G353" s="163">
        <v>6660</v>
      </c>
      <c r="H353" s="163">
        <v>3066</v>
      </c>
      <c r="I353" s="163">
        <v>3594</v>
      </c>
      <c r="K353" s="168"/>
    </row>
    <row r="354" spans="1:11" x14ac:dyDescent="0.25">
      <c r="A354" s="164" t="s">
        <v>527</v>
      </c>
      <c r="B354" s="164" t="s">
        <v>516</v>
      </c>
      <c r="C354" s="170">
        <v>39015</v>
      </c>
      <c r="D354" s="171">
        <f t="shared" si="8"/>
        <v>2006</v>
      </c>
      <c r="E354" s="167" t="s">
        <v>532</v>
      </c>
      <c r="F354" s="163">
        <v>600</v>
      </c>
      <c r="G354" s="163">
        <v>11700</v>
      </c>
      <c r="H354" s="163">
        <v>5082</v>
      </c>
      <c r="I354" s="163">
        <v>6618</v>
      </c>
      <c r="K354" s="168"/>
    </row>
    <row r="355" spans="1:11" x14ac:dyDescent="0.25">
      <c r="A355" s="164" t="s">
        <v>428</v>
      </c>
      <c r="B355" s="164" t="s">
        <v>517</v>
      </c>
      <c r="C355" s="170">
        <v>39017</v>
      </c>
      <c r="D355" s="171">
        <f t="shared" si="8"/>
        <v>2006</v>
      </c>
      <c r="E355" s="167" t="s">
        <v>530</v>
      </c>
      <c r="F355" s="163">
        <v>500</v>
      </c>
      <c r="G355" s="163">
        <v>12425</v>
      </c>
      <c r="H355" s="163">
        <v>5110</v>
      </c>
      <c r="I355" s="163">
        <v>7315</v>
      </c>
      <c r="K355" s="168"/>
    </row>
    <row r="356" spans="1:11" x14ac:dyDescent="0.25">
      <c r="A356" s="164" t="s">
        <v>527</v>
      </c>
      <c r="B356" s="164" t="s">
        <v>515</v>
      </c>
      <c r="C356" s="170">
        <v>39024</v>
      </c>
      <c r="D356" s="171">
        <f t="shared" si="8"/>
        <v>2006</v>
      </c>
      <c r="E356" s="167" t="s">
        <v>528</v>
      </c>
      <c r="F356" s="163">
        <v>600</v>
      </c>
      <c r="G356" s="163">
        <v>12282</v>
      </c>
      <c r="H356" s="163">
        <v>5904</v>
      </c>
      <c r="I356" s="163">
        <v>6378</v>
      </c>
      <c r="K356" s="168"/>
    </row>
    <row r="357" spans="1:11" x14ac:dyDescent="0.25">
      <c r="A357" s="164" t="s">
        <v>428</v>
      </c>
      <c r="B357" s="164" t="s">
        <v>517</v>
      </c>
      <c r="C357" s="170">
        <v>39024</v>
      </c>
      <c r="D357" s="171">
        <f t="shared" si="8"/>
        <v>2006</v>
      </c>
      <c r="E357" s="167" t="s">
        <v>543</v>
      </c>
      <c r="F357" s="163">
        <v>400</v>
      </c>
      <c r="G357" s="163">
        <v>9152</v>
      </c>
      <c r="H357" s="163">
        <v>4088</v>
      </c>
      <c r="I357" s="163">
        <v>5064</v>
      </c>
      <c r="K357" s="168"/>
    </row>
    <row r="358" spans="1:11" x14ac:dyDescent="0.25">
      <c r="A358" s="164" t="s">
        <v>428</v>
      </c>
      <c r="B358" s="164" t="s">
        <v>515</v>
      </c>
      <c r="C358" s="170">
        <v>39025</v>
      </c>
      <c r="D358" s="171">
        <f t="shared" si="8"/>
        <v>2006</v>
      </c>
      <c r="E358" s="167" t="s">
        <v>533</v>
      </c>
      <c r="F358" s="163">
        <v>500</v>
      </c>
      <c r="G358" s="163">
        <v>11725</v>
      </c>
      <c r="H358" s="163">
        <v>4920</v>
      </c>
      <c r="I358" s="163">
        <v>6805</v>
      </c>
      <c r="K358" s="168"/>
    </row>
    <row r="359" spans="1:11" x14ac:dyDescent="0.25">
      <c r="A359" s="164" t="s">
        <v>527</v>
      </c>
      <c r="B359" s="164" t="s">
        <v>516</v>
      </c>
      <c r="C359" s="170">
        <v>39027</v>
      </c>
      <c r="D359" s="171">
        <f t="shared" si="8"/>
        <v>2006</v>
      </c>
      <c r="E359" s="167" t="s">
        <v>533</v>
      </c>
      <c r="F359" s="163">
        <v>100</v>
      </c>
      <c r="G359" s="163">
        <v>2111</v>
      </c>
      <c r="H359" s="163">
        <v>847</v>
      </c>
      <c r="I359" s="163">
        <v>1264</v>
      </c>
      <c r="K359" s="168"/>
    </row>
    <row r="360" spans="1:11" x14ac:dyDescent="0.25">
      <c r="A360" s="164" t="s">
        <v>422</v>
      </c>
      <c r="B360" s="164" t="s">
        <v>516</v>
      </c>
      <c r="C360" s="170">
        <v>39028</v>
      </c>
      <c r="D360" s="171">
        <f t="shared" si="8"/>
        <v>2006</v>
      </c>
      <c r="E360" s="167" t="s">
        <v>532</v>
      </c>
      <c r="F360" s="163">
        <v>200</v>
      </c>
      <c r="G360" s="163">
        <v>3876</v>
      </c>
      <c r="H360" s="163">
        <v>1694</v>
      </c>
      <c r="I360" s="163">
        <v>2182</v>
      </c>
      <c r="K360" s="168"/>
    </row>
    <row r="361" spans="1:11" x14ac:dyDescent="0.25">
      <c r="A361" s="164" t="s">
        <v>422</v>
      </c>
      <c r="B361" s="164" t="s">
        <v>515</v>
      </c>
      <c r="C361" s="170">
        <v>39029</v>
      </c>
      <c r="D361" s="171">
        <f t="shared" si="8"/>
        <v>2006</v>
      </c>
      <c r="E361" s="167" t="s">
        <v>529</v>
      </c>
      <c r="F361" s="163">
        <v>100</v>
      </c>
      <c r="G361" s="163">
        <v>2410</v>
      </c>
      <c r="H361" s="163">
        <v>984</v>
      </c>
      <c r="I361" s="163">
        <v>1426</v>
      </c>
      <c r="K361" s="168"/>
    </row>
    <row r="362" spans="1:11" x14ac:dyDescent="0.25">
      <c r="A362" s="164" t="s">
        <v>422</v>
      </c>
      <c r="B362" s="164" t="s">
        <v>516</v>
      </c>
      <c r="C362" s="170">
        <v>39030</v>
      </c>
      <c r="D362" s="171">
        <f t="shared" si="8"/>
        <v>2006</v>
      </c>
      <c r="E362" s="167" t="s">
        <v>530</v>
      </c>
      <c r="F362" s="163">
        <v>100</v>
      </c>
      <c r="G362" s="163">
        <v>1878</v>
      </c>
      <c r="H362" s="163">
        <v>847</v>
      </c>
      <c r="I362" s="163">
        <v>1031</v>
      </c>
      <c r="K362" s="168"/>
    </row>
    <row r="363" spans="1:11" x14ac:dyDescent="0.25">
      <c r="A363" s="164" t="s">
        <v>422</v>
      </c>
      <c r="B363" s="164" t="s">
        <v>517</v>
      </c>
      <c r="C363" s="170">
        <v>39033</v>
      </c>
      <c r="D363" s="171">
        <f t="shared" si="8"/>
        <v>2006</v>
      </c>
      <c r="E363" s="167" t="s">
        <v>523</v>
      </c>
      <c r="F363" s="163">
        <v>400</v>
      </c>
      <c r="G363" s="163">
        <v>8732</v>
      </c>
      <c r="H363" s="163">
        <v>4088</v>
      </c>
      <c r="I363" s="163">
        <v>4644</v>
      </c>
      <c r="K363" s="168"/>
    </row>
    <row r="364" spans="1:11" x14ac:dyDescent="0.25">
      <c r="A364" s="164" t="s">
        <v>422</v>
      </c>
      <c r="B364" s="164" t="s">
        <v>517</v>
      </c>
      <c r="C364" s="170">
        <v>39034</v>
      </c>
      <c r="D364" s="171">
        <f t="shared" si="8"/>
        <v>2006</v>
      </c>
      <c r="E364" s="167" t="s">
        <v>549</v>
      </c>
      <c r="F364" s="163">
        <v>800</v>
      </c>
      <c r="G364" s="163">
        <v>17728</v>
      </c>
      <c r="H364" s="163">
        <v>8176</v>
      </c>
      <c r="I364" s="163">
        <v>9552</v>
      </c>
      <c r="K364" s="168"/>
    </row>
    <row r="365" spans="1:11" x14ac:dyDescent="0.25">
      <c r="A365" s="164" t="s">
        <v>422</v>
      </c>
      <c r="B365" s="164" t="s">
        <v>517</v>
      </c>
      <c r="C365" s="170">
        <v>39034</v>
      </c>
      <c r="D365" s="171">
        <f t="shared" si="8"/>
        <v>2006</v>
      </c>
      <c r="E365" s="167" t="s">
        <v>523</v>
      </c>
      <c r="F365" s="163">
        <v>900</v>
      </c>
      <c r="G365" s="163">
        <v>18666</v>
      </c>
      <c r="H365" s="163">
        <v>9198</v>
      </c>
      <c r="I365" s="163">
        <v>9468</v>
      </c>
      <c r="K365" s="168"/>
    </row>
    <row r="366" spans="1:11" x14ac:dyDescent="0.25">
      <c r="A366" s="164" t="s">
        <v>422</v>
      </c>
      <c r="B366" s="164" t="s">
        <v>515</v>
      </c>
      <c r="C366" s="170">
        <v>39036</v>
      </c>
      <c r="D366" s="171">
        <f t="shared" si="8"/>
        <v>2006</v>
      </c>
      <c r="E366" s="167" t="s">
        <v>522</v>
      </c>
      <c r="F366" s="163">
        <v>400</v>
      </c>
      <c r="G366" s="163">
        <v>8776</v>
      </c>
      <c r="H366" s="163">
        <v>3936</v>
      </c>
      <c r="I366" s="163">
        <v>4840</v>
      </c>
      <c r="K366" s="168"/>
    </row>
    <row r="367" spans="1:11" x14ac:dyDescent="0.25">
      <c r="A367" s="164" t="s">
        <v>527</v>
      </c>
      <c r="B367" s="164" t="s">
        <v>515</v>
      </c>
      <c r="C367" s="170">
        <v>39038</v>
      </c>
      <c r="D367" s="171">
        <f t="shared" si="8"/>
        <v>2006</v>
      </c>
      <c r="E367" s="167" t="s">
        <v>524</v>
      </c>
      <c r="F367" s="163">
        <v>500</v>
      </c>
      <c r="G367" s="163">
        <v>11660</v>
      </c>
      <c r="H367" s="163">
        <v>4920</v>
      </c>
      <c r="I367" s="163">
        <v>6740</v>
      </c>
      <c r="K367" s="168"/>
    </row>
    <row r="368" spans="1:11" x14ac:dyDescent="0.25">
      <c r="A368" s="164" t="s">
        <v>422</v>
      </c>
      <c r="B368" s="164" t="s">
        <v>515</v>
      </c>
      <c r="C368" s="170">
        <v>39038</v>
      </c>
      <c r="D368" s="171">
        <f t="shared" si="8"/>
        <v>2006</v>
      </c>
      <c r="E368" s="167" t="s">
        <v>536</v>
      </c>
      <c r="F368" s="163">
        <v>800</v>
      </c>
      <c r="G368" s="163">
        <v>18904</v>
      </c>
      <c r="H368" s="163">
        <v>7872</v>
      </c>
      <c r="I368" s="163">
        <v>11032</v>
      </c>
      <c r="K368" s="168"/>
    </row>
    <row r="369" spans="1:11" x14ac:dyDescent="0.25">
      <c r="A369" s="164" t="s">
        <v>428</v>
      </c>
      <c r="B369" s="164" t="s">
        <v>515</v>
      </c>
      <c r="C369" s="170">
        <v>39038</v>
      </c>
      <c r="D369" s="171">
        <f t="shared" si="8"/>
        <v>2006</v>
      </c>
      <c r="E369" s="167" t="s">
        <v>532</v>
      </c>
      <c r="F369" s="163">
        <v>700</v>
      </c>
      <c r="G369" s="163">
        <v>16170</v>
      </c>
      <c r="H369" s="163">
        <v>6888</v>
      </c>
      <c r="I369" s="163">
        <v>9282</v>
      </c>
      <c r="K369" s="168"/>
    </row>
    <row r="370" spans="1:11" x14ac:dyDescent="0.25">
      <c r="A370" s="164" t="s">
        <v>428</v>
      </c>
      <c r="B370" s="164" t="s">
        <v>516</v>
      </c>
      <c r="C370" s="170">
        <v>39039</v>
      </c>
      <c r="D370" s="171">
        <f t="shared" si="8"/>
        <v>2006</v>
      </c>
      <c r="E370" s="167" t="s">
        <v>532</v>
      </c>
      <c r="F370" s="163">
        <v>400</v>
      </c>
      <c r="G370" s="163">
        <v>8132</v>
      </c>
      <c r="H370" s="163">
        <v>3388</v>
      </c>
      <c r="I370" s="163">
        <v>4744</v>
      </c>
      <c r="K370" s="168"/>
    </row>
    <row r="371" spans="1:11" x14ac:dyDescent="0.25">
      <c r="A371" s="164" t="s">
        <v>527</v>
      </c>
      <c r="B371" s="164" t="s">
        <v>516</v>
      </c>
      <c r="C371" s="170">
        <v>39039</v>
      </c>
      <c r="D371" s="171">
        <f t="shared" si="8"/>
        <v>2006</v>
      </c>
      <c r="E371" s="167" t="s">
        <v>531</v>
      </c>
      <c r="F371" s="163">
        <v>300</v>
      </c>
      <c r="G371" s="163">
        <v>5508</v>
      </c>
      <c r="H371" s="163">
        <v>2541</v>
      </c>
      <c r="I371" s="163">
        <v>2967</v>
      </c>
      <c r="K371" s="168"/>
    </row>
    <row r="372" spans="1:11" x14ac:dyDescent="0.25">
      <c r="A372" s="164" t="s">
        <v>428</v>
      </c>
      <c r="B372" s="164" t="s">
        <v>516</v>
      </c>
      <c r="C372" s="170">
        <v>39040</v>
      </c>
      <c r="D372" s="171">
        <f t="shared" si="8"/>
        <v>2006</v>
      </c>
      <c r="E372" s="167" t="s">
        <v>523</v>
      </c>
      <c r="F372" s="163">
        <v>200</v>
      </c>
      <c r="G372" s="163">
        <v>4012</v>
      </c>
      <c r="H372" s="163">
        <v>1694</v>
      </c>
      <c r="I372" s="163">
        <v>2318</v>
      </c>
      <c r="K372" s="168"/>
    </row>
    <row r="373" spans="1:11" x14ac:dyDescent="0.25">
      <c r="A373" s="164" t="s">
        <v>428</v>
      </c>
      <c r="B373" s="164" t="s">
        <v>515</v>
      </c>
      <c r="C373" s="170">
        <v>39042</v>
      </c>
      <c r="D373" s="171">
        <f t="shared" si="8"/>
        <v>2006</v>
      </c>
      <c r="E373" s="167" t="s">
        <v>533</v>
      </c>
      <c r="F373" s="163">
        <v>700</v>
      </c>
      <c r="G373" s="163">
        <v>16765</v>
      </c>
      <c r="H373" s="163">
        <v>6888</v>
      </c>
      <c r="I373" s="163">
        <v>9877</v>
      </c>
      <c r="K373" s="168"/>
    </row>
    <row r="374" spans="1:11" x14ac:dyDescent="0.25">
      <c r="A374" s="164" t="s">
        <v>428</v>
      </c>
      <c r="B374" s="164" t="s">
        <v>516</v>
      </c>
      <c r="C374" s="170">
        <v>39043</v>
      </c>
      <c r="D374" s="171">
        <f t="shared" si="8"/>
        <v>2006</v>
      </c>
      <c r="E374" s="167" t="s">
        <v>536</v>
      </c>
      <c r="F374" s="163">
        <v>600</v>
      </c>
      <c r="G374" s="163">
        <v>11274</v>
      </c>
      <c r="H374" s="163">
        <v>5082</v>
      </c>
      <c r="I374" s="163">
        <v>6192</v>
      </c>
      <c r="K374" s="168"/>
    </row>
    <row r="375" spans="1:11" x14ac:dyDescent="0.25">
      <c r="A375" s="164" t="s">
        <v>527</v>
      </c>
      <c r="B375" s="164" t="s">
        <v>517</v>
      </c>
      <c r="C375" s="170">
        <v>39046</v>
      </c>
      <c r="D375" s="171">
        <f t="shared" si="8"/>
        <v>2006</v>
      </c>
      <c r="E375" s="167" t="s">
        <v>528</v>
      </c>
      <c r="F375" s="163">
        <v>600</v>
      </c>
      <c r="G375" s="163">
        <v>13542</v>
      </c>
      <c r="H375" s="163">
        <v>6132</v>
      </c>
      <c r="I375" s="163">
        <v>7410</v>
      </c>
      <c r="K375" s="168"/>
    </row>
    <row r="376" spans="1:11" x14ac:dyDescent="0.25">
      <c r="A376" s="164" t="s">
        <v>527</v>
      </c>
      <c r="B376" s="164" t="s">
        <v>516</v>
      </c>
      <c r="C376" s="170">
        <v>39047</v>
      </c>
      <c r="D376" s="171">
        <f t="shared" si="8"/>
        <v>2006</v>
      </c>
      <c r="E376" s="167" t="s">
        <v>528</v>
      </c>
      <c r="F376" s="163">
        <v>400</v>
      </c>
      <c r="G376" s="163">
        <v>7852</v>
      </c>
      <c r="H376" s="163">
        <v>3388</v>
      </c>
      <c r="I376" s="163">
        <v>4464</v>
      </c>
      <c r="K376" s="168"/>
    </row>
    <row r="377" spans="1:11" x14ac:dyDescent="0.25">
      <c r="A377" s="164" t="s">
        <v>527</v>
      </c>
      <c r="B377" s="164" t="s">
        <v>517</v>
      </c>
      <c r="C377" s="170">
        <v>39048</v>
      </c>
      <c r="D377" s="171">
        <f t="shared" si="8"/>
        <v>2006</v>
      </c>
      <c r="E377" s="167" t="s">
        <v>529</v>
      </c>
      <c r="F377" s="163">
        <v>500</v>
      </c>
      <c r="G377" s="163">
        <v>10400</v>
      </c>
      <c r="H377" s="163">
        <v>5110</v>
      </c>
      <c r="I377" s="163">
        <v>5290</v>
      </c>
      <c r="K377" s="168"/>
    </row>
    <row r="378" spans="1:11" x14ac:dyDescent="0.25">
      <c r="A378" s="164" t="s">
        <v>422</v>
      </c>
      <c r="B378" s="164" t="s">
        <v>516</v>
      </c>
      <c r="C378" s="170">
        <v>39048</v>
      </c>
      <c r="D378" s="171">
        <f t="shared" si="8"/>
        <v>2006</v>
      </c>
      <c r="E378" s="167" t="s">
        <v>534</v>
      </c>
      <c r="F378" s="163">
        <v>1000</v>
      </c>
      <c r="G378" s="163">
        <v>17250</v>
      </c>
      <c r="H378" s="163">
        <v>8470</v>
      </c>
      <c r="I378" s="163">
        <v>8780</v>
      </c>
      <c r="K378" s="168"/>
    </row>
    <row r="379" spans="1:11" x14ac:dyDescent="0.25">
      <c r="A379" s="164" t="s">
        <v>527</v>
      </c>
      <c r="B379" s="164" t="s">
        <v>515</v>
      </c>
      <c r="C379" s="170">
        <v>39055</v>
      </c>
      <c r="D379" s="171">
        <f t="shared" si="8"/>
        <v>2006</v>
      </c>
      <c r="E379" s="167" t="s">
        <v>529</v>
      </c>
      <c r="F379" s="163">
        <v>500</v>
      </c>
      <c r="G379" s="163">
        <v>11430</v>
      </c>
      <c r="H379" s="163">
        <v>4920</v>
      </c>
      <c r="I379" s="163">
        <v>6510</v>
      </c>
      <c r="K379" s="168"/>
    </row>
    <row r="380" spans="1:11" x14ac:dyDescent="0.25">
      <c r="A380" s="164" t="s">
        <v>527</v>
      </c>
      <c r="B380" s="164" t="s">
        <v>517</v>
      </c>
      <c r="C380" s="170">
        <v>39062</v>
      </c>
      <c r="D380" s="171">
        <f t="shared" si="8"/>
        <v>2006</v>
      </c>
      <c r="E380" s="167" t="s">
        <v>530</v>
      </c>
      <c r="F380" s="163">
        <v>200</v>
      </c>
      <c r="G380" s="163">
        <v>4722</v>
      </c>
      <c r="H380" s="163">
        <v>2044</v>
      </c>
      <c r="I380" s="163">
        <v>2678</v>
      </c>
      <c r="K380" s="168"/>
    </row>
    <row r="381" spans="1:11" x14ac:dyDescent="0.25">
      <c r="A381" s="164" t="s">
        <v>527</v>
      </c>
      <c r="B381" s="164" t="s">
        <v>515</v>
      </c>
      <c r="C381" s="170">
        <v>39066</v>
      </c>
      <c r="D381" s="171">
        <f t="shared" si="8"/>
        <v>2006</v>
      </c>
      <c r="E381" s="167" t="s">
        <v>524</v>
      </c>
      <c r="F381" s="163">
        <v>900</v>
      </c>
      <c r="G381" s="163">
        <v>21546</v>
      </c>
      <c r="H381" s="163">
        <v>8856</v>
      </c>
      <c r="I381" s="163">
        <v>12690</v>
      </c>
      <c r="K381" s="168"/>
    </row>
    <row r="382" spans="1:11" x14ac:dyDescent="0.25">
      <c r="A382" s="164" t="s">
        <v>422</v>
      </c>
      <c r="B382" s="164" t="s">
        <v>516</v>
      </c>
      <c r="C382" s="170">
        <v>39067</v>
      </c>
      <c r="D382" s="171">
        <f t="shared" si="8"/>
        <v>2006</v>
      </c>
      <c r="E382" s="167" t="s">
        <v>522</v>
      </c>
      <c r="F382" s="163">
        <v>800</v>
      </c>
      <c r="G382" s="163">
        <v>15400</v>
      </c>
      <c r="H382" s="163">
        <v>6776</v>
      </c>
      <c r="I382" s="163">
        <v>8624</v>
      </c>
      <c r="K382" s="168"/>
    </row>
    <row r="383" spans="1:11" x14ac:dyDescent="0.25">
      <c r="A383" s="164" t="s">
        <v>428</v>
      </c>
      <c r="B383" s="164" t="s">
        <v>515</v>
      </c>
      <c r="C383" s="170">
        <v>39069</v>
      </c>
      <c r="D383" s="171">
        <f t="shared" si="8"/>
        <v>2006</v>
      </c>
      <c r="E383" s="167" t="s">
        <v>530</v>
      </c>
      <c r="F383" s="163">
        <v>100</v>
      </c>
      <c r="G383" s="163">
        <v>2319</v>
      </c>
      <c r="H383" s="163">
        <v>984</v>
      </c>
      <c r="I383" s="163">
        <v>1335</v>
      </c>
      <c r="K383" s="168"/>
    </row>
    <row r="384" spans="1:11" x14ac:dyDescent="0.25">
      <c r="A384" s="164" t="s">
        <v>428</v>
      </c>
      <c r="B384" s="164" t="s">
        <v>515</v>
      </c>
      <c r="C384" s="170">
        <v>39071</v>
      </c>
      <c r="D384" s="171">
        <f t="shared" si="8"/>
        <v>2006</v>
      </c>
      <c r="E384" s="167" t="s">
        <v>529</v>
      </c>
      <c r="F384" s="163">
        <v>700</v>
      </c>
      <c r="G384" s="163">
        <v>13867</v>
      </c>
      <c r="H384" s="163">
        <v>6888</v>
      </c>
      <c r="I384" s="163">
        <v>6979</v>
      </c>
      <c r="K384" s="168"/>
    </row>
    <row r="385" spans="1:11" x14ac:dyDescent="0.25">
      <c r="A385" s="164" t="s">
        <v>422</v>
      </c>
      <c r="B385" s="164" t="s">
        <v>516</v>
      </c>
      <c r="C385" s="170">
        <v>39072</v>
      </c>
      <c r="D385" s="171">
        <f t="shared" si="8"/>
        <v>2006</v>
      </c>
      <c r="E385" s="167" t="s">
        <v>532</v>
      </c>
      <c r="F385" s="163">
        <v>1000</v>
      </c>
      <c r="G385" s="163">
        <v>19530</v>
      </c>
      <c r="H385" s="163">
        <v>8470</v>
      </c>
      <c r="I385" s="163">
        <v>11060</v>
      </c>
      <c r="K385" s="168"/>
    </row>
    <row r="386" spans="1:11" x14ac:dyDescent="0.25">
      <c r="A386" s="164" t="s">
        <v>428</v>
      </c>
      <c r="B386" s="164" t="s">
        <v>516</v>
      </c>
      <c r="C386" s="170">
        <v>39076</v>
      </c>
      <c r="D386" s="171">
        <f t="shared" si="8"/>
        <v>2006</v>
      </c>
      <c r="E386" s="167" t="s">
        <v>524</v>
      </c>
      <c r="F386" s="163">
        <v>200</v>
      </c>
      <c r="G386" s="163">
        <v>4192</v>
      </c>
      <c r="H386" s="163">
        <v>1694</v>
      </c>
      <c r="I386" s="163">
        <v>2498</v>
      </c>
      <c r="K386" s="168"/>
    </row>
    <row r="387" spans="1:11" x14ac:dyDescent="0.25">
      <c r="A387" s="164" t="s">
        <v>428</v>
      </c>
      <c r="B387" s="164" t="s">
        <v>517</v>
      </c>
      <c r="C387" s="170">
        <v>39077</v>
      </c>
      <c r="D387" s="171">
        <f t="shared" si="8"/>
        <v>2006</v>
      </c>
      <c r="E387" s="167" t="s">
        <v>533</v>
      </c>
      <c r="F387" s="163">
        <v>900</v>
      </c>
      <c r="G387" s="163">
        <v>19539</v>
      </c>
      <c r="H387" s="163">
        <v>9198</v>
      </c>
      <c r="I387" s="163">
        <v>10341</v>
      </c>
      <c r="K387" s="168"/>
    </row>
    <row r="388" spans="1:11" x14ac:dyDescent="0.25">
      <c r="A388" s="164" t="s">
        <v>428</v>
      </c>
      <c r="B388" s="164" t="s">
        <v>516</v>
      </c>
      <c r="C388" s="170">
        <v>39080</v>
      </c>
      <c r="D388" s="171">
        <f t="shared" si="8"/>
        <v>2006</v>
      </c>
      <c r="E388" s="167" t="s">
        <v>530</v>
      </c>
      <c r="F388" s="163">
        <v>900</v>
      </c>
      <c r="G388" s="163">
        <v>17289</v>
      </c>
      <c r="H388" s="163">
        <v>7623</v>
      </c>
      <c r="I388" s="163">
        <v>9666</v>
      </c>
      <c r="K388" s="168"/>
    </row>
    <row r="389" spans="1:11" x14ac:dyDescent="0.25">
      <c r="A389" s="164" t="s">
        <v>428</v>
      </c>
      <c r="B389" s="164" t="s">
        <v>517</v>
      </c>
      <c r="C389" s="170">
        <v>39081</v>
      </c>
      <c r="D389" s="171">
        <f t="shared" si="8"/>
        <v>2006</v>
      </c>
      <c r="E389" s="167" t="s">
        <v>523</v>
      </c>
      <c r="F389" s="163">
        <v>500</v>
      </c>
      <c r="G389" s="163">
        <v>10650</v>
      </c>
      <c r="H389" s="163">
        <v>5110</v>
      </c>
      <c r="I389" s="163">
        <v>5540</v>
      </c>
      <c r="K389" s="168"/>
    </row>
    <row r="390" spans="1:11" x14ac:dyDescent="0.25">
      <c r="A390" s="164" t="s">
        <v>527</v>
      </c>
      <c r="B390" s="164" t="s">
        <v>515</v>
      </c>
      <c r="C390" s="170">
        <v>39082</v>
      </c>
      <c r="D390" s="171">
        <f t="shared" si="8"/>
        <v>2006</v>
      </c>
      <c r="E390" s="167" t="s">
        <v>531</v>
      </c>
      <c r="F390" s="163">
        <v>200</v>
      </c>
      <c r="G390" s="163">
        <v>4132</v>
      </c>
      <c r="H390" s="163">
        <v>1968</v>
      </c>
      <c r="I390" s="163">
        <v>2164</v>
      </c>
      <c r="K390" s="168"/>
    </row>
    <row r="391" spans="1:11" x14ac:dyDescent="0.25">
      <c r="A391" s="164" t="s">
        <v>527</v>
      </c>
      <c r="B391" s="164" t="s">
        <v>515</v>
      </c>
      <c r="C391" s="170">
        <v>39083</v>
      </c>
      <c r="D391" s="171">
        <f t="shared" si="8"/>
        <v>2007</v>
      </c>
      <c r="E391" s="167" t="s">
        <v>544</v>
      </c>
      <c r="F391" s="163">
        <v>800</v>
      </c>
      <c r="G391" s="163">
        <v>16784</v>
      </c>
      <c r="H391" s="163">
        <v>7872</v>
      </c>
      <c r="I391" s="163">
        <v>8912</v>
      </c>
      <c r="K391" s="168"/>
    </row>
    <row r="392" spans="1:11" x14ac:dyDescent="0.25">
      <c r="A392" s="164" t="s">
        <v>527</v>
      </c>
      <c r="B392" s="164" t="s">
        <v>516</v>
      </c>
      <c r="C392" s="170">
        <v>39083</v>
      </c>
      <c r="D392" s="171">
        <f t="shared" si="8"/>
        <v>2007</v>
      </c>
      <c r="E392" s="167" t="s">
        <v>522</v>
      </c>
      <c r="F392" s="163">
        <v>300</v>
      </c>
      <c r="G392" s="163">
        <v>5886</v>
      </c>
      <c r="H392" s="163">
        <v>2541</v>
      </c>
      <c r="I392" s="163">
        <v>3345</v>
      </c>
      <c r="K392" s="168"/>
    </row>
    <row r="393" spans="1:11" x14ac:dyDescent="0.25">
      <c r="A393" s="164" t="s">
        <v>527</v>
      </c>
      <c r="B393" s="164" t="s">
        <v>517</v>
      </c>
      <c r="C393" s="170">
        <v>39084</v>
      </c>
      <c r="D393" s="171">
        <f t="shared" si="8"/>
        <v>2007</v>
      </c>
      <c r="E393" s="167" t="s">
        <v>532</v>
      </c>
      <c r="F393" s="163">
        <v>600</v>
      </c>
      <c r="G393" s="163">
        <v>13680</v>
      </c>
      <c r="H393" s="163">
        <v>6132</v>
      </c>
      <c r="I393" s="163">
        <v>7548</v>
      </c>
      <c r="K393" s="168"/>
    </row>
    <row r="394" spans="1:11" x14ac:dyDescent="0.25">
      <c r="A394" s="164" t="s">
        <v>527</v>
      </c>
      <c r="B394" s="164" t="s">
        <v>517</v>
      </c>
      <c r="C394" s="170">
        <v>39085</v>
      </c>
      <c r="D394" s="171">
        <f t="shared" ref="D394:D457" si="9">YEAR(C394)</f>
        <v>2007</v>
      </c>
      <c r="E394" s="167" t="s">
        <v>523</v>
      </c>
      <c r="F394" s="163">
        <v>100</v>
      </c>
      <c r="G394" s="163">
        <v>2092</v>
      </c>
      <c r="H394" s="163">
        <v>1022</v>
      </c>
      <c r="I394" s="163">
        <v>1070</v>
      </c>
      <c r="K394" s="168"/>
    </row>
    <row r="395" spans="1:11" x14ac:dyDescent="0.25">
      <c r="A395" s="164" t="s">
        <v>428</v>
      </c>
      <c r="B395" s="164" t="s">
        <v>515</v>
      </c>
      <c r="C395" s="170">
        <v>39085</v>
      </c>
      <c r="D395" s="171">
        <f t="shared" si="9"/>
        <v>2007</v>
      </c>
      <c r="E395" s="167" t="s">
        <v>531</v>
      </c>
      <c r="F395" s="163">
        <v>1000</v>
      </c>
      <c r="G395" s="163">
        <v>23040</v>
      </c>
      <c r="H395" s="163">
        <v>9840</v>
      </c>
      <c r="I395" s="163">
        <v>13200</v>
      </c>
      <c r="K395" s="168"/>
    </row>
    <row r="396" spans="1:11" x14ac:dyDescent="0.25">
      <c r="A396" s="164" t="s">
        <v>527</v>
      </c>
      <c r="B396" s="164" t="s">
        <v>516</v>
      </c>
      <c r="C396" s="170">
        <v>39086</v>
      </c>
      <c r="D396" s="171">
        <f t="shared" si="9"/>
        <v>2007</v>
      </c>
      <c r="E396" s="167" t="s">
        <v>522</v>
      </c>
      <c r="F396" s="163">
        <v>800</v>
      </c>
      <c r="G396" s="163">
        <v>15544</v>
      </c>
      <c r="H396" s="163">
        <v>6776</v>
      </c>
      <c r="I396" s="163">
        <v>8768</v>
      </c>
      <c r="K396" s="168"/>
    </row>
    <row r="397" spans="1:11" x14ac:dyDescent="0.25">
      <c r="A397" s="164" t="s">
        <v>422</v>
      </c>
      <c r="B397" s="164" t="s">
        <v>517</v>
      </c>
      <c r="C397" s="170">
        <v>39087</v>
      </c>
      <c r="D397" s="171">
        <f t="shared" si="9"/>
        <v>2007</v>
      </c>
      <c r="E397" s="167" t="s">
        <v>529</v>
      </c>
      <c r="F397" s="163">
        <v>400</v>
      </c>
      <c r="G397" s="163">
        <v>8284</v>
      </c>
      <c r="H397" s="163">
        <v>4088</v>
      </c>
      <c r="I397" s="163">
        <v>4196</v>
      </c>
      <c r="K397" s="168"/>
    </row>
    <row r="398" spans="1:11" x14ac:dyDescent="0.25">
      <c r="A398" s="164" t="s">
        <v>422</v>
      </c>
      <c r="B398" s="164" t="s">
        <v>516</v>
      </c>
      <c r="C398" s="170">
        <v>39097</v>
      </c>
      <c r="D398" s="171">
        <f t="shared" si="9"/>
        <v>2007</v>
      </c>
      <c r="E398" s="167" t="s">
        <v>532</v>
      </c>
      <c r="F398" s="163">
        <v>700</v>
      </c>
      <c r="G398" s="163">
        <v>12145</v>
      </c>
      <c r="H398" s="163">
        <v>5929</v>
      </c>
      <c r="I398" s="163">
        <v>6216</v>
      </c>
      <c r="K398" s="168"/>
    </row>
    <row r="399" spans="1:11" x14ac:dyDescent="0.25">
      <c r="A399" s="164" t="s">
        <v>428</v>
      </c>
      <c r="B399" s="164" t="s">
        <v>517</v>
      </c>
      <c r="C399" s="170">
        <v>39098</v>
      </c>
      <c r="D399" s="171">
        <f t="shared" si="9"/>
        <v>2007</v>
      </c>
      <c r="E399" s="167" t="s">
        <v>532</v>
      </c>
      <c r="F399" s="163">
        <v>900</v>
      </c>
      <c r="G399" s="163">
        <v>21456</v>
      </c>
      <c r="H399" s="163">
        <v>9198</v>
      </c>
      <c r="I399" s="163">
        <v>12258</v>
      </c>
      <c r="K399" s="168"/>
    </row>
    <row r="400" spans="1:11" x14ac:dyDescent="0.25">
      <c r="A400" s="164" t="s">
        <v>527</v>
      </c>
      <c r="B400" s="164" t="s">
        <v>515</v>
      </c>
      <c r="C400" s="170">
        <v>39099</v>
      </c>
      <c r="D400" s="171">
        <f t="shared" si="9"/>
        <v>2007</v>
      </c>
      <c r="E400" s="167" t="s">
        <v>528</v>
      </c>
      <c r="F400" s="163">
        <v>800</v>
      </c>
      <c r="G400" s="163">
        <v>17416</v>
      </c>
      <c r="H400" s="163">
        <v>7872</v>
      </c>
      <c r="I400" s="163">
        <v>9544</v>
      </c>
      <c r="K400" s="168"/>
    </row>
    <row r="401" spans="1:11" x14ac:dyDescent="0.25">
      <c r="A401" s="164" t="s">
        <v>422</v>
      </c>
      <c r="B401" s="164" t="s">
        <v>516</v>
      </c>
      <c r="C401" s="170">
        <v>39101</v>
      </c>
      <c r="D401" s="171">
        <f t="shared" si="9"/>
        <v>2007</v>
      </c>
      <c r="E401" s="167" t="s">
        <v>522</v>
      </c>
      <c r="F401" s="163">
        <v>100</v>
      </c>
      <c r="G401" s="163">
        <v>1741</v>
      </c>
      <c r="H401" s="163">
        <v>847</v>
      </c>
      <c r="I401" s="163">
        <v>894</v>
      </c>
      <c r="K401" s="168"/>
    </row>
    <row r="402" spans="1:11" x14ac:dyDescent="0.25">
      <c r="A402" s="164" t="s">
        <v>428</v>
      </c>
      <c r="B402" s="164" t="s">
        <v>517</v>
      </c>
      <c r="C402" s="170">
        <v>39103</v>
      </c>
      <c r="D402" s="171">
        <f t="shared" si="9"/>
        <v>2007</v>
      </c>
      <c r="E402" s="167" t="s">
        <v>532</v>
      </c>
      <c r="F402" s="163">
        <v>100</v>
      </c>
      <c r="G402" s="163">
        <v>2234</v>
      </c>
      <c r="H402" s="163">
        <v>1022</v>
      </c>
      <c r="I402" s="163">
        <v>1212</v>
      </c>
      <c r="K402" s="168"/>
    </row>
    <row r="403" spans="1:11" x14ac:dyDescent="0.25">
      <c r="A403" s="164" t="s">
        <v>422</v>
      </c>
      <c r="B403" s="164" t="s">
        <v>516</v>
      </c>
      <c r="C403" s="170">
        <v>39104</v>
      </c>
      <c r="D403" s="171">
        <f t="shared" si="9"/>
        <v>2007</v>
      </c>
      <c r="E403" s="167" t="s">
        <v>524</v>
      </c>
      <c r="F403" s="163">
        <v>800</v>
      </c>
      <c r="G403" s="163">
        <v>15488</v>
      </c>
      <c r="H403" s="163">
        <v>6776</v>
      </c>
      <c r="I403" s="163">
        <v>8712</v>
      </c>
      <c r="K403" s="168"/>
    </row>
    <row r="404" spans="1:11" x14ac:dyDescent="0.25">
      <c r="A404" s="164" t="s">
        <v>422</v>
      </c>
      <c r="B404" s="164" t="s">
        <v>517</v>
      </c>
      <c r="C404" s="170">
        <v>39104</v>
      </c>
      <c r="D404" s="171">
        <f t="shared" si="9"/>
        <v>2007</v>
      </c>
      <c r="E404" s="167" t="s">
        <v>530</v>
      </c>
      <c r="F404" s="163">
        <v>100</v>
      </c>
      <c r="G404" s="163">
        <v>2178</v>
      </c>
      <c r="H404" s="163">
        <v>1022</v>
      </c>
      <c r="I404" s="163">
        <v>1156</v>
      </c>
      <c r="K404" s="168"/>
    </row>
    <row r="405" spans="1:11" x14ac:dyDescent="0.25">
      <c r="A405" s="164" t="s">
        <v>428</v>
      </c>
      <c r="B405" s="164" t="s">
        <v>515</v>
      </c>
      <c r="C405" s="170">
        <v>39107</v>
      </c>
      <c r="D405" s="171">
        <f t="shared" si="9"/>
        <v>2007</v>
      </c>
      <c r="E405" s="167" t="s">
        <v>532</v>
      </c>
      <c r="F405" s="163">
        <v>700</v>
      </c>
      <c r="G405" s="163">
        <v>17150</v>
      </c>
      <c r="H405" s="163">
        <v>6888</v>
      </c>
      <c r="I405" s="163">
        <v>10262</v>
      </c>
      <c r="K405" s="168"/>
    </row>
    <row r="406" spans="1:11" x14ac:dyDescent="0.25">
      <c r="A406" s="164" t="s">
        <v>422</v>
      </c>
      <c r="B406" s="164" t="s">
        <v>515</v>
      </c>
      <c r="C406" s="170">
        <v>39108</v>
      </c>
      <c r="D406" s="171">
        <f t="shared" si="9"/>
        <v>2007</v>
      </c>
      <c r="E406" s="167" t="s">
        <v>524</v>
      </c>
      <c r="F406" s="163">
        <v>800</v>
      </c>
      <c r="G406" s="163">
        <v>16936</v>
      </c>
      <c r="H406" s="163">
        <v>7872</v>
      </c>
      <c r="I406" s="163">
        <v>9064</v>
      </c>
      <c r="K406" s="168"/>
    </row>
    <row r="407" spans="1:11" x14ac:dyDescent="0.25">
      <c r="A407" s="164" t="s">
        <v>428</v>
      </c>
      <c r="B407" s="164" t="s">
        <v>515</v>
      </c>
      <c r="C407" s="170">
        <v>39109</v>
      </c>
      <c r="D407" s="171">
        <f t="shared" si="9"/>
        <v>2007</v>
      </c>
      <c r="E407" s="167" t="s">
        <v>522</v>
      </c>
      <c r="F407" s="163">
        <v>900</v>
      </c>
      <c r="G407" s="163">
        <v>21708</v>
      </c>
      <c r="H407" s="163">
        <v>8856</v>
      </c>
      <c r="I407" s="163">
        <v>12852</v>
      </c>
      <c r="K407" s="168"/>
    </row>
    <row r="408" spans="1:11" x14ac:dyDescent="0.25">
      <c r="A408" s="164" t="s">
        <v>422</v>
      </c>
      <c r="B408" s="164" t="s">
        <v>516</v>
      </c>
      <c r="C408" s="170">
        <v>39110</v>
      </c>
      <c r="D408" s="171">
        <f t="shared" si="9"/>
        <v>2007</v>
      </c>
      <c r="E408" s="167" t="s">
        <v>531</v>
      </c>
      <c r="F408" s="163">
        <v>300</v>
      </c>
      <c r="G408" s="163">
        <v>5532</v>
      </c>
      <c r="H408" s="163">
        <v>2541</v>
      </c>
      <c r="I408" s="163">
        <v>2991</v>
      </c>
      <c r="K408" s="168"/>
    </row>
    <row r="409" spans="1:11" x14ac:dyDescent="0.25">
      <c r="A409" s="164" t="s">
        <v>428</v>
      </c>
      <c r="B409" s="164" t="s">
        <v>515</v>
      </c>
      <c r="C409" s="170">
        <v>39114</v>
      </c>
      <c r="D409" s="171">
        <f t="shared" si="9"/>
        <v>2007</v>
      </c>
      <c r="E409" s="167" t="s">
        <v>523</v>
      </c>
      <c r="F409" s="163">
        <v>100</v>
      </c>
      <c r="G409" s="163">
        <v>2054</v>
      </c>
      <c r="H409" s="163">
        <v>984</v>
      </c>
      <c r="I409" s="163">
        <v>1070</v>
      </c>
      <c r="K409" s="168"/>
    </row>
    <row r="410" spans="1:11" x14ac:dyDescent="0.25">
      <c r="A410" s="164" t="s">
        <v>527</v>
      </c>
      <c r="B410" s="164" t="s">
        <v>517</v>
      </c>
      <c r="C410" s="170">
        <v>39116</v>
      </c>
      <c r="D410" s="171">
        <f t="shared" si="9"/>
        <v>2007</v>
      </c>
      <c r="E410" s="167" t="s">
        <v>524</v>
      </c>
      <c r="F410" s="163">
        <v>400</v>
      </c>
      <c r="G410" s="163">
        <v>10044</v>
      </c>
      <c r="H410" s="163">
        <v>4088</v>
      </c>
      <c r="I410" s="163">
        <v>5956</v>
      </c>
      <c r="K410" s="168"/>
    </row>
    <row r="411" spans="1:11" x14ac:dyDescent="0.25">
      <c r="A411" s="164" t="s">
        <v>428</v>
      </c>
      <c r="B411" s="164" t="s">
        <v>517</v>
      </c>
      <c r="C411" s="170">
        <v>39121</v>
      </c>
      <c r="D411" s="171">
        <f t="shared" si="9"/>
        <v>2007</v>
      </c>
      <c r="E411" s="167" t="s">
        <v>522</v>
      </c>
      <c r="F411" s="163">
        <v>200</v>
      </c>
      <c r="G411" s="163">
        <v>4784</v>
      </c>
      <c r="H411" s="163">
        <v>2044</v>
      </c>
      <c r="I411" s="163">
        <v>2740</v>
      </c>
      <c r="K411" s="168"/>
    </row>
    <row r="412" spans="1:11" x14ac:dyDescent="0.25">
      <c r="A412" s="164" t="s">
        <v>527</v>
      </c>
      <c r="B412" s="164" t="s">
        <v>517</v>
      </c>
      <c r="C412" s="170">
        <v>39122</v>
      </c>
      <c r="D412" s="171">
        <f t="shared" si="9"/>
        <v>2007</v>
      </c>
      <c r="E412" s="167" t="s">
        <v>535</v>
      </c>
      <c r="F412" s="163">
        <v>200</v>
      </c>
      <c r="G412" s="163">
        <v>4614</v>
      </c>
      <c r="H412" s="163">
        <v>2044</v>
      </c>
      <c r="I412" s="163">
        <v>2570</v>
      </c>
      <c r="K412" s="168"/>
    </row>
    <row r="413" spans="1:11" x14ac:dyDescent="0.25">
      <c r="A413" s="164" t="s">
        <v>422</v>
      </c>
      <c r="B413" s="164" t="s">
        <v>517</v>
      </c>
      <c r="C413" s="170">
        <v>39123</v>
      </c>
      <c r="D413" s="171">
        <f t="shared" si="9"/>
        <v>2007</v>
      </c>
      <c r="E413" s="167" t="s">
        <v>524</v>
      </c>
      <c r="F413" s="163">
        <v>300</v>
      </c>
      <c r="G413" s="163">
        <v>6765</v>
      </c>
      <c r="H413" s="163">
        <v>3066</v>
      </c>
      <c r="I413" s="163">
        <v>3699</v>
      </c>
      <c r="K413" s="168"/>
    </row>
    <row r="414" spans="1:11" x14ac:dyDescent="0.25">
      <c r="A414" s="164" t="s">
        <v>422</v>
      </c>
      <c r="B414" s="164" t="s">
        <v>516</v>
      </c>
      <c r="C414" s="170">
        <v>39125</v>
      </c>
      <c r="D414" s="171">
        <f t="shared" si="9"/>
        <v>2007</v>
      </c>
      <c r="E414" s="167" t="s">
        <v>524</v>
      </c>
      <c r="F414" s="163">
        <v>700</v>
      </c>
      <c r="G414" s="163">
        <v>13412</v>
      </c>
      <c r="H414" s="163">
        <v>5929</v>
      </c>
      <c r="I414" s="163">
        <v>7483</v>
      </c>
      <c r="K414" s="168"/>
    </row>
    <row r="415" spans="1:11" x14ac:dyDescent="0.25">
      <c r="A415" s="164" t="s">
        <v>527</v>
      </c>
      <c r="B415" s="164" t="s">
        <v>515</v>
      </c>
      <c r="C415" s="170">
        <v>39125</v>
      </c>
      <c r="D415" s="171">
        <f t="shared" si="9"/>
        <v>2007</v>
      </c>
      <c r="E415" s="167" t="s">
        <v>522</v>
      </c>
      <c r="F415" s="163">
        <v>600</v>
      </c>
      <c r="G415" s="163">
        <v>12888</v>
      </c>
      <c r="H415" s="163">
        <v>5904</v>
      </c>
      <c r="I415" s="163">
        <v>6984</v>
      </c>
      <c r="K415" s="168"/>
    </row>
    <row r="416" spans="1:11" x14ac:dyDescent="0.25">
      <c r="A416" s="164" t="s">
        <v>428</v>
      </c>
      <c r="B416" s="164" t="s">
        <v>517</v>
      </c>
      <c r="C416" s="170">
        <v>39126</v>
      </c>
      <c r="D416" s="171">
        <f t="shared" si="9"/>
        <v>2007</v>
      </c>
      <c r="E416" s="167" t="s">
        <v>529</v>
      </c>
      <c r="F416" s="163">
        <v>1000</v>
      </c>
      <c r="G416" s="163">
        <v>22020</v>
      </c>
      <c r="H416" s="163">
        <v>10220</v>
      </c>
      <c r="I416" s="163">
        <v>11800</v>
      </c>
      <c r="K416" s="168"/>
    </row>
    <row r="417" spans="1:11" x14ac:dyDescent="0.25">
      <c r="A417" s="164" t="s">
        <v>527</v>
      </c>
      <c r="B417" s="164" t="s">
        <v>516</v>
      </c>
      <c r="C417" s="170">
        <v>39127</v>
      </c>
      <c r="D417" s="171">
        <f t="shared" si="9"/>
        <v>2007</v>
      </c>
      <c r="E417" s="167" t="s">
        <v>528</v>
      </c>
      <c r="F417" s="163">
        <v>700</v>
      </c>
      <c r="G417" s="163">
        <v>13552</v>
      </c>
      <c r="H417" s="163">
        <v>5929</v>
      </c>
      <c r="I417" s="163">
        <v>7623</v>
      </c>
      <c r="K417" s="168"/>
    </row>
    <row r="418" spans="1:11" x14ac:dyDescent="0.25">
      <c r="A418" s="164" t="s">
        <v>428</v>
      </c>
      <c r="B418" s="164" t="s">
        <v>515</v>
      </c>
      <c r="C418" s="170">
        <v>39131</v>
      </c>
      <c r="D418" s="171">
        <f t="shared" si="9"/>
        <v>2007</v>
      </c>
      <c r="E418" s="167" t="s">
        <v>533</v>
      </c>
      <c r="F418" s="163">
        <v>500</v>
      </c>
      <c r="G418" s="163">
        <v>11860</v>
      </c>
      <c r="H418" s="163">
        <v>4920</v>
      </c>
      <c r="I418" s="163">
        <v>6940</v>
      </c>
      <c r="K418" s="168"/>
    </row>
    <row r="419" spans="1:11" x14ac:dyDescent="0.25">
      <c r="A419" s="164" t="s">
        <v>428</v>
      </c>
      <c r="B419" s="164" t="s">
        <v>517</v>
      </c>
      <c r="C419" s="170">
        <v>39135</v>
      </c>
      <c r="D419" s="171">
        <f t="shared" si="9"/>
        <v>2007</v>
      </c>
      <c r="E419" s="167" t="s">
        <v>524</v>
      </c>
      <c r="F419" s="163">
        <v>200</v>
      </c>
      <c r="G419" s="163">
        <v>4124</v>
      </c>
      <c r="H419" s="163">
        <v>2044</v>
      </c>
      <c r="I419" s="163">
        <v>2080</v>
      </c>
      <c r="K419" s="168"/>
    </row>
    <row r="420" spans="1:11" x14ac:dyDescent="0.25">
      <c r="A420" s="164" t="s">
        <v>428</v>
      </c>
      <c r="B420" s="164" t="s">
        <v>515</v>
      </c>
      <c r="C420" s="170">
        <v>39135</v>
      </c>
      <c r="D420" s="171">
        <f t="shared" si="9"/>
        <v>2007</v>
      </c>
      <c r="E420" s="167" t="s">
        <v>532</v>
      </c>
      <c r="F420" s="163">
        <v>100</v>
      </c>
      <c r="G420" s="163">
        <v>2106</v>
      </c>
      <c r="H420" s="163">
        <v>984</v>
      </c>
      <c r="I420" s="163">
        <v>1122</v>
      </c>
      <c r="K420" s="168"/>
    </row>
    <row r="421" spans="1:11" x14ac:dyDescent="0.25">
      <c r="A421" s="164" t="s">
        <v>527</v>
      </c>
      <c r="B421" s="164" t="s">
        <v>517</v>
      </c>
      <c r="C421" s="170">
        <v>39141</v>
      </c>
      <c r="D421" s="171">
        <f t="shared" si="9"/>
        <v>2007</v>
      </c>
      <c r="E421" s="167" t="s">
        <v>549</v>
      </c>
      <c r="F421" s="163">
        <v>100</v>
      </c>
      <c r="G421" s="163">
        <v>2484</v>
      </c>
      <c r="H421" s="163">
        <v>1022</v>
      </c>
      <c r="I421" s="163">
        <v>1462</v>
      </c>
      <c r="K421" s="168"/>
    </row>
    <row r="422" spans="1:11" x14ac:dyDescent="0.25">
      <c r="A422" s="164" t="s">
        <v>428</v>
      </c>
      <c r="B422" s="164" t="s">
        <v>517</v>
      </c>
      <c r="C422" s="170">
        <v>39143</v>
      </c>
      <c r="D422" s="171">
        <f t="shared" si="9"/>
        <v>2007</v>
      </c>
      <c r="E422" s="167" t="s">
        <v>533</v>
      </c>
      <c r="F422" s="163">
        <v>300</v>
      </c>
      <c r="G422" s="163">
        <v>6732</v>
      </c>
      <c r="H422" s="163">
        <v>3066</v>
      </c>
      <c r="I422" s="163">
        <v>3666</v>
      </c>
      <c r="K422" s="168"/>
    </row>
    <row r="423" spans="1:11" x14ac:dyDescent="0.25">
      <c r="A423" s="164" t="s">
        <v>428</v>
      </c>
      <c r="B423" s="164" t="s">
        <v>517</v>
      </c>
      <c r="C423" s="170">
        <v>39150</v>
      </c>
      <c r="D423" s="171">
        <f t="shared" si="9"/>
        <v>2007</v>
      </c>
      <c r="E423" s="167" t="s">
        <v>531</v>
      </c>
      <c r="F423" s="163">
        <v>700</v>
      </c>
      <c r="G423" s="163">
        <v>15715</v>
      </c>
      <c r="H423" s="163">
        <v>7154</v>
      </c>
      <c r="I423" s="163">
        <v>8561</v>
      </c>
      <c r="K423" s="168"/>
    </row>
    <row r="424" spans="1:11" x14ac:dyDescent="0.25">
      <c r="A424" s="164" t="s">
        <v>428</v>
      </c>
      <c r="B424" s="164" t="s">
        <v>516</v>
      </c>
      <c r="C424" s="170">
        <v>39152</v>
      </c>
      <c r="D424" s="171">
        <f t="shared" si="9"/>
        <v>2007</v>
      </c>
      <c r="E424" s="167" t="s">
        <v>536</v>
      </c>
      <c r="F424" s="163">
        <v>700</v>
      </c>
      <c r="G424" s="163">
        <v>14133</v>
      </c>
      <c r="H424" s="163">
        <v>5929</v>
      </c>
      <c r="I424" s="163">
        <v>8204</v>
      </c>
      <c r="K424" s="168"/>
    </row>
    <row r="425" spans="1:11" x14ac:dyDescent="0.25">
      <c r="A425" s="164" t="s">
        <v>428</v>
      </c>
      <c r="B425" s="164" t="s">
        <v>515</v>
      </c>
      <c r="C425" s="170">
        <v>39153</v>
      </c>
      <c r="D425" s="171">
        <f t="shared" si="9"/>
        <v>2007</v>
      </c>
      <c r="E425" s="167" t="s">
        <v>524</v>
      </c>
      <c r="F425" s="163">
        <v>600</v>
      </c>
      <c r="G425" s="163">
        <v>12690</v>
      </c>
      <c r="H425" s="163">
        <v>5904</v>
      </c>
      <c r="I425" s="163">
        <v>6786</v>
      </c>
      <c r="K425" s="168"/>
    </row>
    <row r="426" spans="1:11" x14ac:dyDescent="0.25">
      <c r="A426" s="164" t="s">
        <v>527</v>
      </c>
      <c r="B426" s="164" t="s">
        <v>517</v>
      </c>
      <c r="C426" s="170">
        <v>39153</v>
      </c>
      <c r="D426" s="171">
        <f t="shared" si="9"/>
        <v>2007</v>
      </c>
      <c r="E426" s="167" t="s">
        <v>530</v>
      </c>
      <c r="F426" s="163">
        <v>900</v>
      </c>
      <c r="G426" s="163">
        <v>21159</v>
      </c>
      <c r="H426" s="163">
        <v>9198</v>
      </c>
      <c r="I426" s="163">
        <v>11961</v>
      </c>
      <c r="K426" s="168"/>
    </row>
    <row r="427" spans="1:11" x14ac:dyDescent="0.25">
      <c r="A427" s="164" t="s">
        <v>422</v>
      </c>
      <c r="B427" s="164" t="s">
        <v>515</v>
      </c>
      <c r="C427" s="170">
        <v>39153</v>
      </c>
      <c r="D427" s="171">
        <f t="shared" si="9"/>
        <v>2007</v>
      </c>
      <c r="E427" s="167" t="s">
        <v>533</v>
      </c>
      <c r="F427" s="163">
        <v>1000</v>
      </c>
      <c r="G427" s="163">
        <v>20190</v>
      </c>
      <c r="H427" s="163">
        <v>9840</v>
      </c>
      <c r="I427" s="163">
        <v>10350</v>
      </c>
      <c r="K427" s="168"/>
    </row>
    <row r="428" spans="1:11" x14ac:dyDescent="0.25">
      <c r="A428" s="164" t="s">
        <v>422</v>
      </c>
      <c r="B428" s="164" t="s">
        <v>515</v>
      </c>
      <c r="C428" s="170">
        <v>39154</v>
      </c>
      <c r="D428" s="171">
        <f t="shared" si="9"/>
        <v>2007</v>
      </c>
      <c r="E428" s="167" t="s">
        <v>530</v>
      </c>
      <c r="F428" s="163">
        <v>200</v>
      </c>
      <c r="G428" s="163">
        <v>4412</v>
      </c>
      <c r="H428" s="163">
        <v>1968</v>
      </c>
      <c r="I428" s="163">
        <v>2444</v>
      </c>
      <c r="K428" s="168"/>
    </row>
    <row r="429" spans="1:11" x14ac:dyDescent="0.25">
      <c r="A429" s="164" t="s">
        <v>428</v>
      </c>
      <c r="B429" s="164" t="s">
        <v>517</v>
      </c>
      <c r="C429" s="170">
        <v>39155</v>
      </c>
      <c r="D429" s="171">
        <f t="shared" si="9"/>
        <v>2007</v>
      </c>
      <c r="E429" s="167" t="s">
        <v>532</v>
      </c>
      <c r="F429" s="163">
        <v>700</v>
      </c>
      <c r="G429" s="163">
        <v>17059</v>
      </c>
      <c r="H429" s="163">
        <v>7154</v>
      </c>
      <c r="I429" s="163">
        <v>9905</v>
      </c>
      <c r="K429" s="168"/>
    </row>
    <row r="430" spans="1:11" x14ac:dyDescent="0.25">
      <c r="A430" s="164" t="s">
        <v>428</v>
      </c>
      <c r="B430" s="164" t="s">
        <v>517</v>
      </c>
      <c r="C430" s="170">
        <v>39156</v>
      </c>
      <c r="D430" s="171">
        <f t="shared" si="9"/>
        <v>2007</v>
      </c>
      <c r="E430" s="167" t="s">
        <v>524</v>
      </c>
      <c r="F430" s="163">
        <v>500</v>
      </c>
      <c r="G430" s="163">
        <v>10990</v>
      </c>
      <c r="H430" s="163">
        <v>5110</v>
      </c>
      <c r="I430" s="163">
        <v>5880</v>
      </c>
      <c r="K430" s="168"/>
    </row>
    <row r="431" spans="1:11" x14ac:dyDescent="0.25">
      <c r="A431" s="164" t="s">
        <v>527</v>
      </c>
      <c r="B431" s="164" t="s">
        <v>516</v>
      </c>
      <c r="C431" s="170">
        <v>39156</v>
      </c>
      <c r="D431" s="171">
        <f t="shared" si="9"/>
        <v>2007</v>
      </c>
      <c r="E431" s="167" t="s">
        <v>532</v>
      </c>
      <c r="F431" s="163">
        <v>1000</v>
      </c>
      <c r="G431" s="163">
        <v>17200</v>
      </c>
      <c r="H431" s="163">
        <v>8470</v>
      </c>
      <c r="I431" s="163">
        <v>8730</v>
      </c>
      <c r="K431" s="168"/>
    </row>
    <row r="432" spans="1:11" x14ac:dyDescent="0.25">
      <c r="A432" s="164" t="s">
        <v>428</v>
      </c>
      <c r="B432" s="164" t="s">
        <v>516</v>
      </c>
      <c r="C432" s="170">
        <v>39156</v>
      </c>
      <c r="D432" s="171">
        <f t="shared" si="9"/>
        <v>2007</v>
      </c>
      <c r="E432" s="167" t="s">
        <v>531</v>
      </c>
      <c r="F432" s="163">
        <v>700</v>
      </c>
      <c r="G432" s="163">
        <v>13139</v>
      </c>
      <c r="H432" s="163">
        <v>5929</v>
      </c>
      <c r="I432" s="163">
        <v>7210</v>
      </c>
      <c r="K432" s="168"/>
    </row>
    <row r="433" spans="1:11" x14ac:dyDescent="0.25">
      <c r="A433" s="164" t="s">
        <v>422</v>
      </c>
      <c r="B433" s="164" t="s">
        <v>516</v>
      </c>
      <c r="C433" s="170">
        <v>39157</v>
      </c>
      <c r="D433" s="171">
        <f t="shared" si="9"/>
        <v>2007</v>
      </c>
      <c r="E433" s="167" t="s">
        <v>531</v>
      </c>
      <c r="F433" s="163">
        <v>300</v>
      </c>
      <c r="G433" s="163">
        <v>6207</v>
      </c>
      <c r="H433" s="163">
        <v>2541</v>
      </c>
      <c r="I433" s="163">
        <v>3666</v>
      </c>
      <c r="K433" s="168"/>
    </row>
    <row r="434" spans="1:11" x14ac:dyDescent="0.25">
      <c r="A434" s="164" t="s">
        <v>527</v>
      </c>
      <c r="B434" s="164" t="s">
        <v>515</v>
      </c>
      <c r="C434" s="170">
        <v>39159</v>
      </c>
      <c r="D434" s="171">
        <f t="shared" si="9"/>
        <v>2007</v>
      </c>
      <c r="E434" s="167" t="s">
        <v>543</v>
      </c>
      <c r="F434" s="163">
        <v>200</v>
      </c>
      <c r="G434" s="163">
        <v>4270</v>
      </c>
      <c r="H434" s="163">
        <v>1968</v>
      </c>
      <c r="I434" s="163">
        <v>2302</v>
      </c>
      <c r="K434" s="168"/>
    </row>
    <row r="435" spans="1:11" x14ac:dyDescent="0.25">
      <c r="A435" s="164" t="s">
        <v>527</v>
      </c>
      <c r="B435" s="164" t="s">
        <v>515</v>
      </c>
      <c r="C435" s="170">
        <v>39161</v>
      </c>
      <c r="D435" s="171">
        <f t="shared" si="9"/>
        <v>2007</v>
      </c>
      <c r="E435" s="167" t="s">
        <v>531</v>
      </c>
      <c r="F435" s="163">
        <v>600</v>
      </c>
      <c r="G435" s="163">
        <v>14004</v>
      </c>
      <c r="H435" s="163">
        <v>5904</v>
      </c>
      <c r="I435" s="163">
        <v>8100</v>
      </c>
      <c r="K435" s="168"/>
    </row>
    <row r="436" spans="1:11" x14ac:dyDescent="0.25">
      <c r="A436" s="164" t="s">
        <v>428</v>
      </c>
      <c r="B436" s="164" t="s">
        <v>515</v>
      </c>
      <c r="C436" s="170">
        <v>39161</v>
      </c>
      <c r="D436" s="171">
        <f t="shared" si="9"/>
        <v>2007</v>
      </c>
      <c r="E436" s="167" t="s">
        <v>531</v>
      </c>
      <c r="F436" s="163">
        <v>900</v>
      </c>
      <c r="G436" s="163">
        <v>20403</v>
      </c>
      <c r="H436" s="163">
        <v>8856</v>
      </c>
      <c r="I436" s="163">
        <v>11547</v>
      </c>
      <c r="K436" s="168"/>
    </row>
    <row r="437" spans="1:11" x14ac:dyDescent="0.25">
      <c r="A437" s="164" t="s">
        <v>527</v>
      </c>
      <c r="B437" s="164" t="s">
        <v>515</v>
      </c>
      <c r="C437" s="170">
        <v>39167</v>
      </c>
      <c r="D437" s="171">
        <f t="shared" si="9"/>
        <v>2007</v>
      </c>
      <c r="E437" s="167" t="s">
        <v>524</v>
      </c>
      <c r="F437" s="163">
        <v>1000</v>
      </c>
      <c r="G437" s="163">
        <v>20020</v>
      </c>
      <c r="H437" s="163">
        <v>9840</v>
      </c>
      <c r="I437" s="163">
        <v>10180</v>
      </c>
      <c r="K437" s="168"/>
    </row>
    <row r="438" spans="1:11" x14ac:dyDescent="0.25">
      <c r="A438" s="164" t="s">
        <v>422</v>
      </c>
      <c r="B438" s="164" t="s">
        <v>516</v>
      </c>
      <c r="C438" s="170">
        <v>39170</v>
      </c>
      <c r="D438" s="171">
        <f t="shared" si="9"/>
        <v>2007</v>
      </c>
      <c r="E438" s="167" t="s">
        <v>528</v>
      </c>
      <c r="F438" s="163">
        <v>800</v>
      </c>
      <c r="G438" s="163">
        <v>14216</v>
      </c>
      <c r="H438" s="163">
        <v>6776</v>
      </c>
      <c r="I438" s="163">
        <v>7440</v>
      </c>
      <c r="K438" s="168"/>
    </row>
    <row r="439" spans="1:11" x14ac:dyDescent="0.25">
      <c r="A439" s="164" t="s">
        <v>428</v>
      </c>
      <c r="B439" s="164" t="s">
        <v>515</v>
      </c>
      <c r="C439" s="170">
        <v>39172</v>
      </c>
      <c r="D439" s="171">
        <f t="shared" si="9"/>
        <v>2007</v>
      </c>
      <c r="E439" s="167" t="s">
        <v>531</v>
      </c>
      <c r="F439" s="163">
        <v>700</v>
      </c>
      <c r="G439" s="163">
        <v>16772</v>
      </c>
      <c r="H439" s="163">
        <v>6888</v>
      </c>
      <c r="I439" s="163">
        <v>9884</v>
      </c>
      <c r="K439" s="168"/>
    </row>
    <row r="440" spans="1:11" x14ac:dyDescent="0.25">
      <c r="A440" s="164" t="s">
        <v>428</v>
      </c>
      <c r="B440" s="164" t="s">
        <v>517</v>
      </c>
      <c r="C440" s="170">
        <v>39173</v>
      </c>
      <c r="D440" s="171">
        <f t="shared" si="9"/>
        <v>2007</v>
      </c>
      <c r="E440" s="167" t="s">
        <v>538</v>
      </c>
      <c r="F440" s="163">
        <v>900</v>
      </c>
      <c r="G440" s="163">
        <v>21015</v>
      </c>
      <c r="H440" s="163">
        <v>9198</v>
      </c>
      <c r="I440" s="163">
        <v>11817</v>
      </c>
      <c r="K440" s="168"/>
    </row>
    <row r="441" spans="1:11" x14ac:dyDescent="0.25">
      <c r="A441" s="164" t="s">
        <v>422</v>
      </c>
      <c r="B441" s="164" t="s">
        <v>516</v>
      </c>
      <c r="C441" s="170">
        <v>39174</v>
      </c>
      <c r="D441" s="171">
        <f t="shared" si="9"/>
        <v>2007</v>
      </c>
      <c r="E441" s="167" t="s">
        <v>549</v>
      </c>
      <c r="F441" s="163">
        <v>200</v>
      </c>
      <c r="G441" s="163">
        <v>3552</v>
      </c>
      <c r="H441" s="163">
        <v>1694</v>
      </c>
      <c r="I441" s="163">
        <v>1858</v>
      </c>
      <c r="K441" s="168"/>
    </row>
    <row r="442" spans="1:11" x14ac:dyDescent="0.25">
      <c r="A442" s="164" t="s">
        <v>422</v>
      </c>
      <c r="B442" s="164" t="s">
        <v>517</v>
      </c>
      <c r="C442" s="170">
        <v>39177</v>
      </c>
      <c r="D442" s="171">
        <f t="shared" si="9"/>
        <v>2007</v>
      </c>
      <c r="E442" s="167" t="s">
        <v>529</v>
      </c>
      <c r="F442" s="163">
        <v>1000</v>
      </c>
      <c r="G442" s="163">
        <v>25010</v>
      </c>
      <c r="H442" s="163">
        <v>10220</v>
      </c>
      <c r="I442" s="163">
        <v>14790</v>
      </c>
      <c r="K442" s="168"/>
    </row>
    <row r="443" spans="1:11" x14ac:dyDescent="0.25">
      <c r="A443" s="164" t="s">
        <v>428</v>
      </c>
      <c r="B443" s="164" t="s">
        <v>517</v>
      </c>
      <c r="C443" s="170">
        <v>39178</v>
      </c>
      <c r="D443" s="171">
        <f t="shared" si="9"/>
        <v>2007</v>
      </c>
      <c r="E443" s="167" t="s">
        <v>530</v>
      </c>
      <c r="F443" s="163">
        <v>600</v>
      </c>
      <c r="G443" s="163">
        <v>14178</v>
      </c>
      <c r="H443" s="163">
        <v>6132</v>
      </c>
      <c r="I443" s="163">
        <v>8046</v>
      </c>
      <c r="K443" s="168"/>
    </row>
    <row r="444" spans="1:11" x14ac:dyDescent="0.25">
      <c r="A444" s="164" t="s">
        <v>527</v>
      </c>
      <c r="B444" s="164" t="s">
        <v>515</v>
      </c>
      <c r="C444" s="170">
        <v>39179</v>
      </c>
      <c r="D444" s="171">
        <f t="shared" si="9"/>
        <v>2007</v>
      </c>
      <c r="E444" s="167" t="s">
        <v>522</v>
      </c>
      <c r="F444" s="163">
        <v>200</v>
      </c>
      <c r="G444" s="163">
        <v>4280</v>
      </c>
      <c r="H444" s="163">
        <v>1968</v>
      </c>
      <c r="I444" s="163">
        <v>2312</v>
      </c>
      <c r="K444" s="168"/>
    </row>
    <row r="445" spans="1:11" x14ac:dyDescent="0.25">
      <c r="A445" s="164" t="s">
        <v>527</v>
      </c>
      <c r="B445" s="164" t="s">
        <v>517</v>
      </c>
      <c r="C445" s="170">
        <v>39179</v>
      </c>
      <c r="D445" s="171">
        <f t="shared" si="9"/>
        <v>2007</v>
      </c>
      <c r="E445" s="167" t="s">
        <v>533</v>
      </c>
      <c r="F445" s="163">
        <v>900</v>
      </c>
      <c r="G445" s="163">
        <v>21366</v>
      </c>
      <c r="H445" s="163">
        <v>9198</v>
      </c>
      <c r="I445" s="163">
        <v>12168</v>
      </c>
      <c r="K445" s="168"/>
    </row>
    <row r="446" spans="1:11" x14ac:dyDescent="0.25">
      <c r="A446" s="164" t="s">
        <v>422</v>
      </c>
      <c r="B446" s="164" t="s">
        <v>516</v>
      </c>
      <c r="C446" s="170">
        <v>39179</v>
      </c>
      <c r="D446" s="171">
        <f t="shared" si="9"/>
        <v>2007</v>
      </c>
      <c r="E446" s="167" t="s">
        <v>547</v>
      </c>
      <c r="F446" s="163">
        <v>1000</v>
      </c>
      <c r="G446" s="163">
        <v>17190</v>
      </c>
      <c r="H446" s="163">
        <v>8470</v>
      </c>
      <c r="I446" s="163">
        <v>8720</v>
      </c>
      <c r="K446" s="168"/>
    </row>
    <row r="447" spans="1:11" x14ac:dyDescent="0.25">
      <c r="A447" s="164" t="s">
        <v>527</v>
      </c>
      <c r="B447" s="164" t="s">
        <v>516</v>
      </c>
      <c r="C447" s="170">
        <v>39182</v>
      </c>
      <c r="D447" s="171">
        <f t="shared" si="9"/>
        <v>2007</v>
      </c>
      <c r="E447" s="167" t="s">
        <v>523</v>
      </c>
      <c r="F447" s="163">
        <v>300</v>
      </c>
      <c r="G447" s="163">
        <v>6309</v>
      </c>
      <c r="H447" s="163">
        <v>2541</v>
      </c>
      <c r="I447" s="163">
        <v>3768</v>
      </c>
      <c r="K447" s="168"/>
    </row>
    <row r="448" spans="1:11" x14ac:dyDescent="0.25">
      <c r="A448" s="164" t="s">
        <v>428</v>
      </c>
      <c r="B448" s="164" t="s">
        <v>515</v>
      </c>
      <c r="C448" s="170">
        <v>39182</v>
      </c>
      <c r="D448" s="171">
        <f t="shared" si="9"/>
        <v>2007</v>
      </c>
      <c r="E448" s="167" t="s">
        <v>531</v>
      </c>
      <c r="F448" s="163">
        <v>300</v>
      </c>
      <c r="G448" s="163">
        <v>6477</v>
      </c>
      <c r="H448" s="163">
        <v>2952</v>
      </c>
      <c r="I448" s="163">
        <v>3525</v>
      </c>
      <c r="K448" s="168"/>
    </row>
    <row r="449" spans="1:11" x14ac:dyDescent="0.25">
      <c r="A449" s="164" t="s">
        <v>527</v>
      </c>
      <c r="B449" s="164" t="s">
        <v>516</v>
      </c>
      <c r="C449" s="170">
        <v>39183</v>
      </c>
      <c r="D449" s="171">
        <f t="shared" si="9"/>
        <v>2007</v>
      </c>
      <c r="E449" s="167" t="s">
        <v>531</v>
      </c>
      <c r="F449" s="163">
        <v>100</v>
      </c>
      <c r="G449" s="163">
        <v>2012</v>
      </c>
      <c r="H449" s="163">
        <v>847</v>
      </c>
      <c r="I449" s="163">
        <v>1165</v>
      </c>
      <c r="K449" s="168"/>
    </row>
    <row r="450" spans="1:11" x14ac:dyDescent="0.25">
      <c r="A450" s="164" t="s">
        <v>428</v>
      </c>
      <c r="B450" s="164" t="s">
        <v>515</v>
      </c>
      <c r="C450" s="170">
        <v>39186</v>
      </c>
      <c r="D450" s="171">
        <f t="shared" si="9"/>
        <v>2007</v>
      </c>
      <c r="E450" s="167" t="s">
        <v>530</v>
      </c>
      <c r="F450" s="163">
        <v>400</v>
      </c>
      <c r="G450" s="163">
        <v>8632</v>
      </c>
      <c r="H450" s="163">
        <v>3936</v>
      </c>
      <c r="I450" s="163">
        <v>4696</v>
      </c>
      <c r="K450" s="168"/>
    </row>
    <row r="451" spans="1:11" x14ac:dyDescent="0.25">
      <c r="A451" s="164" t="s">
        <v>428</v>
      </c>
      <c r="B451" s="164" t="s">
        <v>515</v>
      </c>
      <c r="C451" s="170">
        <v>39187</v>
      </c>
      <c r="D451" s="171">
        <f t="shared" si="9"/>
        <v>2007</v>
      </c>
      <c r="E451" s="167" t="s">
        <v>524</v>
      </c>
      <c r="F451" s="163">
        <v>600</v>
      </c>
      <c r="G451" s="163">
        <v>12756</v>
      </c>
      <c r="H451" s="163">
        <v>5904</v>
      </c>
      <c r="I451" s="163">
        <v>6852</v>
      </c>
      <c r="K451" s="168"/>
    </row>
    <row r="452" spans="1:11" x14ac:dyDescent="0.25">
      <c r="A452" s="164" t="s">
        <v>428</v>
      </c>
      <c r="B452" s="164" t="s">
        <v>517</v>
      </c>
      <c r="C452" s="170">
        <v>39198</v>
      </c>
      <c r="D452" s="171">
        <f t="shared" si="9"/>
        <v>2007</v>
      </c>
      <c r="E452" s="167" t="s">
        <v>536</v>
      </c>
      <c r="F452" s="163">
        <v>700</v>
      </c>
      <c r="G452" s="163">
        <v>15225</v>
      </c>
      <c r="H452" s="163">
        <v>7154</v>
      </c>
      <c r="I452" s="163">
        <v>8071</v>
      </c>
      <c r="K452" s="168"/>
    </row>
    <row r="453" spans="1:11" x14ac:dyDescent="0.25">
      <c r="A453" s="164" t="s">
        <v>422</v>
      </c>
      <c r="B453" s="164" t="s">
        <v>517</v>
      </c>
      <c r="C453" s="170">
        <v>39198</v>
      </c>
      <c r="D453" s="171">
        <f t="shared" si="9"/>
        <v>2007</v>
      </c>
      <c r="E453" s="167" t="s">
        <v>536</v>
      </c>
      <c r="F453" s="163">
        <v>800</v>
      </c>
      <c r="G453" s="163">
        <v>19288</v>
      </c>
      <c r="H453" s="163">
        <v>8176</v>
      </c>
      <c r="I453" s="163">
        <v>11112</v>
      </c>
      <c r="K453" s="168"/>
    </row>
    <row r="454" spans="1:11" x14ac:dyDescent="0.25">
      <c r="A454" s="164" t="s">
        <v>422</v>
      </c>
      <c r="B454" s="164" t="s">
        <v>517</v>
      </c>
      <c r="C454" s="170">
        <v>39200</v>
      </c>
      <c r="D454" s="171">
        <f t="shared" si="9"/>
        <v>2007</v>
      </c>
      <c r="E454" s="167" t="s">
        <v>537</v>
      </c>
      <c r="F454" s="163">
        <v>800</v>
      </c>
      <c r="G454" s="163">
        <v>20408</v>
      </c>
      <c r="H454" s="163">
        <v>8176</v>
      </c>
      <c r="I454" s="163">
        <v>12232</v>
      </c>
      <c r="K454" s="168"/>
    </row>
    <row r="455" spans="1:11" x14ac:dyDescent="0.25">
      <c r="A455" s="164" t="s">
        <v>428</v>
      </c>
      <c r="B455" s="164" t="s">
        <v>516</v>
      </c>
      <c r="C455" s="170">
        <v>39201</v>
      </c>
      <c r="D455" s="171">
        <f t="shared" si="9"/>
        <v>2007</v>
      </c>
      <c r="E455" s="167" t="s">
        <v>530</v>
      </c>
      <c r="F455" s="163">
        <v>400</v>
      </c>
      <c r="G455" s="163">
        <v>8164</v>
      </c>
      <c r="H455" s="163">
        <v>3388</v>
      </c>
      <c r="I455" s="163">
        <v>4776</v>
      </c>
      <c r="K455" s="168"/>
    </row>
    <row r="456" spans="1:11" x14ac:dyDescent="0.25">
      <c r="A456" s="164" t="s">
        <v>527</v>
      </c>
      <c r="B456" s="164" t="s">
        <v>515</v>
      </c>
      <c r="C456" s="170">
        <v>39203</v>
      </c>
      <c r="D456" s="171">
        <f t="shared" si="9"/>
        <v>2007</v>
      </c>
      <c r="E456" s="167" t="s">
        <v>533</v>
      </c>
      <c r="F456" s="163">
        <v>800</v>
      </c>
      <c r="G456" s="163">
        <v>17944</v>
      </c>
      <c r="H456" s="163">
        <v>7872</v>
      </c>
      <c r="I456" s="163">
        <v>10072</v>
      </c>
      <c r="K456" s="168"/>
    </row>
    <row r="457" spans="1:11" x14ac:dyDescent="0.25">
      <c r="A457" s="164" t="s">
        <v>428</v>
      </c>
      <c r="B457" s="164" t="s">
        <v>517</v>
      </c>
      <c r="C457" s="170">
        <v>39206</v>
      </c>
      <c r="D457" s="171">
        <f t="shared" si="9"/>
        <v>2007</v>
      </c>
      <c r="E457" s="167" t="s">
        <v>529</v>
      </c>
      <c r="F457" s="163">
        <v>500</v>
      </c>
      <c r="G457" s="163">
        <v>10940</v>
      </c>
      <c r="H457" s="163">
        <v>5110</v>
      </c>
      <c r="I457" s="163">
        <v>5830</v>
      </c>
      <c r="K457" s="168"/>
    </row>
    <row r="458" spans="1:11" x14ac:dyDescent="0.25">
      <c r="A458" s="164" t="s">
        <v>527</v>
      </c>
      <c r="B458" s="164" t="s">
        <v>515</v>
      </c>
      <c r="C458" s="170">
        <v>39208</v>
      </c>
      <c r="D458" s="171">
        <f t="shared" ref="D458:D521" si="10">YEAR(C458)</f>
        <v>2007</v>
      </c>
      <c r="E458" s="167" t="s">
        <v>536</v>
      </c>
      <c r="F458" s="163">
        <v>1000</v>
      </c>
      <c r="G458" s="163">
        <v>23970</v>
      </c>
      <c r="H458" s="163">
        <v>9840</v>
      </c>
      <c r="I458" s="163">
        <v>14130</v>
      </c>
      <c r="K458" s="168"/>
    </row>
    <row r="459" spans="1:11" x14ac:dyDescent="0.25">
      <c r="A459" s="164" t="s">
        <v>422</v>
      </c>
      <c r="B459" s="164" t="s">
        <v>516</v>
      </c>
      <c r="C459" s="170">
        <v>39210</v>
      </c>
      <c r="D459" s="171">
        <f t="shared" si="10"/>
        <v>2007</v>
      </c>
      <c r="E459" s="167" t="s">
        <v>530</v>
      </c>
      <c r="F459" s="163">
        <v>700</v>
      </c>
      <c r="G459" s="163">
        <v>14105</v>
      </c>
      <c r="H459" s="163">
        <v>5929</v>
      </c>
      <c r="I459" s="163">
        <v>8176</v>
      </c>
      <c r="K459" s="168"/>
    </row>
    <row r="460" spans="1:11" x14ac:dyDescent="0.25">
      <c r="A460" s="164" t="s">
        <v>527</v>
      </c>
      <c r="B460" s="164" t="s">
        <v>517</v>
      </c>
      <c r="C460" s="170">
        <v>39211</v>
      </c>
      <c r="D460" s="171">
        <f t="shared" si="10"/>
        <v>2007</v>
      </c>
      <c r="E460" s="167" t="s">
        <v>528</v>
      </c>
      <c r="F460" s="163">
        <v>800</v>
      </c>
      <c r="G460" s="163">
        <v>18344</v>
      </c>
      <c r="H460" s="163">
        <v>8176</v>
      </c>
      <c r="I460" s="163">
        <v>10168</v>
      </c>
      <c r="K460" s="168"/>
    </row>
    <row r="461" spans="1:11" x14ac:dyDescent="0.25">
      <c r="A461" s="164" t="s">
        <v>422</v>
      </c>
      <c r="B461" s="164" t="s">
        <v>517</v>
      </c>
      <c r="C461" s="170">
        <v>39211</v>
      </c>
      <c r="D461" s="171">
        <f t="shared" si="10"/>
        <v>2007</v>
      </c>
      <c r="E461" s="167" t="s">
        <v>547</v>
      </c>
      <c r="F461" s="163">
        <v>1000</v>
      </c>
      <c r="G461" s="163">
        <v>23890</v>
      </c>
      <c r="H461" s="163">
        <v>10220</v>
      </c>
      <c r="I461" s="163">
        <v>13670</v>
      </c>
      <c r="K461" s="168"/>
    </row>
    <row r="462" spans="1:11" x14ac:dyDescent="0.25">
      <c r="A462" s="164" t="s">
        <v>428</v>
      </c>
      <c r="B462" s="164" t="s">
        <v>516</v>
      </c>
      <c r="C462" s="170">
        <v>39214</v>
      </c>
      <c r="D462" s="171">
        <f t="shared" si="10"/>
        <v>2007</v>
      </c>
      <c r="E462" s="167" t="s">
        <v>524</v>
      </c>
      <c r="F462" s="163">
        <v>1000</v>
      </c>
      <c r="G462" s="163">
        <v>20310</v>
      </c>
      <c r="H462" s="163">
        <v>8470</v>
      </c>
      <c r="I462" s="163">
        <v>11840</v>
      </c>
      <c r="K462" s="168"/>
    </row>
    <row r="463" spans="1:11" x14ac:dyDescent="0.25">
      <c r="A463" s="164" t="s">
        <v>422</v>
      </c>
      <c r="B463" s="164" t="s">
        <v>517</v>
      </c>
      <c r="C463" s="170">
        <v>39215</v>
      </c>
      <c r="D463" s="171">
        <f t="shared" si="10"/>
        <v>2007</v>
      </c>
      <c r="E463" s="167" t="s">
        <v>536</v>
      </c>
      <c r="F463" s="163">
        <v>400</v>
      </c>
      <c r="G463" s="163">
        <v>9384</v>
      </c>
      <c r="H463" s="163">
        <v>4088</v>
      </c>
      <c r="I463" s="163">
        <v>5296</v>
      </c>
      <c r="K463" s="168"/>
    </row>
    <row r="464" spans="1:11" x14ac:dyDescent="0.25">
      <c r="A464" s="164" t="s">
        <v>527</v>
      </c>
      <c r="B464" s="164" t="s">
        <v>516</v>
      </c>
      <c r="C464" s="170">
        <v>39217</v>
      </c>
      <c r="D464" s="171">
        <f t="shared" si="10"/>
        <v>2007</v>
      </c>
      <c r="E464" s="167" t="s">
        <v>531</v>
      </c>
      <c r="F464" s="163">
        <v>500</v>
      </c>
      <c r="G464" s="163">
        <v>10385</v>
      </c>
      <c r="H464" s="163">
        <v>4235</v>
      </c>
      <c r="I464" s="163">
        <v>6150</v>
      </c>
      <c r="K464" s="168"/>
    </row>
    <row r="465" spans="1:11" x14ac:dyDescent="0.25">
      <c r="A465" s="164" t="s">
        <v>527</v>
      </c>
      <c r="B465" s="164" t="s">
        <v>515</v>
      </c>
      <c r="C465" s="170">
        <v>39218</v>
      </c>
      <c r="D465" s="171">
        <f t="shared" si="10"/>
        <v>2007</v>
      </c>
      <c r="E465" s="167" t="s">
        <v>529</v>
      </c>
      <c r="F465" s="163">
        <v>300</v>
      </c>
      <c r="G465" s="163">
        <v>7053</v>
      </c>
      <c r="H465" s="163">
        <v>2952</v>
      </c>
      <c r="I465" s="163">
        <v>4101</v>
      </c>
      <c r="K465" s="168"/>
    </row>
    <row r="466" spans="1:11" x14ac:dyDescent="0.25">
      <c r="A466" s="164" t="s">
        <v>422</v>
      </c>
      <c r="B466" s="164" t="s">
        <v>516</v>
      </c>
      <c r="C466" s="170">
        <v>39218</v>
      </c>
      <c r="D466" s="171">
        <f t="shared" si="10"/>
        <v>2007</v>
      </c>
      <c r="E466" s="167" t="s">
        <v>529</v>
      </c>
      <c r="F466" s="163">
        <v>400</v>
      </c>
      <c r="G466" s="163">
        <v>8196</v>
      </c>
      <c r="H466" s="163">
        <v>3388</v>
      </c>
      <c r="I466" s="163">
        <v>4808</v>
      </c>
      <c r="K466" s="168"/>
    </row>
    <row r="467" spans="1:11" x14ac:dyDescent="0.25">
      <c r="A467" s="164" t="s">
        <v>422</v>
      </c>
      <c r="B467" s="164" t="s">
        <v>517</v>
      </c>
      <c r="C467" s="170">
        <v>39222</v>
      </c>
      <c r="D467" s="171">
        <f t="shared" si="10"/>
        <v>2007</v>
      </c>
      <c r="E467" s="167" t="s">
        <v>544</v>
      </c>
      <c r="F467" s="163">
        <v>800</v>
      </c>
      <c r="G467" s="163">
        <v>16936</v>
      </c>
      <c r="H467" s="163">
        <v>8176</v>
      </c>
      <c r="I467" s="163">
        <v>8760</v>
      </c>
      <c r="K467" s="168"/>
    </row>
    <row r="468" spans="1:11" x14ac:dyDescent="0.25">
      <c r="A468" s="164" t="s">
        <v>428</v>
      </c>
      <c r="B468" s="164" t="s">
        <v>517</v>
      </c>
      <c r="C468" s="170">
        <v>39222</v>
      </c>
      <c r="D468" s="171">
        <f t="shared" si="10"/>
        <v>2007</v>
      </c>
      <c r="E468" s="167" t="s">
        <v>530</v>
      </c>
      <c r="F468" s="163">
        <v>600</v>
      </c>
      <c r="G468" s="163">
        <v>13818</v>
      </c>
      <c r="H468" s="163">
        <v>6132</v>
      </c>
      <c r="I468" s="163">
        <v>7686</v>
      </c>
      <c r="K468" s="168"/>
    </row>
    <row r="469" spans="1:11" x14ac:dyDescent="0.25">
      <c r="A469" s="164" t="s">
        <v>428</v>
      </c>
      <c r="B469" s="164" t="s">
        <v>515</v>
      </c>
      <c r="C469" s="170">
        <v>39224</v>
      </c>
      <c r="D469" s="171">
        <f t="shared" si="10"/>
        <v>2007</v>
      </c>
      <c r="E469" s="167" t="s">
        <v>528</v>
      </c>
      <c r="F469" s="163">
        <v>600</v>
      </c>
      <c r="G469" s="163">
        <v>13206</v>
      </c>
      <c r="H469" s="163">
        <v>5904</v>
      </c>
      <c r="I469" s="163">
        <v>7302</v>
      </c>
      <c r="K469" s="168"/>
    </row>
    <row r="470" spans="1:11" x14ac:dyDescent="0.25">
      <c r="A470" s="164" t="s">
        <v>428</v>
      </c>
      <c r="B470" s="164" t="s">
        <v>515</v>
      </c>
      <c r="C470" s="170">
        <v>39224</v>
      </c>
      <c r="D470" s="171">
        <f t="shared" si="10"/>
        <v>2007</v>
      </c>
      <c r="E470" s="167" t="s">
        <v>531</v>
      </c>
      <c r="F470" s="163">
        <v>800</v>
      </c>
      <c r="G470" s="163">
        <v>17240</v>
      </c>
      <c r="H470" s="163">
        <v>7872</v>
      </c>
      <c r="I470" s="163">
        <v>9368</v>
      </c>
      <c r="K470" s="168"/>
    </row>
    <row r="471" spans="1:11" x14ac:dyDescent="0.25">
      <c r="A471" s="164" t="s">
        <v>428</v>
      </c>
      <c r="B471" s="164" t="s">
        <v>515</v>
      </c>
      <c r="C471" s="170">
        <v>39225</v>
      </c>
      <c r="D471" s="171">
        <f t="shared" si="10"/>
        <v>2007</v>
      </c>
      <c r="E471" s="167" t="s">
        <v>531</v>
      </c>
      <c r="F471" s="163">
        <v>400</v>
      </c>
      <c r="G471" s="163">
        <v>8708</v>
      </c>
      <c r="H471" s="163">
        <v>3936</v>
      </c>
      <c r="I471" s="163">
        <v>4772</v>
      </c>
      <c r="K471" s="168"/>
    </row>
    <row r="472" spans="1:11" x14ac:dyDescent="0.25">
      <c r="A472" s="164" t="s">
        <v>527</v>
      </c>
      <c r="B472" s="164" t="s">
        <v>516</v>
      </c>
      <c r="C472" s="170">
        <v>39227</v>
      </c>
      <c r="D472" s="171">
        <f t="shared" si="10"/>
        <v>2007</v>
      </c>
      <c r="E472" s="167" t="s">
        <v>522</v>
      </c>
      <c r="F472" s="163">
        <v>700</v>
      </c>
      <c r="G472" s="163">
        <v>12838</v>
      </c>
      <c r="H472" s="163">
        <v>5929</v>
      </c>
      <c r="I472" s="163">
        <v>6909</v>
      </c>
      <c r="K472" s="168"/>
    </row>
    <row r="473" spans="1:11" x14ac:dyDescent="0.25">
      <c r="A473" s="164" t="s">
        <v>422</v>
      </c>
      <c r="B473" s="164" t="s">
        <v>516</v>
      </c>
      <c r="C473" s="170">
        <v>39231</v>
      </c>
      <c r="D473" s="171">
        <f t="shared" si="10"/>
        <v>2007</v>
      </c>
      <c r="E473" s="167" t="s">
        <v>531</v>
      </c>
      <c r="F473" s="163">
        <v>1000</v>
      </c>
      <c r="G473" s="163">
        <v>20250</v>
      </c>
      <c r="H473" s="163">
        <v>8470</v>
      </c>
      <c r="I473" s="163">
        <v>11780</v>
      </c>
      <c r="K473" s="168"/>
    </row>
    <row r="474" spans="1:11" x14ac:dyDescent="0.25">
      <c r="A474" s="164" t="s">
        <v>422</v>
      </c>
      <c r="B474" s="164" t="s">
        <v>517</v>
      </c>
      <c r="C474" s="170">
        <v>39232</v>
      </c>
      <c r="D474" s="171">
        <f t="shared" si="10"/>
        <v>2007</v>
      </c>
      <c r="E474" s="167" t="s">
        <v>529</v>
      </c>
      <c r="F474" s="163">
        <v>600</v>
      </c>
      <c r="G474" s="163">
        <v>14634</v>
      </c>
      <c r="H474" s="163">
        <v>6132</v>
      </c>
      <c r="I474" s="163">
        <v>8502</v>
      </c>
      <c r="K474" s="168"/>
    </row>
    <row r="475" spans="1:11" x14ac:dyDescent="0.25">
      <c r="A475" s="164" t="s">
        <v>527</v>
      </c>
      <c r="B475" s="164" t="s">
        <v>516</v>
      </c>
      <c r="C475" s="170">
        <v>39233</v>
      </c>
      <c r="D475" s="171">
        <f t="shared" si="10"/>
        <v>2007</v>
      </c>
      <c r="E475" s="167" t="s">
        <v>536</v>
      </c>
      <c r="F475" s="163">
        <v>800</v>
      </c>
      <c r="G475" s="163">
        <v>15288</v>
      </c>
      <c r="H475" s="163">
        <v>6776</v>
      </c>
      <c r="I475" s="163">
        <v>8512</v>
      </c>
      <c r="K475" s="168"/>
    </row>
    <row r="476" spans="1:11" x14ac:dyDescent="0.25">
      <c r="A476" s="164" t="s">
        <v>428</v>
      </c>
      <c r="B476" s="164" t="s">
        <v>515</v>
      </c>
      <c r="C476" s="170">
        <v>39233</v>
      </c>
      <c r="D476" s="171">
        <f t="shared" si="10"/>
        <v>2007</v>
      </c>
      <c r="E476" s="167" t="s">
        <v>529</v>
      </c>
      <c r="F476" s="163">
        <v>400</v>
      </c>
      <c r="G476" s="163">
        <v>9484</v>
      </c>
      <c r="H476" s="163">
        <v>3936</v>
      </c>
      <c r="I476" s="163">
        <v>5548</v>
      </c>
      <c r="K476" s="168"/>
    </row>
    <row r="477" spans="1:11" x14ac:dyDescent="0.25">
      <c r="A477" s="164" t="s">
        <v>422</v>
      </c>
      <c r="B477" s="164" t="s">
        <v>515</v>
      </c>
      <c r="C477" s="170">
        <v>39233</v>
      </c>
      <c r="D477" s="171">
        <f t="shared" si="10"/>
        <v>2007</v>
      </c>
      <c r="E477" s="167" t="s">
        <v>529</v>
      </c>
      <c r="F477" s="163">
        <v>400</v>
      </c>
      <c r="G477" s="163">
        <v>8464</v>
      </c>
      <c r="H477" s="163">
        <v>3936</v>
      </c>
      <c r="I477" s="163">
        <v>4528</v>
      </c>
      <c r="K477" s="168"/>
    </row>
    <row r="478" spans="1:11" x14ac:dyDescent="0.25">
      <c r="A478" s="164" t="s">
        <v>428</v>
      </c>
      <c r="B478" s="164" t="s">
        <v>517</v>
      </c>
      <c r="C478" s="170">
        <v>39234</v>
      </c>
      <c r="D478" s="171">
        <f t="shared" si="10"/>
        <v>2007</v>
      </c>
      <c r="E478" s="167" t="s">
        <v>529</v>
      </c>
      <c r="F478" s="163">
        <v>100</v>
      </c>
      <c r="G478" s="163">
        <v>2517</v>
      </c>
      <c r="H478" s="163">
        <v>1022</v>
      </c>
      <c r="I478" s="163">
        <v>1495</v>
      </c>
      <c r="K478" s="168"/>
    </row>
    <row r="479" spans="1:11" x14ac:dyDescent="0.25">
      <c r="A479" s="164" t="s">
        <v>527</v>
      </c>
      <c r="B479" s="164" t="s">
        <v>517</v>
      </c>
      <c r="C479" s="170">
        <v>39235</v>
      </c>
      <c r="D479" s="171">
        <f t="shared" si="10"/>
        <v>2007</v>
      </c>
      <c r="E479" s="167" t="s">
        <v>528</v>
      </c>
      <c r="F479" s="163">
        <v>700</v>
      </c>
      <c r="G479" s="163">
        <v>15876</v>
      </c>
      <c r="H479" s="163">
        <v>7154</v>
      </c>
      <c r="I479" s="163">
        <v>8722</v>
      </c>
      <c r="K479" s="168"/>
    </row>
    <row r="480" spans="1:11" x14ac:dyDescent="0.25">
      <c r="A480" s="164" t="s">
        <v>428</v>
      </c>
      <c r="B480" s="164" t="s">
        <v>515</v>
      </c>
      <c r="C480" s="170">
        <v>39237</v>
      </c>
      <c r="D480" s="171">
        <f t="shared" si="10"/>
        <v>2007</v>
      </c>
      <c r="E480" s="167" t="s">
        <v>532</v>
      </c>
      <c r="F480" s="163">
        <v>800</v>
      </c>
      <c r="G480" s="163">
        <v>15816</v>
      </c>
      <c r="H480" s="163">
        <v>7872</v>
      </c>
      <c r="I480" s="163">
        <v>7944</v>
      </c>
      <c r="K480" s="168"/>
    </row>
    <row r="481" spans="1:11" x14ac:dyDescent="0.25">
      <c r="A481" s="164" t="s">
        <v>422</v>
      </c>
      <c r="B481" s="164" t="s">
        <v>516</v>
      </c>
      <c r="C481" s="170">
        <v>39239</v>
      </c>
      <c r="D481" s="171">
        <f t="shared" si="10"/>
        <v>2007</v>
      </c>
      <c r="E481" s="167" t="s">
        <v>531</v>
      </c>
      <c r="F481" s="163">
        <v>300</v>
      </c>
      <c r="G481" s="163">
        <v>5859</v>
      </c>
      <c r="H481" s="163">
        <v>2541</v>
      </c>
      <c r="I481" s="163">
        <v>3318</v>
      </c>
      <c r="K481" s="168"/>
    </row>
    <row r="482" spans="1:11" x14ac:dyDescent="0.25">
      <c r="A482" s="164" t="s">
        <v>422</v>
      </c>
      <c r="B482" s="164" t="s">
        <v>516</v>
      </c>
      <c r="C482" s="170">
        <v>39244</v>
      </c>
      <c r="D482" s="171">
        <f t="shared" si="10"/>
        <v>2007</v>
      </c>
      <c r="E482" s="167" t="s">
        <v>528</v>
      </c>
      <c r="F482" s="163">
        <v>500</v>
      </c>
      <c r="G482" s="163">
        <v>10295</v>
      </c>
      <c r="H482" s="163">
        <v>4235</v>
      </c>
      <c r="I482" s="163">
        <v>6060</v>
      </c>
      <c r="K482" s="168"/>
    </row>
    <row r="483" spans="1:11" x14ac:dyDescent="0.25">
      <c r="A483" s="164" t="s">
        <v>422</v>
      </c>
      <c r="B483" s="164" t="s">
        <v>515</v>
      </c>
      <c r="C483" s="170">
        <v>39247</v>
      </c>
      <c r="D483" s="171">
        <f t="shared" si="10"/>
        <v>2007</v>
      </c>
      <c r="E483" s="167" t="s">
        <v>533</v>
      </c>
      <c r="F483" s="163">
        <v>400</v>
      </c>
      <c r="G483" s="163">
        <v>9088</v>
      </c>
      <c r="H483" s="163">
        <v>3936</v>
      </c>
      <c r="I483" s="163">
        <v>5152</v>
      </c>
      <c r="K483" s="168"/>
    </row>
    <row r="484" spans="1:11" x14ac:dyDescent="0.25">
      <c r="A484" s="164" t="s">
        <v>527</v>
      </c>
      <c r="B484" s="164" t="s">
        <v>515</v>
      </c>
      <c r="C484" s="170">
        <v>39248</v>
      </c>
      <c r="D484" s="171">
        <f t="shared" si="10"/>
        <v>2007</v>
      </c>
      <c r="E484" s="167" t="s">
        <v>522</v>
      </c>
      <c r="F484" s="163">
        <v>200</v>
      </c>
      <c r="G484" s="163">
        <v>4472</v>
      </c>
      <c r="H484" s="163">
        <v>1968</v>
      </c>
      <c r="I484" s="163">
        <v>2504</v>
      </c>
      <c r="K484" s="168"/>
    </row>
    <row r="485" spans="1:11" x14ac:dyDescent="0.25">
      <c r="A485" s="164" t="s">
        <v>428</v>
      </c>
      <c r="B485" s="164" t="s">
        <v>516</v>
      </c>
      <c r="C485" s="170">
        <v>39250</v>
      </c>
      <c r="D485" s="171">
        <f t="shared" si="10"/>
        <v>2007</v>
      </c>
      <c r="E485" s="167" t="s">
        <v>522</v>
      </c>
      <c r="F485" s="163">
        <v>400</v>
      </c>
      <c r="G485" s="163">
        <v>8468</v>
      </c>
      <c r="H485" s="163">
        <v>3388</v>
      </c>
      <c r="I485" s="163">
        <v>5080</v>
      </c>
      <c r="K485" s="168"/>
    </row>
    <row r="486" spans="1:11" x14ac:dyDescent="0.25">
      <c r="A486" s="164" t="s">
        <v>428</v>
      </c>
      <c r="B486" s="164" t="s">
        <v>516</v>
      </c>
      <c r="C486" s="170">
        <v>39251</v>
      </c>
      <c r="D486" s="171">
        <f t="shared" si="10"/>
        <v>2007</v>
      </c>
      <c r="E486" s="167" t="s">
        <v>522</v>
      </c>
      <c r="F486" s="163">
        <v>400</v>
      </c>
      <c r="G486" s="163">
        <v>7132</v>
      </c>
      <c r="H486" s="163">
        <v>3388</v>
      </c>
      <c r="I486" s="163">
        <v>3744</v>
      </c>
      <c r="K486" s="168"/>
    </row>
    <row r="487" spans="1:11" x14ac:dyDescent="0.25">
      <c r="A487" s="164" t="s">
        <v>527</v>
      </c>
      <c r="B487" s="164" t="s">
        <v>516</v>
      </c>
      <c r="C487" s="170">
        <v>39256</v>
      </c>
      <c r="D487" s="171">
        <f t="shared" si="10"/>
        <v>2007</v>
      </c>
      <c r="E487" s="167" t="s">
        <v>532</v>
      </c>
      <c r="F487" s="163">
        <v>800</v>
      </c>
      <c r="G487" s="163">
        <v>16416</v>
      </c>
      <c r="H487" s="163">
        <v>6776</v>
      </c>
      <c r="I487" s="163">
        <v>9640</v>
      </c>
      <c r="K487" s="168"/>
    </row>
    <row r="488" spans="1:11" x14ac:dyDescent="0.25">
      <c r="A488" s="164" t="s">
        <v>428</v>
      </c>
      <c r="B488" s="164" t="s">
        <v>515</v>
      </c>
      <c r="C488" s="170">
        <v>39256</v>
      </c>
      <c r="D488" s="171">
        <f t="shared" si="10"/>
        <v>2007</v>
      </c>
      <c r="E488" s="167" t="s">
        <v>540</v>
      </c>
      <c r="F488" s="163">
        <v>1000</v>
      </c>
      <c r="G488" s="163">
        <v>21730</v>
      </c>
      <c r="H488" s="163">
        <v>9840</v>
      </c>
      <c r="I488" s="163">
        <v>11890</v>
      </c>
      <c r="K488" s="168"/>
    </row>
    <row r="489" spans="1:11" x14ac:dyDescent="0.25">
      <c r="A489" s="164" t="s">
        <v>422</v>
      </c>
      <c r="B489" s="164" t="s">
        <v>515</v>
      </c>
      <c r="C489" s="170">
        <v>39257</v>
      </c>
      <c r="D489" s="171">
        <f t="shared" si="10"/>
        <v>2007</v>
      </c>
      <c r="E489" s="167" t="s">
        <v>524</v>
      </c>
      <c r="F489" s="163">
        <v>800</v>
      </c>
      <c r="G489" s="163">
        <v>17056</v>
      </c>
      <c r="H489" s="163">
        <v>7872</v>
      </c>
      <c r="I489" s="163">
        <v>9184</v>
      </c>
      <c r="K489" s="168"/>
    </row>
    <row r="490" spans="1:11" x14ac:dyDescent="0.25">
      <c r="A490" s="164" t="s">
        <v>527</v>
      </c>
      <c r="B490" s="164" t="s">
        <v>517</v>
      </c>
      <c r="C490" s="170">
        <v>39259</v>
      </c>
      <c r="D490" s="171">
        <f t="shared" si="10"/>
        <v>2007</v>
      </c>
      <c r="E490" s="167" t="s">
        <v>523</v>
      </c>
      <c r="F490" s="163">
        <v>600</v>
      </c>
      <c r="G490" s="163">
        <v>12936</v>
      </c>
      <c r="H490" s="163">
        <v>6132</v>
      </c>
      <c r="I490" s="163">
        <v>6804</v>
      </c>
      <c r="K490" s="168"/>
    </row>
    <row r="491" spans="1:11" x14ac:dyDescent="0.25">
      <c r="A491" s="164" t="s">
        <v>527</v>
      </c>
      <c r="B491" s="164" t="s">
        <v>517</v>
      </c>
      <c r="C491" s="170">
        <v>39260</v>
      </c>
      <c r="D491" s="171">
        <f t="shared" si="10"/>
        <v>2007</v>
      </c>
      <c r="E491" s="167" t="s">
        <v>522</v>
      </c>
      <c r="F491" s="163">
        <v>500</v>
      </c>
      <c r="G491" s="163">
        <v>10385</v>
      </c>
      <c r="H491" s="163">
        <v>5110</v>
      </c>
      <c r="I491" s="163">
        <v>5275</v>
      </c>
      <c r="K491" s="168"/>
    </row>
    <row r="492" spans="1:11" x14ac:dyDescent="0.25">
      <c r="A492" s="164" t="s">
        <v>428</v>
      </c>
      <c r="B492" s="164" t="s">
        <v>516</v>
      </c>
      <c r="C492" s="170">
        <v>39266</v>
      </c>
      <c r="D492" s="171">
        <f t="shared" si="10"/>
        <v>2007</v>
      </c>
      <c r="E492" s="167" t="s">
        <v>529</v>
      </c>
      <c r="F492" s="163">
        <v>300</v>
      </c>
      <c r="G492" s="163">
        <v>5457</v>
      </c>
      <c r="H492" s="163">
        <v>2541</v>
      </c>
      <c r="I492" s="163">
        <v>2916</v>
      </c>
      <c r="K492" s="168"/>
    </row>
    <row r="493" spans="1:11" x14ac:dyDescent="0.25">
      <c r="A493" s="164" t="s">
        <v>527</v>
      </c>
      <c r="B493" s="164" t="s">
        <v>515</v>
      </c>
      <c r="C493" s="170">
        <v>39272</v>
      </c>
      <c r="D493" s="171">
        <f t="shared" si="10"/>
        <v>2007</v>
      </c>
      <c r="E493" s="167" t="s">
        <v>536</v>
      </c>
      <c r="F493" s="163">
        <v>800</v>
      </c>
      <c r="G493" s="163">
        <v>15856</v>
      </c>
      <c r="H493" s="163">
        <v>7872</v>
      </c>
      <c r="I493" s="163">
        <v>7984</v>
      </c>
      <c r="K493" s="168"/>
    </row>
    <row r="494" spans="1:11" x14ac:dyDescent="0.25">
      <c r="A494" s="164" t="s">
        <v>527</v>
      </c>
      <c r="B494" s="164" t="s">
        <v>516</v>
      </c>
      <c r="C494" s="170">
        <v>39274</v>
      </c>
      <c r="D494" s="171">
        <f t="shared" si="10"/>
        <v>2007</v>
      </c>
      <c r="E494" s="167" t="s">
        <v>522</v>
      </c>
      <c r="F494" s="163">
        <v>200</v>
      </c>
      <c r="G494" s="163">
        <v>3922</v>
      </c>
      <c r="H494" s="163">
        <v>1694</v>
      </c>
      <c r="I494" s="163">
        <v>2228</v>
      </c>
      <c r="K494" s="168"/>
    </row>
    <row r="495" spans="1:11" x14ac:dyDescent="0.25">
      <c r="A495" s="164" t="s">
        <v>428</v>
      </c>
      <c r="B495" s="164" t="s">
        <v>516</v>
      </c>
      <c r="C495" s="170">
        <v>39274</v>
      </c>
      <c r="D495" s="171">
        <f t="shared" si="10"/>
        <v>2007</v>
      </c>
      <c r="E495" s="167" t="s">
        <v>523</v>
      </c>
      <c r="F495" s="163">
        <v>100</v>
      </c>
      <c r="G495" s="163">
        <v>2055</v>
      </c>
      <c r="H495" s="163">
        <v>847</v>
      </c>
      <c r="I495" s="163">
        <v>1208</v>
      </c>
      <c r="K495" s="168"/>
    </row>
    <row r="496" spans="1:11" x14ac:dyDescent="0.25">
      <c r="A496" s="164" t="s">
        <v>422</v>
      </c>
      <c r="B496" s="164" t="s">
        <v>516</v>
      </c>
      <c r="C496" s="170">
        <v>39278</v>
      </c>
      <c r="D496" s="171">
        <f t="shared" si="10"/>
        <v>2007</v>
      </c>
      <c r="E496" s="167" t="s">
        <v>537</v>
      </c>
      <c r="F496" s="163">
        <v>700</v>
      </c>
      <c r="G496" s="163">
        <v>12474</v>
      </c>
      <c r="H496" s="163">
        <v>5929</v>
      </c>
      <c r="I496" s="163">
        <v>6545</v>
      </c>
      <c r="K496" s="168"/>
    </row>
    <row r="497" spans="1:11" x14ac:dyDescent="0.25">
      <c r="A497" s="164" t="s">
        <v>527</v>
      </c>
      <c r="B497" s="164" t="s">
        <v>516</v>
      </c>
      <c r="C497" s="170">
        <v>39280</v>
      </c>
      <c r="D497" s="171">
        <f t="shared" si="10"/>
        <v>2007</v>
      </c>
      <c r="E497" s="167" t="s">
        <v>533</v>
      </c>
      <c r="F497" s="163">
        <v>100</v>
      </c>
      <c r="G497" s="163">
        <v>1968</v>
      </c>
      <c r="H497" s="163">
        <v>847</v>
      </c>
      <c r="I497" s="163">
        <v>1121</v>
      </c>
      <c r="K497" s="168"/>
    </row>
    <row r="498" spans="1:11" x14ac:dyDescent="0.25">
      <c r="A498" s="164" t="s">
        <v>428</v>
      </c>
      <c r="B498" s="164" t="s">
        <v>517</v>
      </c>
      <c r="C498" s="170">
        <v>39280</v>
      </c>
      <c r="D498" s="171">
        <f t="shared" si="10"/>
        <v>2007</v>
      </c>
      <c r="E498" s="167" t="s">
        <v>523</v>
      </c>
      <c r="F498" s="163">
        <v>700</v>
      </c>
      <c r="G498" s="163">
        <v>15988</v>
      </c>
      <c r="H498" s="163">
        <v>7154</v>
      </c>
      <c r="I498" s="163">
        <v>8834</v>
      </c>
      <c r="K498" s="168"/>
    </row>
    <row r="499" spans="1:11" x14ac:dyDescent="0.25">
      <c r="A499" s="164" t="s">
        <v>422</v>
      </c>
      <c r="B499" s="164" t="s">
        <v>516</v>
      </c>
      <c r="C499" s="170">
        <v>39281</v>
      </c>
      <c r="D499" s="171">
        <f t="shared" si="10"/>
        <v>2007</v>
      </c>
      <c r="E499" s="167" t="s">
        <v>522</v>
      </c>
      <c r="F499" s="163">
        <v>200</v>
      </c>
      <c r="G499" s="163">
        <v>3672</v>
      </c>
      <c r="H499" s="163">
        <v>1694</v>
      </c>
      <c r="I499" s="163">
        <v>1978</v>
      </c>
      <c r="K499" s="168"/>
    </row>
    <row r="500" spans="1:11" x14ac:dyDescent="0.25">
      <c r="A500" s="164" t="s">
        <v>428</v>
      </c>
      <c r="B500" s="164" t="s">
        <v>516</v>
      </c>
      <c r="C500" s="170">
        <v>39288</v>
      </c>
      <c r="D500" s="171">
        <f t="shared" si="10"/>
        <v>2007</v>
      </c>
      <c r="E500" s="167" t="s">
        <v>529</v>
      </c>
      <c r="F500" s="163">
        <v>400</v>
      </c>
      <c r="G500" s="163">
        <v>6944</v>
      </c>
      <c r="H500" s="163">
        <v>3388</v>
      </c>
      <c r="I500" s="163">
        <v>3556</v>
      </c>
      <c r="K500" s="168"/>
    </row>
    <row r="501" spans="1:11" x14ac:dyDescent="0.25">
      <c r="A501" s="164" t="s">
        <v>527</v>
      </c>
      <c r="B501" s="164" t="s">
        <v>515</v>
      </c>
      <c r="C501" s="170">
        <v>39288</v>
      </c>
      <c r="D501" s="171">
        <f t="shared" si="10"/>
        <v>2007</v>
      </c>
      <c r="E501" s="167" t="s">
        <v>531</v>
      </c>
      <c r="F501" s="163">
        <v>600</v>
      </c>
      <c r="G501" s="163">
        <v>13368</v>
      </c>
      <c r="H501" s="163">
        <v>5904</v>
      </c>
      <c r="I501" s="163">
        <v>7464</v>
      </c>
      <c r="K501" s="168"/>
    </row>
    <row r="502" spans="1:11" x14ac:dyDescent="0.25">
      <c r="A502" s="164" t="s">
        <v>422</v>
      </c>
      <c r="B502" s="164" t="s">
        <v>515</v>
      </c>
      <c r="C502" s="170">
        <v>39290</v>
      </c>
      <c r="D502" s="171">
        <f t="shared" si="10"/>
        <v>2007</v>
      </c>
      <c r="E502" s="167" t="s">
        <v>524</v>
      </c>
      <c r="F502" s="163">
        <v>300</v>
      </c>
      <c r="G502" s="163">
        <v>6018</v>
      </c>
      <c r="H502" s="163">
        <v>2952</v>
      </c>
      <c r="I502" s="163">
        <v>3066</v>
      </c>
      <c r="K502" s="168"/>
    </row>
    <row r="503" spans="1:11" x14ac:dyDescent="0.25">
      <c r="A503" s="164" t="s">
        <v>527</v>
      </c>
      <c r="B503" s="164" t="s">
        <v>517</v>
      </c>
      <c r="C503" s="170">
        <v>39291</v>
      </c>
      <c r="D503" s="171">
        <f t="shared" si="10"/>
        <v>2007</v>
      </c>
      <c r="E503" s="167" t="s">
        <v>532</v>
      </c>
      <c r="F503" s="163">
        <v>100</v>
      </c>
      <c r="G503" s="163">
        <v>2343</v>
      </c>
      <c r="H503" s="163">
        <v>1022</v>
      </c>
      <c r="I503" s="163">
        <v>1321</v>
      </c>
      <c r="K503" s="168"/>
    </row>
    <row r="504" spans="1:11" x14ac:dyDescent="0.25">
      <c r="A504" s="164" t="s">
        <v>422</v>
      </c>
      <c r="B504" s="164" t="s">
        <v>516</v>
      </c>
      <c r="C504" s="170">
        <v>39295</v>
      </c>
      <c r="D504" s="171">
        <f t="shared" si="10"/>
        <v>2007</v>
      </c>
      <c r="E504" s="167" t="s">
        <v>528</v>
      </c>
      <c r="F504" s="163">
        <v>400</v>
      </c>
      <c r="G504" s="163">
        <v>7752</v>
      </c>
      <c r="H504" s="163">
        <v>3388</v>
      </c>
      <c r="I504" s="163">
        <v>4364</v>
      </c>
      <c r="K504" s="168"/>
    </row>
    <row r="505" spans="1:11" x14ac:dyDescent="0.25">
      <c r="A505" s="164" t="s">
        <v>422</v>
      </c>
      <c r="B505" s="164" t="s">
        <v>515</v>
      </c>
      <c r="C505" s="170">
        <v>39296</v>
      </c>
      <c r="D505" s="171">
        <f t="shared" si="10"/>
        <v>2007</v>
      </c>
      <c r="E505" s="167" t="s">
        <v>529</v>
      </c>
      <c r="F505" s="163">
        <v>500</v>
      </c>
      <c r="G505" s="163">
        <v>11295</v>
      </c>
      <c r="H505" s="163">
        <v>4920</v>
      </c>
      <c r="I505" s="163">
        <v>6375</v>
      </c>
      <c r="K505" s="168"/>
    </row>
    <row r="506" spans="1:11" x14ac:dyDescent="0.25">
      <c r="A506" s="164" t="s">
        <v>527</v>
      </c>
      <c r="B506" s="164" t="s">
        <v>515</v>
      </c>
      <c r="C506" s="170">
        <v>39296</v>
      </c>
      <c r="D506" s="171">
        <f t="shared" si="10"/>
        <v>2007</v>
      </c>
      <c r="E506" s="167" t="s">
        <v>532</v>
      </c>
      <c r="F506" s="163">
        <v>600</v>
      </c>
      <c r="G506" s="163">
        <v>13200</v>
      </c>
      <c r="H506" s="163">
        <v>5904</v>
      </c>
      <c r="I506" s="163">
        <v>7296</v>
      </c>
      <c r="K506" s="168"/>
    </row>
    <row r="507" spans="1:11" x14ac:dyDescent="0.25">
      <c r="A507" s="164" t="s">
        <v>527</v>
      </c>
      <c r="B507" s="164" t="s">
        <v>517</v>
      </c>
      <c r="C507" s="170">
        <v>39298</v>
      </c>
      <c r="D507" s="171">
        <f t="shared" si="10"/>
        <v>2007</v>
      </c>
      <c r="E507" s="167" t="s">
        <v>530</v>
      </c>
      <c r="F507" s="163">
        <v>800</v>
      </c>
      <c r="G507" s="163">
        <v>17160</v>
      </c>
      <c r="H507" s="163">
        <v>8176</v>
      </c>
      <c r="I507" s="163">
        <v>8984</v>
      </c>
      <c r="K507" s="168"/>
    </row>
    <row r="508" spans="1:11" x14ac:dyDescent="0.25">
      <c r="A508" s="164" t="s">
        <v>428</v>
      </c>
      <c r="B508" s="164" t="s">
        <v>517</v>
      </c>
      <c r="C508" s="170">
        <v>39299</v>
      </c>
      <c r="D508" s="171">
        <f t="shared" si="10"/>
        <v>2007</v>
      </c>
      <c r="E508" s="167" t="s">
        <v>530</v>
      </c>
      <c r="F508" s="163">
        <v>900</v>
      </c>
      <c r="G508" s="163">
        <v>20664</v>
      </c>
      <c r="H508" s="163">
        <v>9198</v>
      </c>
      <c r="I508" s="163">
        <v>11466</v>
      </c>
      <c r="K508" s="168"/>
    </row>
    <row r="509" spans="1:11" x14ac:dyDescent="0.25">
      <c r="A509" s="164" t="s">
        <v>428</v>
      </c>
      <c r="B509" s="164" t="s">
        <v>517</v>
      </c>
      <c r="C509" s="170">
        <v>39300</v>
      </c>
      <c r="D509" s="171">
        <f t="shared" si="10"/>
        <v>2007</v>
      </c>
      <c r="E509" s="167" t="s">
        <v>542</v>
      </c>
      <c r="F509" s="163">
        <v>100</v>
      </c>
      <c r="G509" s="163">
        <v>2538</v>
      </c>
      <c r="H509" s="163">
        <v>1022</v>
      </c>
      <c r="I509" s="163">
        <v>1516</v>
      </c>
      <c r="K509" s="168"/>
    </row>
    <row r="510" spans="1:11" x14ac:dyDescent="0.25">
      <c r="A510" s="164" t="s">
        <v>422</v>
      </c>
      <c r="B510" s="164" t="s">
        <v>517</v>
      </c>
      <c r="C510" s="170">
        <v>39301</v>
      </c>
      <c r="D510" s="171">
        <f t="shared" si="10"/>
        <v>2007</v>
      </c>
      <c r="E510" s="167" t="s">
        <v>524</v>
      </c>
      <c r="F510" s="163">
        <v>900</v>
      </c>
      <c r="G510" s="163">
        <v>21834</v>
      </c>
      <c r="H510" s="163">
        <v>9198</v>
      </c>
      <c r="I510" s="163">
        <v>12636</v>
      </c>
      <c r="K510" s="168"/>
    </row>
    <row r="511" spans="1:11" x14ac:dyDescent="0.25">
      <c r="A511" s="164" t="s">
        <v>527</v>
      </c>
      <c r="B511" s="164" t="s">
        <v>515</v>
      </c>
      <c r="C511" s="170">
        <v>39306</v>
      </c>
      <c r="D511" s="171">
        <f t="shared" si="10"/>
        <v>2007</v>
      </c>
      <c r="E511" s="167" t="s">
        <v>523</v>
      </c>
      <c r="F511" s="163">
        <v>300</v>
      </c>
      <c r="G511" s="163">
        <v>6462</v>
      </c>
      <c r="H511" s="163">
        <v>2952</v>
      </c>
      <c r="I511" s="163">
        <v>3510</v>
      </c>
      <c r="K511" s="168"/>
    </row>
    <row r="512" spans="1:11" x14ac:dyDescent="0.25">
      <c r="A512" s="164" t="s">
        <v>422</v>
      </c>
      <c r="B512" s="164" t="s">
        <v>517</v>
      </c>
      <c r="C512" s="170">
        <v>39307</v>
      </c>
      <c r="D512" s="171">
        <f t="shared" si="10"/>
        <v>2007</v>
      </c>
      <c r="E512" s="167" t="s">
        <v>530</v>
      </c>
      <c r="F512" s="163">
        <v>700</v>
      </c>
      <c r="G512" s="163">
        <v>16576</v>
      </c>
      <c r="H512" s="163">
        <v>7154</v>
      </c>
      <c r="I512" s="163">
        <v>9422</v>
      </c>
      <c r="K512" s="168"/>
    </row>
    <row r="513" spans="1:11" x14ac:dyDescent="0.25">
      <c r="A513" s="164" t="s">
        <v>428</v>
      </c>
      <c r="B513" s="164" t="s">
        <v>515</v>
      </c>
      <c r="C513" s="170">
        <v>39309</v>
      </c>
      <c r="D513" s="171">
        <f t="shared" si="10"/>
        <v>2007</v>
      </c>
      <c r="E513" s="167" t="s">
        <v>530</v>
      </c>
      <c r="F513" s="163">
        <v>600</v>
      </c>
      <c r="G513" s="163">
        <v>12048</v>
      </c>
      <c r="H513" s="163">
        <v>5904</v>
      </c>
      <c r="I513" s="163">
        <v>6144</v>
      </c>
      <c r="K513" s="168"/>
    </row>
    <row r="514" spans="1:11" x14ac:dyDescent="0.25">
      <c r="A514" s="164" t="s">
        <v>422</v>
      </c>
      <c r="B514" s="164" t="s">
        <v>515</v>
      </c>
      <c r="C514" s="170">
        <v>39311</v>
      </c>
      <c r="D514" s="171">
        <f t="shared" si="10"/>
        <v>2007</v>
      </c>
      <c r="E514" s="167" t="s">
        <v>528</v>
      </c>
      <c r="F514" s="163">
        <v>700</v>
      </c>
      <c r="G514" s="163">
        <v>16219</v>
      </c>
      <c r="H514" s="163">
        <v>6888</v>
      </c>
      <c r="I514" s="163">
        <v>9331</v>
      </c>
      <c r="K514" s="168"/>
    </row>
    <row r="515" spans="1:11" x14ac:dyDescent="0.25">
      <c r="A515" s="164" t="s">
        <v>527</v>
      </c>
      <c r="B515" s="164" t="s">
        <v>516</v>
      </c>
      <c r="C515" s="170">
        <v>39313</v>
      </c>
      <c r="D515" s="171">
        <f t="shared" si="10"/>
        <v>2007</v>
      </c>
      <c r="E515" s="167" t="s">
        <v>528</v>
      </c>
      <c r="F515" s="163">
        <v>400</v>
      </c>
      <c r="G515" s="163">
        <v>7944</v>
      </c>
      <c r="H515" s="163">
        <v>3388</v>
      </c>
      <c r="I515" s="163">
        <v>4556</v>
      </c>
      <c r="K515" s="168"/>
    </row>
    <row r="516" spans="1:11" x14ac:dyDescent="0.25">
      <c r="A516" s="164" t="s">
        <v>428</v>
      </c>
      <c r="B516" s="164" t="s">
        <v>517</v>
      </c>
      <c r="C516" s="170">
        <v>39313</v>
      </c>
      <c r="D516" s="171">
        <f t="shared" si="10"/>
        <v>2007</v>
      </c>
      <c r="E516" s="167" t="s">
        <v>528</v>
      </c>
      <c r="F516" s="163">
        <v>100</v>
      </c>
      <c r="G516" s="163">
        <v>2547</v>
      </c>
      <c r="H516" s="163">
        <v>1022</v>
      </c>
      <c r="I516" s="163">
        <v>1525</v>
      </c>
      <c r="K516" s="168"/>
    </row>
    <row r="517" spans="1:11" x14ac:dyDescent="0.25">
      <c r="A517" s="164" t="s">
        <v>428</v>
      </c>
      <c r="B517" s="164" t="s">
        <v>516</v>
      </c>
      <c r="C517" s="170">
        <v>39316</v>
      </c>
      <c r="D517" s="171">
        <f t="shared" si="10"/>
        <v>2007</v>
      </c>
      <c r="E517" s="167" t="s">
        <v>544</v>
      </c>
      <c r="F517" s="163">
        <v>300</v>
      </c>
      <c r="G517" s="163">
        <v>5532</v>
      </c>
      <c r="H517" s="163">
        <v>2541</v>
      </c>
      <c r="I517" s="163">
        <v>2991</v>
      </c>
      <c r="K517" s="168"/>
    </row>
    <row r="518" spans="1:11" x14ac:dyDescent="0.25">
      <c r="A518" s="164" t="s">
        <v>422</v>
      </c>
      <c r="B518" s="164" t="s">
        <v>516</v>
      </c>
      <c r="C518" s="170">
        <v>39320</v>
      </c>
      <c r="D518" s="171">
        <f t="shared" si="10"/>
        <v>2007</v>
      </c>
      <c r="E518" s="167" t="s">
        <v>530</v>
      </c>
      <c r="F518" s="163">
        <v>600</v>
      </c>
      <c r="G518" s="163">
        <v>10404</v>
      </c>
      <c r="H518" s="163">
        <v>5082</v>
      </c>
      <c r="I518" s="163">
        <v>5322</v>
      </c>
      <c r="K518" s="168"/>
    </row>
    <row r="519" spans="1:11" x14ac:dyDescent="0.25">
      <c r="A519" s="164" t="s">
        <v>527</v>
      </c>
      <c r="B519" s="164" t="s">
        <v>516</v>
      </c>
      <c r="C519" s="170">
        <v>39320</v>
      </c>
      <c r="D519" s="171">
        <f t="shared" si="10"/>
        <v>2007</v>
      </c>
      <c r="E519" s="167" t="s">
        <v>523</v>
      </c>
      <c r="F519" s="163">
        <v>300</v>
      </c>
      <c r="G519" s="163">
        <v>5592</v>
      </c>
      <c r="H519" s="163">
        <v>2541</v>
      </c>
      <c r="I519" s="163">
        <v>3051</v>
      </c>
      <c r="K519" s="168"/>
    </row>
    <row r="520" spans="1:11" x14ac:dyDescent="0.25">
      <c r="A520" s="164" t="s">
        <v>428</v>
      </c>
      <c r="B520" s="164" t="s">
        <v>516</v>
      </c>
      <c r="C520" s="170">
        <v>39322</v>
      </c>
      <c r="D520" s="171">
        <f t="shared" si="10"/>
        <v>2007</v>
      </c>
      <c r="E520" s="167" t="s">
        <v>533</v>
      </c>
      <c r="F520" s="163">
        <v>100</v>
      </c>
      <c r="G520" s="163">
        <v>1819</v>
      </c>
      <c r="H520" s="163">
        <v>847</v>
      </c>
      <c r="I520" s="163">
        <v>972</v>
      </c>
      <c r="K520" s="168"/>
    </row>
    <row r="521" spans="1:11" x14ac:dyDescent="0.25">
      <c r="A521" s="164" t="s">
        <v>428</v>
      </c>
      <c r="B521" s="164" t="s">
        <v>515</v>
      </c>
      <c r="C521" s="170">
        <v>39324</v>
      </c>
      <c r="D521" s="171">
        <f t="shared" si="10"/>
        <v>2007</v>
      </c>
      <c r="E521" s="167" t="s">
        <v>522</v>
      </c>
      <c r="F521" s="163">
        <v>200</v>
      </c>
      <c r="G521" s="163">
        <v>4696</v>
      </c>
      <c r="H521" s="163">
        <v>1968</v>
      </c>
      <c r="I521" s="163">
        <v>2728</v>
      </c>
      <c r="K521" s="168"/>
    </row>
    <row r="522" spans="1:11" x14ac:dyDescent="0.25">
      <c r="A522" s="164" t="s">
        <v>527</v>
      </c>
      <c r="B522" s="164" t="s">
        <v>516</v>
      </c>
      <c r="C522" s="170">
        <v>39336</v>
      </c>
      <c r="D522" s="171">
        <f t="shared" ref="D522:D572" si="11">YEAR(C522)</f>
        <v>2007</v>
      </c>
      <c r="E522" s="167" t="s">
        <v>522</v>
      </c>
      <c r="F522" s="163">
        <v>900</v>
      </c>
      <c r="G522" s="163">
        <v>17712</v>
      </c>
      <c r="H522" s="163">
        <v>7623</v>
      </c>
      <c r="I522" s="163">
        <v>10089</v>
      </c>
      <c r="K522" s="168"/>
    </row>
    <row r="523" spans="1:11" x14ac:dyDescent="0.25">
      <c r="A523" s="164" t="s">
        <v>422</v>
      </c>
      <c r="B523" s="164" t="s">
        <v>515</v>
      </c>
      <c r="C523" s="170">
        <v>39338</v>
      </c>
      <c r="D523" s="171">
        <f t="shared" si="11"/>
        <v>2007</v>
      </c>
      <c r="E523" s="167" t="s">
        <v>532</v>
      </c>
      <c r="F523" s="163">
        <v>500</v>
      </c>
      <c r="G523" s="163">
        <v>11330</v>
      </c>
      <c r="H523" s="163">
        <v>4920</v>
      </c>
      <c r="I523" s="163">
        <v>6410</v>
      </c>
      <c r="K523" s="168"/>
    </row>
    <row r="524" spans="1:11" x14ac:dyDescent="0.25">
      <c r="A524" s="164" t="s">
        <v>527</v>
      </c>
      <c r="B524" s="164" t="s">
        <v>517</v>
      </c>
      <c r="C524" s="170">
        <v>39339</v>
      </c>
      <c r="D524" s="171">
        <f t="shared" si="11"/>
        <v>2007</v>
      </c>
      <c r="E524" s="167" t="s">
        <v>531</v>
      </c>
      <c r="F524" s="163">
        <v>200</v>
      </c>
      <c r="G524" s="163">
        <v>4264</v>
      </c>
      <c r="H524" s="163">
        <v>2044</v>
      </c>
      <c r="I524" s="163">
        <v>2220</v>
      </c>
      <c r="K524" s="168"/>
    </row>
    <row r="525" spans="1:11" x14ac:dyDescent="0.25">
      <c r="A525" s="164" t="s">
        <v>527</v>
      </c>
      <c r="B525" s="164" t="s">
        <v>517</v>
      </c>
      <c r="C525" s="170">
        <v>39344</v>
      </c>
      <c r="D525" s="171">
        <f t="shared" si="11"/>
        <v>2007</v>
      </c>
      <c r="E525" s="167" t="s">
        <v>522</v>
      </c>
      <c r="F525" s="163">
        <v>900</v>
      </c>
      <c r="G525" s="163">
        <v>22014</v>
      </c>
      <c r="H525" s="163">
        <v>9198</v>
      </c>
      <c r="I525" s="163">
        <v>12816</v>
      </c>
      <c r="K525" s="168"/>
    </row>
    <row r="526" spans="1:11" x14ac:dyDescent="0.25">
      <c r="A526" s="164" t="s">
        <v>428</v>
      </c>
      <c r="B526" s="164" t="s">
        <v>516</v>
      </c>
      <c r="C526" s="170">
        <v>39347</v>
      </c>
      <c r="D526" s="171">
        <f t="shared" si="11"/>
        <v>2007</v>
      </c>
      <c r="E526" s="167" t="s">
        <v>531</v>
      </c>
      <c r="F526" s="163">
        <v>800</v>
      </c>
      <c r="G526" s="163">
        <v>13936</v>
      </c>
      <c r="H526" s="163">
        <v>6776</v>
      </c>
      <c r="I526" s="163">
        <v>7160</v>
      </c>
      <c r="K526" s="168"/>
    </row>
    <row r="527" spans="1:11" x14ac:dyDescent="0.25">
      <c r="A527" s="164" t="s">
        <v>422</v>
      </c>
      <c r="B527" s="164" t="s">
        <v>515</v>
      </c>
      <c r="C527" s="170">
        <v>39350</v>
      </c>
      <c r="D527" s="171">
        <f t="shared" si="11"/>
        <v>2007</v>
      </c>
      <c r="E527" s="167" t="s">
        <v>529</v>
      </c>
      <c r="F527" s="163">
        <v>900</v>
      </c>
      <c r="G527" s="163">
        <v>19989</v>
      </c>
      <c r="H527" s="163">
        <v>8856</v>
      </c>
      <c r="I527" s="163">
        <v>11133</v>
      </c>
      <c r="K527" s="168"/>
    </row>
    <row r="528" spans="1:11" x14ac:dyDescent="0.25">
      <c r="A528" s="164" t="s">
        <v>422</v>
      </c>
      <c r="B528" s="164" t="s">
        <v>517</v>
      </c>
      <c r="C528" s="170">
        <v>39351</v>
      </c>
      <c r="D528" s="171">
        <f t="shared" si="11"/>
        <v>2007</v>
      </c>
      <c r="E528" s="167" t="s">
        <v>523</v>
      </c>
      <c r="F528" s="163">
        <v>100</v>
      </c>
      <c r="G528" s="163">
        <v>2466</v>
      </c>
      <c r="H528" s="163">
        <v>1022</v>
      </c>
      <c r="I528" s="163">
        <v>1444</v>
      </c>
      <c r="K528" s="168"/>
    </row>
    <row r="529" spans="1:11" x14ac:dyDescent="0.25">
      <c r="A529" s="164" t="s">
        <v>422</v>
      </c>
      <c r="B529" s="164" t="s">
        <v>516</v>
      </c>
      <c r="C529" s="170">
        <v>39353</v>
      </c>
      <c r="D529" s="171">
        <f t="shared" si="11"/>
        <v>2007</v>
      </c>
      <c r="E529" s="167" t="s">
        <v>533</v>
      </c>
      <c r="F529" s="163">
        <v>100</v>
      </c>
      <c r="G529" s="163">
        <v>1957</v>
      </c>
      <c r="H529" s="163">
        <v>847</v>
      </c>
      <c r="I529" s="163">
        <v>1110</v>
      </c>
      <c r="K529" s="168"/>
    </row>
    <row r="530" spans="1:11" x14ac:dyDescent="0.25">
      <c r="A530" s="164" t="s">
        <v>428</v>
      </c>
      <c r="B530" s="164" t="s">
        <v>516</v>
      </c>
      <c r="C530" s="170">
        <v>39354</v>
      </c>
      <c r="D530" s="171">
        <f t="shared" si="11"/>
        <v>2007</v>
      </c>
      <c r="E530" s="167" t="s">
        <v>524</v>
      </c>
      <c r="F530" s="163">
        <v>800</v>
      </c>
      <c r="G530" s="163">
        <v>16288</v>
      </c>
      <c r="H530" s="163">
        <v>6776</v>
      </c>
      <c r="I530" s="163">
        <v>9512</v>
      </c>
      <c r="K530" s="168"/>
    </row>
    <row r="531" spans="1:11" x14ac:dyDescent="0.25">
      <c r="A531" s="164" t="s">
        <v>422</v>
      </c>
      <c r="B531" s="164" t="s">
        <v>515</v>
      </c>
      <c r="C531" s="170">
        <v>39355</v>
      </c>
      <c r="D531" s="171">
        <f t="shared" si="11"/>
        <v>2007</v>
      </c>
      <c r="E531" s="167" t="s">
        <v>522</v>
      </c>
      <c r="F531" s="163">
        <v>800</v>
      </c>
      <c r="G531" s="163">
        <v>16016</v>
      </c>
      <c r="H531" s="163">
        <v>7872</v>
      </c>
      <c r="I531" s="163">
        <v>8144</v>
      </c>
      <c r="K531" s="168"/>
    </row>
    <row r="532" spans="1:11" x14ac:dyDescent="0.25">
      <c r="A532" s="164" t="s">
        <v>527</v>
      </c>
      <c r="B532" s="164" t="s">
        <v>515</v>
      </c>
      <c r="C532" s="170">
        <v>39369</v>
      </c>
      <c r="D532" s="171">
        <f t="shared" si="11"/>
        <v>2007</v>
      </c>
      <c r="E532" s="167" t="s">
        <v>533</v>
      </c>
      <c r="F532" s="163">
        <v>500</v>
      </c>
      <c r="G532" s="163">
        <v>11530</v>
      </c>
      <c r="H532" s="163">
        <v>4920</v>
      </c>
      <c r="I532" s="163">
        <v>6610</v>
      </c>
      <c r="K532" s="168"/>
    </row>
    <row r="533" spans="1:11" x14ac:dyDescent="0.25">
      <c r="A533" s="164" t="s">
        <v>527</v>
      </c>
      <c r="B533" s="164" t="s">
        <v>517</v>
      </c>
      <c r="C533" s="170">
        <v>39369</v>
      </c>
      <c r="D533" s="171">
        <f t="shared" si="11"/>
        <v>2007</v>
      </c>
      <c r="E533" s="167" t="s">
        <v>533</v>
      </c>
      <c r="F533" s="163">
        <v>300</v>
      </c>
      <c r="G533" s="163">
        <v>6438</v>
      </c>
      <c r="H533" s="163">
        <v>3066</v>
      </c>
      <c r="I533" s="163">
        <v>3372</v>
      </c>
      <c r="K533" s="168"/>
    </row>
    <row r="534" spans="1:11" x14ac:dyDescent="0.25">
      <c r="A534" s="164" t="s">
        <v>428</v>
      </c>
      <c r="B534" s="164" t="s">
        <v>516</v>
      </c>
      <c r="C534" s="170">
        <v>39371</v>
      </c>
      <c r="D534" s="171">
        <f t="shared" si="11"/>
        <v>2007</v>
      </c>
      <c r="E534" s="167" t="s">
        <v>532</v>
      </c>
      <c r="F534" s="163">
        <v>400</v>
      </c>
      <c r="G534" s="163">
        <v>8456</v>
      </c>
      <c r="H534" s="163">
        <v>3388</v>
      </c>
      <c r="I534" s="163">
        <v>5068</v>
      </c>
      <c r="K534" s="168"/>
    </row>
    <row r="535" spans="1:11" x14ac:dyDescent="0.25">
      <c r="A535" s="164" t="s">
        <v>527</v>
      </c>
      <c r="B535" s="164" t="s">
        <v>516</v>
      </c>
      <c r="C535" s="170">
        <v>39373</v>
      </c>
      <c r="D535" s="171">
        <f t="shared" si="11"/>
        <v>2007</v>
      </c>
      <c r="E535" s="167" t="s">
        <v>530</v>
      </c>
      <c r="F535" s="163">
        <v>600</v>
      </c>
      <c r="G535" s="163">
        <v>11124</v>
      </c>
      <c r="H535" s="163">
        <v>5082</v>
      </c>
      <c r="I535" s="163">
        <v>6042</v>
      </c>
      <c r="K535" s="168"/>
    </row>
    <row r="536" spans="1:11" x14ac:dyDescent="0.25">
      <c r="A536" s="164" t="s">
        <v>428</v>
      </c>
      <c r="B536" s="164" t="s">
        <v>515</v>
      </c>
      <c r="C536" s="170">
        <v>39373</v>
      </c>
      <c r="D536" s="171">
        <f t="shared" si="11"/>
        <v>2007</v>
      </c>
      <c r="E536" s="167" t="s">
        <v>528</v>
      </c>
      <c r="F536" s="163">
        <v>600</v>
      </c>
      <c r="G536" s="163">
        <v>13332</v>
      </c>
      <c r="H536" s="163">
        <v>5904</v>
      </c>
      <c r="I536" s="163">
        <v>7428</v>
      </c>
      <c r="K536" s="168"/>
    </row>
    <row r="537" spans="1:11" x14ac:dyDescent="0.25">
      <c r="A537" s="164" t="s">
        <v>422</v>
      </c>
      <c r="B537" s="164" t="s">
        <v>516</v>
      </c>
      <c r="C537" s="170">
        <v>39378</v>
      </c>
      <c r="D537" s="171">
        <f t="shared" si="11"/>
        <v>2007</v>
      </c>
      <c r="E537" s="167" t="s">
        <v>529</v>
      </c>
      <c r="F537" s="163">
        <v>500</v>
      </c>
      <c r="G537" s="163">
        <v>9575</v>
      </c>
      <c r="H537" s="163">
        <v>4235</v>
      </c>
      <c r="I537" s="163">
        <v>5340</v>
      </c>
      <c r="K537" s="168"/>
    </row>
    <row r="538" spans="1:11" x14ac:dyDescent="0.25">
      <c r="A538" s="164" t="s">
        <v>422</v>
      </c>
      <c r="B538" s="164" t="s">
        <v>517</v>
      </c>
      <c r="C538" s="170">
        <v>39378</v>
      </c>
      <c r="D538" s="171">
        <f t="shared" si="11"/>
        <v>2007</v>
      </c>
      <c r="E538" s="167" t="s">
        <v>528</v>
      </c>
      <c r="F538" s="163">
        <v>800</v>
      </c>
      <c r="G538" s="163">
        <v>17496</v>
      </c>
      <c r="H538" s="163">
        <v>8176</v>
      </c>
      <c r="I538" s="163">
        <v>9320</v>
      </c>
      <c r="K538" s="168"/>
    </row>
    <row r="539" spans="1:11" x14ac:dyDescent="0.25">
      <c r="A539" s="164" t="s">
        <v>527</v>
      </c>
      <c r="B539" s="164" t="s">
        <v>517</v>
      </c>
      <c r="C539" s="170">
        <v>39378</v>
      </c>
      <c r="D539" s="171">
        <f t="shared" si="11"/>
        <v>2007</v>
      </c>
      <c r="E539" s="167" t="s">
        <v>522</v>
      </c>
      <c r="F539" s="163">
        <v>500</v>
      </c>
      <c r="G539" s="163">
        <v>11240</v>
      </c>
      <c r="H539" s="163">
        <v>5110</v>
      </c>
      <c r="I539" s="163">
        <v>6130</v>
      </c>
      <c r="K539" s="168"/>
    </row>
    <row r="540" spans="1:11" x14ac:dyDescent="0.25">
      <c r="A540" s="164" t="s">
        <v>527</v>
      </c>
      <c r="B540" s="164" t="s">
        <v>517</v>
      </c>
      <c r="C540" s="170">
        <v>39379</v>
      </c>
      <c r="D540" s="171">
        <f t="shared" si="11"/>
        <v>2007</v>
      </c>
      <c r="E540" s="167" t="s">
        <v>532</v>
      </c>
      <c r="F540" s="163">
        <v>500</v>
      </c>
      <c r="G540" s="163">
        <v>12505</v>
      </c>
      <c r="H540" s="163">
        <v>5110</v>
      </c>
      <c r="I540" s="163">
        <v>7395</v>
      </c>
      <c r="K540" s="168"/>
    </row>
    <row r="541" spans="1:11" x14ac:dyDescent="0.25">
      <c r="A541" s="164" t="s">
        <v>527</v>
      </c>
      <c r="B541" s="164" t="s">
        <v>517</v>
      </c>
      <c r="C541" s="170">
        <v>39379</v>
      </c>
      <c r="D541" s="171">
        <f t="shared" si="11"/>
        <v>2007</v>
      </c>
      <c r="E541" s="167" t="s">
        <v>537</v>
      </c>
      <c r="F541" s="163">
        <v>400</v>
      </c>
      <c r="G541" s="163">
        <v>9660</v>
      </c>
      <c r="H541" s="163">
        <v>4088</v>
      </c>
      <c r="I541" s="163">
        <v>5572</v>
      </c>
      <c r="K541" s="168"/>
    </row>
    <row r="542" spans="1:11" x14ac:dyDescent="0.25">
      <c r="A542" s="164" t="s">
        <v>428</v>
      </c>
      <c r="B542" s="164" t="s">
        <v>515</v>
      </c>
      <c r="C542" s="170">
        <v>39384</v>
      </c>
      <c r="D542" s="171">
        <f t="shared" si="11"/>
        <v>2007</v>
      </c>
      <c r="E542" s="167" t="s">
        <v>530</v>
      </c>
      <c r="F542" s="163">
        <v>300</v>
      </c>
      <c r="G542" s="163">
        <v>6240</v>
      </c>
      <c r="H542" s="163">
        <v>2952</v>
      </c>
      <c r="I542" s="163">
        <v>3288</v>
      </c>
      <c r="K542" s="168"/>
    </row>
    <row r="543" spans="1:11" x14ac:dyDescent="0.25">
      <c r="A543" s="164" t="s">
        <v>527</v>
      </c>
      <c r="B543" s="164" t="s">
        <v>515</v>
      </c>
      <c r="C543" s="170">
        <v>39385</v>
      </c>
      <c r="D543" s="171">
        <f t="shared" si="11"/>
        <v>2007</v>
      </c>
      <c r="E543" s="167" t="s">
        <v>548</v>
      </c>
      <c r="F543" s="163">
        <v>900</v>
      </c>
      <c r="G543" s="163">
        <v>20610</v>
      </c>
      <c r="H543" s="163">
        <v>8856</v>
      </c>
      <c r="I543" s="163">
        <v>11754</v>
      </c>
      <c r="K543" s="168"/>
    </row>
    <row r="544" spans="1:11" x14ac:dyDescent="0.25">
      <c r="A544" s="164" t="s">
        <v>527</v>
      </c>
      <c r="B544" s="164" t="s">
        <v>516</v>
      </c>
      <c r="C544" s="170">
        <v>39385</v>
      </c>
      <c r="D544" s="171">
        <f t="shared" si="11"/>
        <v>2007</v>
      </c>
      <c r="E544" s="167" t="s">
        <v>528</v>
      </c>
      <c r="F544" s="163">
        <v>300</v>
      </c>
      <c r="G544" s="163">
        <v>6156</v>
      </c>
      <c r="H544" s="163">
        <v>2541</v>
      </c>
      <c r="I544" s="163">
        <v>3615</v>
      </c>
      <c r="K544" s="168"/>
    </row>
    <row r="545" spans="1:11" x14ac:dyDescent="0.25">
      <c r="A545" s="164" t="s">
        <v>428</v>
      </c>
      <c r="B545" s="164" t="s">
        <v>517</v>
      </c>
      <c r="C545" s="170">
        <v>39387</v>
      </c>
      <c r="D545" s="171">
        <f t="shared" si="11"/>
        <v>2007</v>
      </c>
      <c r="E545" s="167" t="s">
        <v>522</v>
      </c>
      <c r="F545" s="163">
        <v>500</v>
      </c>
      <c r="G545" s="163">
        <v>10645</v>
      </c>
      <c r="H545" s="163">
        <v>5110</v>
      </c>
      <c r="I545" s="163">
        <v>5535</v>
      </c>
      <c r="K545" s="168"/>
    </row>
    <row r="546" spans="1:11" x14ac:dyDescent="0.25">
      <c r="A546" s="164" t="s">
        <v>428</v>
      </c>
      <c r="B546" s="164" t="s">
        <v>515</v>
      </c>
      <c r="C546" s="170">
        <v>39388</v>
      </c>
      <c r="D546" s="171">
        <f t="shared" si="11"/>
        <v>2007</v>
      </c>
      <c r="E546" s="167" t="s">
        <v>532</v>
      </c>
      <c r="F546" s="163">
        <v>1000</v>
      </c>
      <c r="G546" s="163">
        <v>20090</v>
      </c>
      <c r="H546" s="163">
        <v>9840</v>
      </c>
      <c r="I546" s="163">
        <v>10250</v>
      </c>
      <c r="K546" s="168"/>
    </row>
    <row r="547" spans="1:11" x14ac:dyDescent="0.25">
      <c r="A547" s="164" t="s">
        <v>527</v>
      </c>
      <c r="B547" s="164" t="s">
        <v>517</v>
      </c>
      <c r="C547" s="170">
        <v>39390</v>
      </c>
      <c r="D547" s="171">
        <f t="shared" si="11"/>
        <v>2007</v>
      </c>
      <c r="E547" s="167" t="s">
        <v>531</v>
      </c>
      <c r="F547" s="163">
        <v>200</v>
      </c>
      <c r="G547" s="163">
        <v>4262</v>
      </c>
      <c r="H547" s="163">
        <v>2044</v>
      </c>
      <c r="I547" s="163">
        <v>2218</v>
      </c>
      <c r="K547" s="168"/>
    </row>
    <row r="548" spans="1:11" x14ac:dyDescent="0.25">
      <c r="A548" s="164" t="s">
        <v>422</v>
      </c>
      <c r="B548" s="164" t="s">
        <v>515</v>
      </c>
      <c r="C548" s="170">
        <v>39396</v>
      </c>
      <c r="D548" s="171">
        <f t="shared" si="11"/>
        <v>2007</v>
      </c>
      <c r="E548" s="167" t="s">
        <v>528</v>
      </c>
      <c r="F548" s="163">
        <v>100</v>
      </c>
      <c r="G548" s="163">
        <v>2157</v>
      </c>
      <c r="H548" s="163">
        <v>984</v>
      </c>
      <c r="I548" s="163">
        <v>1173</v>
      </c>
      <c r="K548" s="168"/>
    </row>
    <row r="549" spans="1:11" x14ac:dyDescent="0.25">
      <c r="A549" s="164" t="s">
        <v>527</v>
      </c>
      <c r="B549" s="164" t="s">
        <v>515</v>
      </c>
      <c r="C549" s="170">
        <v>39396</v>
      </c>
      <c r="D549" s="171">
        <f t="shared" si="11"/>
        <v>2007</v>
      </c>
      <c r="E549" s="167" t="s">
        <v>522</v>
      </c>
      <c r="F549" s="163">
        <v>800</v>
      </c>
      <c r="G549" s="163">
        <v>18504</v>
      </c>
      <c r="H549" s="163">
        <v>7872</v>
      </c>
      <c r="I549" s="163">
        <v>10632</v>
      </c>
      <c r="K549" s="168"/>
    </row>
    <row r="550" spans="1:11" x14ac:dyDescent="0.25">
      <c r="A550" s="164" t="s">
        <v>527</v>
      </c>
      <c r="B550" s="164" t="s">
        <v>515</v>
      </c>
      <c r="C550" s="170">
        <v>39398</v>
      </c>
      <c r="D550" s="171">
        <f t="shared" si="11"/>
        <v>2007</v>
      </c>
      <c r="E550" s="167" t="s">
        <v>524</v>
      </c>
      <c r="F550" s="163">
        <v>900</v>
      </c>
      <c r="G550" s="163">
        <v>21357</v>
      </c>
      <c r="H550" s="163">
        <v>8856</v>
      </c>
      <c r="I550" s="163">
        <v>12501</v>
      </c>
      <c r="K550" s="168"/>
    </row>
    <row r="551" spans="1:11" x14ac:dyDescent="0.25">
      <c r="A551" s="164" t="s">
        <v>422</v>
      </c>
      <c r="B551" s="164" t="s">
        <v>516</v>
      </c>
      <c r="C551" s="170">
        <v>39398</v>
      </c>
      <c r="D551" s="171">
        <f t="shared" si="11"/>
        <v>2007</v>
      </c>
      <c r="E551" s="167" t="s">
        <v>529</v>
      </c>
      <c r="F551" s="163">
        <v>800</v>
      </c>
      <c r="G551" s="163">
        <v>16144</v>
      </c>
      <c r="H551" s="163">
        <v>6776</v>
      </c>
      <c r="I551" s="163">
        <v>9368</v>
      </c>
      <c r="K551" s="168"/>
    </row>
    <row r="552" spans="1:11" x14ac:dyDescent="0.25">
      <c r="A552" s="164" t="s">
        <v>428</v>
      </c>
      <c r="B552" s="164" t="s">
        <v>515</v>
      </c>
      <c r="C552" s="170">
        <v>39400</v>
      </c>
      <c r="D552" s="171">
        <f t="shared" si="11"/>
        <v>2007</v>
      </c>
      <c r="E552" s="167" t="s">
        <v>522</v>
      </c>
      <c r="F552" s="163">
        <v>500</v>
      </c>
      <c r="G552" s="163">
        <v>9890</v>
      </c>
      <c r="H552" s="163">
        <v>4920</v>
      </c>
      <c r="I552" s="163">
        <v>4970</v>
      </c>
      <c r="K552" s="168"/>
    </row>
    <row r="553" spans="1:11" x14ac:dyDescent="0.25">
      <c r="A553" s="164" t="s">
        <v>422</v>
      </c>
      <c r="B553" s="164" t="s">
        <v>516</v>
      </c>
      <c r="C553" s="170">
        <v>39405</v>
      </c>
      <c r="D553" s="171">
        <f t="shared" si="11"/>
        <v>2007</v>
      </c>
      <c r="E553" s="167" t="s">
        <v>530</v>
      </c>
      <c r="F553" s="163">
        <v>100</v>
      </c>
      <c r="G553" s="163">
        <v>1882</v>
      </c>
      <c r="H553" s="163">
        <v>847</v>
      </c>
      <c r="I553" s="163">
        <v>1035</v>
      </c>
      <c r="K553" s="168"/>
    </row>
    <row r="554" spans="1:11" x14ac:dyDescent="0.25">
      <c r="A554" s="164" t="s">
        <v>422</v>
      </c>
      <c r="B554" s="164" t="s">
        <v>517</v>
      </c>
      <c r="C554" s="170">
        <v>39405</v>
      </c>
      <c r="D554" s="171">
        <f t="shared" si="11"/>
        <v>2007</v>
      </c>
      <c r="E554" s="167" t="s">
        <v>528</v>
      </c>
      <c r="F554" s="163">
        <v>500</v>
      </c>
      <c r="G554" s="163">
        <v>12575</v>
      </c>
      <c r="H554" s="163">
        <v>5110</v>
      </c>
      <c r="I554" s="163">
        <v>7465</v>
      </c>
      <c r="K554" s="168"/>
    </row>
    <row r="555" spans="1:11" x14ac:dyDescent="0.25">
      <c r="A555" s="164" t="s">
        <v>428</v>
      </c>
      <c r="B555" s="164" t="s">
        <v>516</v>
      </c>
      <c r="C555" s="170">
        <v>39405</v>
      </c>
      <c r="D555" s="171">
        <f t="shared" si="11"/>
        <v>2007</v>
      </c>
      <c r="E555" s="167" t="s">
        <v>523</v>
      </c>
      <c r="F555" s="163">
        <v>500</v>
      </c>
      <c r="G555" s="163">
        <v>10245</v>
      </c>
      <c r="H555" s="163">
        <v>4235</v>
      </c>
      <c r="I555" s="163">
        <v>6010</v>
      </c>
      <c r="K555" s="168"/>
    </row>
    <row r="556" spans="1:11" x14ac:dyDescent="0.25">
      <c r="A556" s="164" t="s">
        <v>527</v>
      </c>
      <c r="B556" s="164" t="s">
        <v>516</v>
      </c>
      <c r="C556" s="170">
        <v>39409</v>
      </c>
      <c r="D556" s="171">
        <f t="shared" si="11"/>
        <v>2007</v>
      </c>
      <c r="E556" s="167" t="s">
        <v>532</v>
      </c>
      <c r="F556" s="163">
        <v>700</v>
      </c>
      <c r="G556" s="163">
        <v>11858</v>
      </c>
      <c r="H556" s="163">
        <v>5929</v>
      </c>
      <c r="I556" s="163">
        <v>5929</v>
      </c>
      <c r="K556" s="168"/>
    </row>
    <row r="557" spans="1:11" x14ac:dyDescent="0.25">
      <c r="A557" s="164" t="s">
        <v>428</v>
      </c>
      <c r="B557" s="164" t="s">
        <v>515</v>
      </c>
      <c r="C557" s="170">
        <v>39411</v>
      </c>
      <c r="D557" s="171">
        <f t="shared" si="11"/>
        <v>2007</v>
      </c>
      <c r="E557" s="167" t="s">
        <v>541</v>
      </c>
      <c r="F557" s="163">
        <v>100</v>
      </c>
      <c r="G557" s="163">
        <v>2029</v>
      </c>
      <c r="H557" s="163">
        <v>984</v>
      </c>
      <c r="I557" s="163">
        <v>1045</v>
      </c>
      <c r="K557" s="168"/>
    </row>
    <row r="558" spans="1:11" x14ac:dyDescent="0.25">
      <c r="A558" s="164" t="s">
        <v>527</v>
      </c>
      <c r="B558" s="164" t="s">
        <v>515</v>
      </c>
      <c r="C558" s="170">
        <v>39412</v>
      </c>
      <c r="D558" s="171">
        <f t="shared" si="11"/>
        <v>2007</v>
      </c>
      <c r="E558" s="167" t="s">
        <v>523</v>
      </c>
      <c r="F558" s="163">
        <v>700</v>
      </c>
      <c r="G558" s="163">
        <v>15680</v>
      </c>
      <c r="H558" s="163">
        <v>6888</v>
      </c>
      <c r="I558" s="163">
        <v>8792</v>
      </c>
      <c r="K558" s="168"/>
    </row>
    <row r="559" spans="1:11" x14ac:dyDescent="0.25">
      <c r="A559" s="164" t="s">
        <v>527</v>
      </c>
      <c r="B559" s="164" t="s">
        <v>516</v>
      </c>
      <c r="C559" s="170">
        <v>39419</v>
      </c>
      <c r="D559" s="171">
        <f t="shared" si="11"/>
        <v>2007</v>
      </c>
      <c r="E559" s="167" t="s">
        <v>530</v>
      </c>
      <c r="F559" s="163">
        <v>700</v>
      </c>
      <c r="G559" s="163">
        <v>13314</v>
      </c>
      <c r="H559" s="163">
        <v>5929</v>
      </c>
      <c r="I559" s="163">
        <v>7385</v>
      </c>
      <c r="K559" s="168"/>
    </row>
    <row r="560" spans="1:11" x14ac:dyDescent="0.25">
      <c r="A560" s="164" t="s">
        <v>428</v>
      </c>
      <c r="B560" s="164" t="s">
        <v>516</v>
      </c>
      <c r="C560" s="170">
        <v>39420</v>
      </c>
      <c r="D560" s="171">
        <f t="shared" si="11"/>
        <v>2007</v>
      </c>
      <c r="E560" s="167" t="s">
        <v>529</v>
      </c>
      <c r="F560" s="163">
        <v>600</v>
      </c>
      <c r="G560" s="163">
        <v>11628</v>
      </c>
      <c r="H560" s="163">
        <v>5082</v>
      </c>
      <c r="I560" s="163">
        <v>6546</v>
      </c>
      <c r="K560" s="168"/>
    </row>
    <row r="561" spans="1:11" x14ac:dyDescent="0.25">
      <c r="A561" s="164" t="s">
        <v>428</v>
      </c>
      <c r="B561" s="164" t="s">
        <v>516</v>
      </c>
      <c r="C561" s="170">
        <v>39428</v>
      </c>
      <c r="D561" s="171">
        <f t="shared" si="11"/>
        <v>2007</v>
      </c>
      <c r="E561" s="167" t="s">
        <v>522</v>
      </c>
      <c r="F561" s="163">
        <v>600</v>
      </c>
      <c r="G561" s="163">
        <v>11208</v>
      </c>
      <c r="H561" s="163">
        <v>5082</v>
      </c>
      <c r="I561" s="163">
        <v>6126</v>
      </c>
      <c r="K561" s="168"/>
    </row>
    <row r="562" spans="1:11" x14ac:dyDescent="0.25">
      <c r="A562" s="164" t="s">
        <v>428</v>
      </c>
      <c r="B562" s="164" t="s">
        <v>516</v>
      </c>
      <c r="C562" s="170">
        <v>39430</v>
      </c>
      <c r="D562" s="171">
        <f t="shared" si="11"/>
        <v>2007</v>
      </c>
      <c r="E562" s="167" t="s">
        <v>533</v>
      </c>
      <c r="F562" s="163">
        <v>600</v>
      </c>
      <c r="G562" s="163">
        <v>12606</v>
      </c>
      <c r="H562" s="163">
        <v>5082</v>
      </c>
      <c r="I562" s="163">
        <v>7524</v>
      </c>
      <c r="K562" s="168"/>
    </row>
    <row r="563" spans="1:11" x14ac:dyDescent="0.25">
      <c r="A563" s="164" t="s">
        <v>428</v>
      </c>
      <c r="B563" s="164" t="s">
        <v>517</v>
      </c>
      <c r="C563" s="170">
        <v>39438</v>
      </c>
      <c r="D563" s="171">
        <f t="shared" si="11"/>
        <v>2007</v>
      </c>
      <c r="E563" s="167" t="s">
        <v>536</v>
      </c>
      <c r="F563" s="163">
        <v>1000</v>
      </c>
      <c r="G563" s="163">
        <v>23990</v>
      </c>
      <c r="H563" s="163">
        <v>10220</v>
      </c>
      <c r="I563" s="163">
        <v>13770</v>
      </c>
      <c r="K563" s="168"/>
    </row>
    <row r="564" spans="1:11" x14ac:dyDescent="0.25">
      <c r="A564" s="164" t="s">
        <v>428</v>
      </c>
      <c r="B564" s="164" t="s">
        <v>515</v>
      </c>
      <c r="C564" s="170">
        <v>39438</v>
      </c>
      <c r="D564" s="171">
        <f t="shared" si="11"/>
        <v>2007</v>
      </c>
      <c r="E564" s="167" t="s">
        <v>532</v>
      </c>
      <c r="F564" s="163">
        <v>700</v>
      </c>
      <c r="G564" s="163">
        <v>16408</v>
      </c>
      <c r="H564" s="163">
        <v>6888</v>
      </c>
      <c r="I564" s="163">
        <v>9520</v>
      </c>
      <c r="K564" s="168"/>
    </row>
    <row r="565" spans="1:11" x14ac:dyDescent="0.25">
      <c r="A565" s="164" t="s">
        <v>422</v>
      </c>
      <c r="B565" s="164" t="s">
        <v>516</v>
      </c>
      <c r="C565" s="170">
        <v>39441</v>
      </c>
      <c r="D565" s="171">
        <f t="shared" si="11"/>
        <v>2007</v>
      </c>
      <c r="E565" s="167" t="s">
        <v>533</v>
      </c>
      <c r="F565" s="163">
        <v>500</v>
      </c>
      <c r="G565" s="163">
        <v>8780</v>
      </c>
      <c r="H565" s="163">
        <v>4235</v>
      </c>
      <c r="I565" s="163">
        <v>4545</v>
      </c>
      <c r="K565" s="168"/>
    </row>
    <row r="566" spans="1:11" x14ac:dyDescent="0.25">
      <c r="A566" s="164" t="s">
        <v>428</v>
      </c>
      <c r="B566" s="164" t="s">
        <v>516</v>
      </c>
      <c r="C566" s="170">
        <v>39441</v>
      </c>
      <c r="D566" s="171">
        <f t="shared" si="11"/>
        <v>2007</v>
      </c>
      <c r="E566" s="167" t="s">
        <v>531</v>
      </c>
      <c r="F566" s="163">
        <v>900</v>
      </c>
      <c r="G566" s="163">
        <v>18243</v>
      </c>
      <c r="H566" s="163">
        <v>7623</v>
      </c>
      <c r="I566" s="163">
        <v>10620</v>
      </c>
      <c r="K566" s="168"/>
    </row>
    <row r="567" spans="1:11" x14ac:dyDescent="0.25">
      <c r="A567" s="164" t="s">
        <v>527</v>
      </c>
      <c r="B567" s="164" t="s">
        <v>516</v>
      </c>
      <c r="C567" s="170">
        <v>39442</v>
      </c>
      <c r="D567" s="171">
        <f t="shared" si="11"/>
        <v>2007</v>
      </c>
      <c r="E567" s="167" t="s">
        <v>528</v>
      </c>
      <c r="F567" s="163">
        <v>200</v>
      </c>
      <c r="G567" s="163">
        <v>3802</v>
      </c>
      <c r="H567" s="163">
        <v>1694</v>
      </c>
      <c r="I567" s="163">
        <v>2108</v>
      </c>
      <c r="K567" s="168"/>
    </row>
    <row r="568" spans="1:11" x14ac:dyDescent="0.25">
      <c r="A568" s="164" t="s">
        <v>527</v>
      </c>
      <c r="B568" s="164" t="s">
        <v>515</v>
      </c>
      <c r="C568" s="170">
        <v>39445</v>
      </c>
      <c r="D568" s="171">
        <f t="shared" si="11"/>
        <v>2007</v>
      </c>
      <c r="E568" s="167" t="s">
        <v>524</v>
      </c>
      <c r="F568" s="163">
        <v>500</v>
      </c>
      <c r="G568" s="163">
        <v>10195</v>
      </c>
      <c r="H568" s="163">
        <v>4920</v>
      </c>
      <c r="I568" s="163">
        <v>5275</v>
      </c>
      <c r="K568" s="168"/>
    </row>
    <row r="569" spans="1:11" x14ac:dyDescent="0.25">
      <c r="A569" s="164" t="s">
        <v>428</v>
      </c>
      <c r="B569" s="164" t="s">
        <v>516</v>
      </c>
      <c r="C569" s="170">
        <v>39445</v>
      </c>
      <c r="D569" s="171">
        <f t="shared" si="11"/>
        <v>2007</v>
      </c>
      <c r="E569" s="167" t="s">
        <v>546</v>
      </c>
      <c r="F569" s="163">
        <v>800</v>
      </c>
      <c r="G569" s="163">
        <v>14440</v>
      </c>
      <c r="H569" s="163">
        <v>6776</v>
      </c>
      <c r="I569" s="163">
        <v>7664</v>
      </c>
      <c r="K569" s="168"/>
    </row>
    <row r="570" spans="1:11" x14ac:dyDescent="0.25">
      <c r="A570" s="164" t="s">
        <v>527</v>
      </c>
      <c r="B570" s="164" t="s">
        <v>517</v>
      </c>
      <c r="C570" s="170">
        <v>39446</v>
      </c>
      <c r="D570" s="171">
        <f t="shared" si="11"/>
        <v>2007</v>
      </c>
      <c r="E570" s="167" t="s">
        <v>530</v>
      </c>
      <c r="F570" s="163">
        <v>500</v>
      </c>
      <c r="G570" s="163">
        <v>11000</v>
      </c>
      <c r="H570" s="163">
        <v>5110</v>
      </c>
      <c r="I570" s="163">
        <v>5890</v>
      </c>
      <c r="K570" s="168"/>
    </row>
    <row r="571" spans="1:11" x14ac:dyDescent="0.25">
      <c r="A571" s="164" t="s">
        <v>428</v>
      </c>
      <c r="B571" s="164" t="s">
        <v>515</v>
      </c>
      <c r="C571" s="170">
        <v>39446</v>
      </c>
      <c r="D571" s="171">
        <f t="shared" si="11"/>
        <v>2007</v>
      </c>
      <c r="E571" s="167" t="s">
        <v>533</v>
      </c>
      <c r="F571" s="163">
        <v>400</v>
      </c>
      <c r="G571" s="163">
        <v>8592</v>
      </c>
      <c r="H571" s="163">
        <v>3936</v>
      </c>
      <c r="I571" s="163">
        <v>4656</v>
      </c>
      <c r="K571" s="168"/>
    </row>
    <row r="572" spans="1:11" x14ac:dyDescent="0.25">
      <c r="A572" s="164" t="s">
        <v>527</v>
      </c>
      <c r="B572" s="164" t="s">
        <v>517</v>
      </c>
      <c r="C572" s="170">
        <v>39447</v>
      </c>
      <c r="D572" s="171">
        <f t="shared" si="11"/>
        <v>2007</v>
      </c>
      <c r="E572" s="167" t="s">
        <v>528</v>
      </c>
      <c r="F572" s="163">
        <v>500</v>
      </c>
      <c r="G572" s="163">
        <v>12550</v>
      </c>
      <c r="H572" s="163">
        <v>5110</v>
      </c>
      <c r="I572" s="163">
        <v>7440</v>
      </c>
      <c r="K572" s="168"/>
    </row>
  </sheetData>
  <sortState xmlns:xlrd2="http://schemas.microsoft.com/office/spreadsheetml/2017/richdata2" ref="M10:P37">
    <sortCondition ref="M9"/>
  </sortState>
  <mergeCells count="6">
    <mergeCell ref="K23:N24"/>
    <mergeCell ref="K15:N16"/>
    <mergeCell ref="A7:F7"/>
    <mergeCell ref="H1:J1"/>
    <mergeCell ref="B1:E1"/>
    <mergeCell ref="K9:N9"/>
  </mergeCells>
  <dataValidations count="1">
    <dataValidation type="list" allowBlank="1" showInputMessage="1" showErrorMessage="1" sqref="K17" xr:uid="{27911C57-499A-42BB-88CD-08A79763CB0E}">
      <formula1>"2005,2006,2007"</formula1>
    </dataValidation>
  </dataValidation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810C5-5FAC-4E89-9CD7-9258DB8B5ACA}">
  <dimension ref="A1:O17"/>
  <sheetViews>
    <sheetView topLeftCell="A4" workbookViewId="0">
      <selection activeCell="F19" sqref="F19"/>
    </sheetView>
  </sheetViews>
  <sheetFormatPr defaultRowHeight="15" x14ac:dyDescent="0.25"/>
  <cols>
    <col min="1" max="1" width="36.453125" customWidth="1"/>
    <col min="2" max="3" width="12.08984375" customWidth="1"/>
    <col min="4" max="4" width="11.90625" customWidth="1"/>
    <col min="5" max="5" width="31.6328125" customWidth="1"/>
    <col min="6" max="6" width="16.26953125" customWidth="1"/>
    <col min="7" max="7" width="14.1796875" customWidth="1"/>
    <col min="8" max="8" width="11.7265625" customWidth="1"/>
    <col min="9" max="9" width="11.36328125" customWidth="1"/>
    <col min="10" max="10" width="11.1796875" customWidth="1"/>
    <col min="11" max="11" width="11" customWidth="1"/>
    <col min="12" max="12" width="9.7265625" customWidth="1"/>
    <col min="13" max="13" width="9.36328125" customWidth="1"/>
  </cols>
  <sheetData>
    <row r="1" spans="1:15" ht="22.8" x14ac:dyDescent="0.4">
      <c r="A1" s="231" t="s">
        <v>501</v>
      </c>
      <c r="B1" s="232" t="s">
        <v>797</v>
      </c>
      <c r="C1" s="232" t="s">
        <v>798</v>
      </c>
      <c r="D1" s="232" t="s">
        <v>799</v>
      </c>
      <c r="E1" s="229" t="s">
        <v>800</v>
      </c>
      <c r="F1" s="233" t="s">
        <v>801</v>
      </c>
      <c r="G1" s="233" t="s">
        <v>802</v>
      </c>
      <c r="H1" s="233" t="s">
        <v>803</v>
      </c>
      <c r="I1" s="233" t="s">
        <v>799</v>
      </c>
      <c r="K1" s="232" t="s">
        <v>804</v>
      </c>
      <c r="L1" s="232" t="s">
        <v>805</v>
      </c>
      <c r="N1" s="232" t="s">
        <v>806</v>
      </c>
      <c r="O1" s="232" t="s">
        <v>803</v>
      </c>
    </row>
    <row r="2" spans="1:15" ht="22.8" x14ac:dyDescent="0.4">
      <c r="A2" s="235" t="s">
        <v>441</v>
      </c>
      <c r="B2" s="236">
        <v>50</v>
      </c>
      <c r="C2" s="236">
        <v>50</v>
      </c>
      <c r="D2" s="236" t="b">
        <f>NOT($B2=$C2)</f>
        <v>0</v>
      </c>
      <c r="E2" s="237" t="b">
        <f>AND(OR($A2=$A$2,$A2=$A$3), $B2=$C2)</f>
        <v>1</v>
      </c>
      <c r="F2" s="237" t="b">
        <f>$B2=$C2</f>
        <v>1</v>
      </c>
      <c r="G2" s="237" t="b">
        <f>AND(A2=$A$2,$B2=$C2)</f>
        <v>1</v>
      </c>
      <c r="H2" s="237" t="b">
        <f>OR($A2=$A$2,$B2=$C2)</f>
        <v>1</v>
      </c>
      <c r="I2" s="237" t="b">
        <f>NOT(A2=$A$2)</f>
        <v>0</v>
      </c>
      <c r="K2" s="237">
        <v>0</v>
      </c>
      <c r="L2" s="237">
        <v>0</v>
      </c>
      <c r="N2" s="237">
        <v>0</v>
      </c>
      <c r="O2" s="237">
        <v>0</v>
      </c>
    </row>
    <row r="3" spans="1:15" ht="22.8" x14ac:dyDescent="0.4">
      <c r="A3" s="235" t="s">
        <v>439</v>
      </c>
      <c r="B3" s="236">
        <v>15</v>
      </c>
      <c r="C3" s="236">
        <v>10</v>
      </c>
      <c r="D3" s="236" t="b">
        <f t="shared" ref="D3:D11" si="0">NOT($B3=$C3)</f>
        <v>1</v>
      </c>
      <c r="E3" s="237" t="b">
        <f t="shared" ref="E3:E11" si="1">AND(OR($A3=$A$2,$A3=$A$3), $B3=$C3)</f>
        <v>0</v>
      </c>
      <c r="F3" s="237" t="b">
        <f t="shared" ref="F3:F11" si="2">$B3=$C3</f>
        <v>0</v>
      </c>
      <c r="G3" s="237" t="b">
        <f t="shared" ref="G3:G11" si="3">AND(A3=$A$2,$B3=$C3)</f>
        <v>0</v>
      </c>
      <c r="H3" s="237" t="b">
        <f t="shared" ref="H3:H11" si="4">OR($A3=$A$2,$B3=$C3)</f>
        <v>0</v>
      </c>
      <c r="I3" s="237" t="b">
        <f t="shared" ref="I3:I11" si="5">NOT(A3=$A$2)</f>
        <v>1</v>
      </c>
      <c r="K3" s="237">
        <v>0</v>
      </c>
      <c r="L3" s="237">
        <v>1</v>
      </c>
      <c r="N3" s="237">
        <v>0</v>
      </c>
      <c r="O3" s="237">
        <v>1</v>
      </c>
    </row>
    <row r="4" spans="1:15" ht="22.8" x14ac:dyDescent="0.4">
      <c r="A4" s="235" t="s">
        <v>441</v>
      </c>
      <c r="B4" s="236">
        <v>12</v>
      </c>
      <c r="C4" s="236">
        <v>12</v>
      </c>
      <c r="D4" s="236" t="b">
        <f t="shared" si="0"/>
        <v>0</v>
      </c>
      <c r="E4" s="237" t="b">
        <f t="shared" si="1"/>
        <v>1</v>
      </c>
      <c r="F4" s="237" t="b">
        <f t="shared" si="2"/>
        <v>1</v>
      </c>
      <c r="G4" s="237" t="b">
        <f t="shared" si="3"/>
        <v>1</v>
      </c>
      <c r="H4" s="237" t="b">
        <f t="shared" si="4"/>
        <v>1</v>
      </c>
      <c r="I4" s="237" t="b">
        <f t="shared" si="5"/>
        <v>0</v>
      </c>
      <c r="K4" s="237">
        <v>1</v>
      </c>
      <c r="L4" s="237">
        <v>0</v>
      </c>
      <c r="N4" s="237">
        <v>0</v>
      </c>
      <c r="O4" s="237">
        <v>1</v>
      </c>
    </row>
    <row r="5" spans="1:15" ht="22.8" x14ac:dyDescent="0.4">
      <c r="A5" s="235" t="s">
        <v>441</v>
      </c>
      <c r="B5" s="236">
        <v>150</v>
      </c>
      <c r="C5" s="236">
        <v>150</v>
      </c>
      <c r="D5" s="236" t="b">
        <f t="shared" si="0"/>
        <v>0</v>
      </c>
      <c r="E5" s="237" t="b">
        <f t="shared" si="1"/>
        <v>1</v>
      </c>
      <c r="F5" s="237" t="b">
        <f t="shared" si="2"/>
        <v>1</v>
      </c>
      <c r="G5" s="237" t="b">
        <f t="shared" si="3"/>
        <v>1</v>
      </c>
      <c r="H5" s="237" t="b">
        <f t="shared" si="4"/>
        <v>1</v>
      </c>
      <c r="I5" s="237" t="b">
        <f t="shared" si="5"/>
        <v>0</v>
      </c>
      <c r="K5" s="237">
        <v>1</v>
      </c>
      <c r="L5" s="237">
        <v>1</v>
      </c>
      <c r="N5" s="237">
        <v>1</v>
      </c>
      <c r="O5" s="237">
        <v>1</v>
      </c>
    </row>
    <row r="6" spans="1:15" ht="22.8" x14ac:dyDescent="0.4">
      <c r="A6" s="235" t="s">
        <v>423</v>
      </c>
      <c r="B6" s="236">
        <v>50</v>
      </c>
      <c r="C6" s="236">
        <v>50</v>
      </c>
      <c r="D6" s="236" t="b">
        <f t="shared" si="0"/>
        <v>0</v>
      </c>
      <c r="E6" s="237" t="b">
        <f t="shared" si="1"/>
        <v>0</v>
      </c>
      <c r="F6" s="237" t="b">
        <f t="shared" si="2"/>
        <v>1</v>
      </c>
      <c r="G6" s="237" t="b">
        <f t="shared" si="3"/>
        <v>0</v>
      </c>
      <c r="H6" s="237" t="b">
        <f t="shared" si="4"/>
        <v>1</v>
      </c>
      <c r="I6" s="237" t="b">
        <f t="shared" si="5"/>
        <v>1</v>
      </c>
      <c r="K6" s="234"/>
      <c r="L6" s="234"/>
      <c r="M6" s="234"/>
      <c r="N6" s="234"/>
    </row>
    <row r="7" spans="1:15" ht="22.8" x14ac:dyDescent="0.4">
      <c r="A7" s="235" t="s">
        <v>441</v>
      </c>
      <c r="B7" s="230">
        <v>50</v>
      </c>
      <c r="C7" s="230">
        <v>35</v>
      </c>
      <c r="D7" s="236" t="b">
        <f t="shared" si="0"/>
        <v>1</v>
      </c>
      <c r="E7" s="237" t="b">
        <f t="shared" si="1"/>
        <v>0</v>
      </c>
      <c r="F7" s="237" t="b">
        <f t="shared" si="2"/>
        <v>0</v>
      </c>
      <c r="G7" s="237" t="b">
        <f t="shared" si="3"/>
        <v>0</v>
      </c>
      <c r="H7" s="237" t="b">
        <f t="shared" si="4"/>
        <v>1</v>
      </c>
      <c r="I7" s="237" t="b">
        <f t="shared" si="5"/>
        <v>0</v>
      </c>
      <c r="K7" s="234"/>
      <c r="L7" s="237"/>
      <c r="M7" s="232" t="s">
        <v>799</v>
      </c>
      <c r="N7" s="234"/>
    </row>
    <row r="8" spans="1:15" ht="22.8" x14ac:dyDescent="0.4">
      <c r="A8" s="235" t="s">
        <v>439</v>
      </c>
      <c r="B8" s="236">
        <v>15</v>
      </c>
      <c r="C8" s="236">
        <v>15</v>
      </c>
      <c r="D8" s="236" t="b">
        <f t="shared" si="0"/>
        <v>0</v>
      </c>
      <c r="E8" s="237" t="b">
        <f t="shared" si="1"/>
        <v>1</v>
      </c>
      <c r="F8" s="237" t="b">
        <f t="shared" si="2"/>
        <v>1</v>
      </c>
      <c r="G8" s="237" t="b">
        <f t="shared" si="3"/>
        <v>0</v>
      </c>
      <c r="H8" s="237" t="b">
        <f t="shared" si="4"/>
        <v>1</v>
      </c>
      <c r="I8" s="237" t="b">
        <f t="shared" si="5"/>
        <v>1</v>
      </c>
      <c r="K8" s="234"/>
      <c r="L8" s="237">
        <v>0</v>
      </c>
      <c r="M8" s="237">
        <v>1</v>
      </c>
      <c r="N8" s="234"/>
    </row>
    <row r="9" spans="1:15" ht="22.8" x14ac:dyDescent="0.4">
      <c r="A9" s="235" t="s">
        <v>434</v>
      </c>
      <c r="B9" s="236">
        <v>12</v>
      </c>
      <c r="C9" s="236">
        <v>12</v>
      </c>
      <c r="D9" s="236" t="b">
        <f t="shared" si="0"/>
        <v>0</v>
      </c>
      <c r="E9" s="237" t="b">
        <f t="shared" si="1"/>
        <v>0</v>
      </c>
      <c r="F9" s="237" t="b">
        <f t="shared" si="2"/>
        <v>1</v>
      </c>
      <c r="G9" s="237" t="b">
        <f t="shared" si="3"/>
        <v>0</v>
      </c>
      <c r="H9" s="237" t="b">
        <f t="shared" si="4"/>
        <v>1</v>
      </c>
      <c r="I9" s="237" t="b">
        <f t="shared" si="5"/>
        <v>1</v>
      </c>
      <c r="J9" s="234"/>
      <c r="K9" s="234"/>
      <c r="L9" s="237">
        <v>1</v>
      </c>
      <c r="M9" s="237">
        <v>0</v>
      </c>
      <c r="N9" s="234"/>
    </row>
    <row r="10" spans="1:15" ht="22.8" x14ac:dyDescent="0.4">
      <c r="A10" s="235" t="s">
        <v>429</v>
      </c>
      <c r="B10" s="236">
        <v>150</v>
      </c>
      <c r="C10" s="236">
        <v>123</v>
      </c>
      <c r="D10" s="236" t="b">
        <f t="shared" si="0"/>
        <v>1</v>
      </c>
      <c r="E10" s="237" t="b">
        <f t="shared" si="1"/>
        <v>0</v>
      </c>
      <c r="F10" s="237" t="b">
        <f t="shared" si="2"/>
        <v>0</v>
      </c>
      <c r="G10" s="237" t="b">
        <f t="shared" si="3"/>
        <v>0</v>
      </c>
      <c r="H10" s="237" t="b">
        <f t="shared" si="4"/>
        <v>0</v>
      </c>
      <c r="I10" s="237" t="b">
        <f t="shared" si="5"/>
        <v>1</v>
      </c>
      <c r="J10" s="234"/>
      <c r="K10" s="234"/>
      <c r="L10" s="234"/>
      <c r="M10" s="234"/>
    </row>
    <row r="11" spans="1:15" ht="22.8" x14ac:dyDescent="0.4">
      <c r="A11" s="238" t="s">
        <v>423</v>
      </c>
      <c r="B11" s="239">
        <v>50</v>
      </c>
      <c r="C11" s="236">
        <v>10</v>
      </c>
      <c r="D11" s="236" t="b">
        <f t="shared" si="0"/>
        <v>1</v>
      </c>
      <c r="E11" s="237" t="b">
        <f t="shared" si="1"/>
        <v>0</v>
      </c>
      <c r="F11" s="237" t="b">
        <f t="shared" si="2"/>
        <v>0</v>
      </c>
      <c r="G11" s="237" t="b">
        <f t="shared" si="3"/>
        <v>0</v>
      </c>
      <c r="H11" s="237" t="b">
        <f t="shared" si="4"/>
        <v>0</v>
      </c>
      <c r="I11" s="237" t="b">
        <f t="shared" si="5"/>
        <v>1</v>
      </c>
      <c r="J11" s="234"/>
      <c r="K11" s="234"/>
      <c r="L11" s="234"/>
      <c r="M11" s="234"/>
    </row>
    <row r="12" spans="1:15" ht="22.8" x14ac:dyDescent="0.4">
      <c r="A12" s="234"/>
      <c r="B12" s="234"/>
      <c r="C12" s="234"/>
      <c r="D12" s="234"/>
      <c r="E12" s="234"/>
      <c r="F12" s="234"/>
      <c r="G12" s="401" t="s">
        <v>816</v>
      </c>
      <c r="H12" s="234"/>
      <c r="I12" s="234"/>
      <c r="J12" s="234"/>
      <c r="K12" s="234"/>
      <c r="L12" s="234"/>
      <c r="M12" s="234"/>
    </row>
    <row r="13" spans="1:15" ht="22.8" x14ac:dyDescent="0.4">
      <c r="A13" s="231" t="s">
        <v>807</v>
      </c>
      <c r="B13" s="241"/>
      <c r="D13" s="231" t="s">
        <v>841</v>
      </c>
      <c r="E13" s="231"/>
      <c r="G13" s="401"/>
    </row>
    <row r="14" spans="1:15" ht="24.6" x14ac:dyDescent="0.4">
      <c r="A14" s="235" t="s">
        <v>808</v>
      </c>
      <c r="B14" s="240" t="s">
        <v>809</v>
      </c>
      <c r="D14" s="402" t="s">
        <v>802</v>
      </c>
      <c r="E14" s="403"/>
      <c r="G14" s="401"/>
    </row>
    <row r="15" spans="1:15" ht="24.6" x14ac:dyDescent="0.4">
      <c r="A15" s="235" t="s">
        <v>810</v>
      </c>
      <c r="B15" s="240" t="s">
        <v>811</v>
      </c>
      <c r="D15" s="404" t="s">
        <v>803</v>
      </c>
      <c r="E15" s="405"/>
      <c r="G15" s="401"/>
    </row>
    <row r="16" spans="1:15" ht="24.6" x14ac:dyDescent="0.4">
      <c r="A16" s="235" t="s">
        <v>812</v>
      </c>
      <c r="B16" s="240" t="s">
        <v>813</v>
      </c>
      <c r="D16" s="404" t="s">
        <v>844</v>
      </c>
      <c r="E16" s="405"/>
    </row>
    <row r="17" spans="1:5" ht="24.6" x14ac:dyDescent="0.4">
      <c r="A17" s="235" t="s">
        <v>814</v>
      </c>
      <c r="B17" s="240" t="s">
        <v>815</v>
      </c>
      <c r="D17" s="399" t="s">
        <v>845</v>
      </c>
      <c r="E17" s="400"/>
    </row>
  </sheetData>
  <mergeCells count="5">
    <mergeCell ref="D17:E17"/>
    <mergeCell ref="G12:G15"/>
    <mergeCell ref="D14:E14"/>
    <mergeCell ref="D15:E15"/>
    <mergeCell ref="D16:E1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3"/>
  <dimension ref="A1:R33"/>
  <sheetViews>
    <sheetView topLeftCell="J6" zoomScale="120" zoomScaleNormal="120" workbookViewId="0">
      <selection activeCell="J36" sqref="J36"/>
    </sheetView>
  </sheetViews>
  <sheetFormatPr defaultColWidth="8.90625" defaultRowHeight="15" x14ac:dyDescent="0.25"/>
  <cols>
    <col min="1" max="1" width="8.26953125" style="22" customWidth="1"/>
    <col min="2" max="2" width="10.1796875" style="130" customWidth="1"/>
    <col min="3" max="3" width="8.90625" style="22"/>
    <col min="4" max="4" width="8.90625" style="22" customWidth="1"/>
    <col min="5" max="7" width="8.90625" style="22"/>
    <col min="8" max="8" width="11" style="22" customWidth="1"/>
    <col min="9" max="9" width="8.90625" style="22"/>
    <col min="10" max="10" width="16" style="22" customWidth="1"/>
    <col min="11" max="11" width="11" style="22" customWidth="1"/>
    <col min="12" max="12" width="11.6328125" style="22" customWidth="1"/>
    <col min="13" max="13" width="12.08984375" style="22" customWidth="1"/>
    <col min="14" max="14" width="13.08984375" style="22" customWidth="1"/>
    <col min="15" max="16384" width="8.90625" style="22"/>
  </cols>
  <sheetData>
    <row r="1" spans="1:18" ht="16.8" customHeight="1" x14ac:dyDescent="0.25">
      <c r="A1" s="127" t="s">
        <v>81</v>
      </c>
      <c r="B1" s="128" t="s">
        <v>37</v>
      </c>
      <c r="C1" s="127" t="s">
        <v>96</v>
      </c>
      <c r="D1" s="127" t="s">
        <v>714</v>
      </c>
      <c r="E1" s="127" t="s">
        <v>95</v>
      </c>
      <c r="F1" s="127" t="s">
        <v>94</v>
      </c>
      <c r="G1" s="127" t="s">
        <v>93</v>
      </c>
      <c r="H1" s="127" t="s">
        <v>92</v>
      </c>
      <c r="I1" s="126"/>
      <c r="J1" s="406" t="s">
        <v>822</v>
      </c>
      <c r="K1" s="406"/>
      <c r="L1" s="243"/>
      <c r="M1" s="243"/>
      <c r="N1" s="243"/>
      <c r="O1" s="126"/>
      <c r="P1" s="126"/>
      <c r="Q1" s="126"/>
      <c r="R1" s="126"/>
    </row>
    <row r="2" spans="1:18" ht="15.6" x14ac:dyDescent="0.25">
      <c r="A2" s="23">
        <v>1</v>
      </c>
      <c r="B2" s="129" t="s">
        <v>80</v>
      </c>
      <c r="C2" s="23">
        <v>45</v>
      </c>
      <c r="D2" s="23">
        <v>56</v>
      </c>
      <c r="E2" s="23">
        <v>72</v>
      </c>
      <c r="F2" s="23">
        <v>65</v>
      </c>
      <c r="G2" s="23">
        <v>50</v>
      </c>
      <c r="H2" s="23">
        <v>78</v>
      </c>
      <c r="J2" s="127" t="s">
        <v>37</v>
      </c>
      <c r="K2" s="127" t="s">
        <v>96</v>
      </c>
      <c r="L2" s="127" t="s">
        <v>92</v>
      </c>
      <c r="M2" s="127" t="s">
        <v>95</v>
      </c>
      <c r="N2" s="127" t="s">
        <v>94</v>
      </c>
    </row>
    <row r="3" spans="1:18" x14ac:dyDescent="0.25">
      <c r="A3" s="23">
        <v>2</v>
      </c>
      <c r="B3" s="129" t="s">
        <v>79</v>
      </c>
      <c r="C3" s="23">
        <v>75</v>
      </c>
      <c r="D3" s="23">
        <v>45</v>
      </c>
      <c r="E3" s="23">
        <v>67</v>
      </c>
      <c r="F3" s="23">
        <v>89</v>
      </c>
      <c r="G3" s="23">
        <v>34</v>
      </c>
      <c r="H3" s="23">
        <v>58</v>
      </c>
      <c r="J3" s="23" t="s">
        <v>80</v>
      </c>
      <c r="K3" s="54">
        <f>VLOOKUP($J3,$B$1:$H$21,2,0)</f>
        <v>45</v>
      </c>
      <c r="L3" s="54">
        <f>VLOOKUP($J3,$B$1:$H$21,7,FALSE)</f>
        <v>78</v>
      </c>
      <c r="M3" s="54">
        <f>VLOOKUP($J3,$B$1:$H$21,4,0)</f>
        <v>72</v>
      </c>
      <c r="N3" s="54">
        <f>VLOOKUP($J3,$B$1:$H$21,5,0)</f>
        <v>65</v>
      </c>
    </row>
    <row r="4" spans="1:18" x14ac:dyDescent="0.25">
      <c r="A4" s="23">
        <v>3</v>
      </c>
      <c r="B4" s="129" t="s">
        <v>78</v>
      </c>
      <c r="C4" s="23">
        <v>87</v>
      </c>
      <c r="D4" s="23">
        <v>45</v>
      </c>
      <c r="E4" s="23">
        <v>65</v>
      </c>
      <c r="F4" s="23">
        <v>56</v>
      </c>
      <c r="G4" s="23">
        <v>56</v>
      </c>
      <c r="H4" s="23">
        <v>65</v>
      </c>
      <c r="J4" s="23" t="s">
        <v>76</v>
      </c>
      <c r="K4" s="54">
        <f t="shared" ref="K4:K6" si="0">VLOOKUP($J4,$B$1:$H$21,2,0)</f>
        <v>56</v>
      </c>
      <c r="L4" s="54">
        <f t="shared" ref="L4:L6" si="1">VLOOKUP($J4,$B$1:$H$21,7,FALSE)</f>
        <v>76</v>
      </c>
      <c r="M4" s="54">
        <f t="shared" ref="M4:M6" si="2">VLOOKUP($J4,$B$1:$H$21,4,0)</f>
        <v>77</v>
      </c>
      <c r="N4" s="54">
        <f t="shared" ref="N4:N6" si="3">VLOOKUP($J4,$B$1:$H$21,5,0)</f>
        <v>68</v>
      </c>
    </row>
    <row r="5" spans="1:18" x14ac:dyDescent="0.25">
      <c r="A5" s="23">
        <v>4</v>
      </c>
      <c r="B5" s="129" t="s">
        <v>77</v>
      </c>
      <c r="C5" s="23">
        <v>67</v>
      </c>
      <c r="D5" s="23">
        <v>65</v>
      </c>
      <c r="E5" s="23">
        <v>67</v>
      </c>
      <c r="F5" s="23">
        <v>75</v>
      </c>
      <c r="G5" s="23">
        <v>67</v>
      </c>
      <c r="H5" s="23">
        <v>66</v>
      </c>
      <c r="J5" s="23" t="s">
        <v>91</v>
      </c>
      <c r="K5" s="54">
        <f t="shared" si="0"/>
        <v>45</v>
      </c>
      <c r="L5" s="54">
        <f t="shared" si="1"/>
        <v>78</v>
      </c>
      <c r="M5" s="54">
        <f t="shared" si="2"/>
        <v>72</v>
      </c>
      <c r="N5" s="54">
        <f t="shared" si="3"/>
        <v>65</v>
      </c>
    </row>
    <row r="6" spans="1:18" x14ac:dyDescent="0.25">
      <c r="A6" s="23">
        <v>5</v>
      </c>
      <c r="B6" s="129" t="s">
        <v>76</v>
      </c>
      <c r="C6" s="23">
        <v>56</v>
      </c>
      <c r="D6" s="23">
        <v>67</v>
      </c>
      <c r="E6" s="23">
        <v>77</v>
      </c>
      <c r="F6" s="23">
        <v>68</v>
      </c>
      <c r="G6" s="23">
        <v>64</v>
      </c>
      <c r="H6" s="23">
        <v>76</v>
      </c>
      <c r="J6" s="23" t="s">
        <v>86</v>
      </c>
      <c r="K6" s="54">
        <f t="shared" si="0"/>
        <v>68</v>
      </c>
      <c r="L6" s="54">
        <f t="shared" si="1"/>
        <v>89</v>
      </c>
      <c r="M6" s="54">
        <f t="shared" si="2"/>
        <v>78</v>
      </c>
      <c r="N6" s="54">
        <f t="shared" si="3"/>
        <v>97</v>
      </c>
    </row>
    <row r="7" spans="1:18" ht="55.2" x14ac:dyDescent="0.25">
      <c r="A7" s="23">
        <v>6</v>
      </c>
      <c r="B7" s="129" t="s">
        <v>75</v>
      </c>
      <c r="C7" s="23">
        <v>68</v>
      </c>
      <c r="D7" s="23">
        <v>89</v>
      </c>
      <c r="E7" s="23">
        <v>78</v>
      </c>
      <c r="F7" s="23">
        <v>97</v>
      </c>
      <c r="G7" s="23">
        <v>56</v>
      </c>
      <c r="H7" s="23">
        <v>89</v>
      </c>
      <c r="J7" s="242" t="s">
        <v>821</v>
      </c>
      <c r="K7" s="54">
        <f>MATCH($K$2,$B$1:$H$1,0)</f>
        <v>2</v>
      </c>
      <c r="L7" s="54">
        <f>MATCH($L$2,$B$1:$H$1,0)</f>
        <v>7</v>
      </c>
      <c r="M7" s="54">
        <f>MATCH($M$2,B1:$H$1,0)</f>
        <v>4</v>
      </c>
      <c r="N7" s="23">
        <f>MATCH($N$2,$B$1:$H$1,0)</f>
        <v>5</v>
      </c>
    </row>
    <row r="8" spans="1:18" x14ac:dyDescent="0.25">
      <c r="A8" s="23">
        <v>7</v>
      </c>
      <c r="B8" s="129" t="s">
        <v>74</v>
      </c>
      <c r="C8" s="23">
        <v>68</v>
      </c>
      <c r="D8" s="23">
        <v>65</v>
      </c>
      <c r="E8" s="23">
        <v>68</v>
      </c>
      <c r="F8" s="23">
        <v>45</v>
      </c>
      <c r="G8" s="23">
        <v>45</v>
      </c>
      <c r="H8" s="23">
        <v>95</v>
      </c>
      <c r="J8"/>
      <c r="K8"/>
      <c r="L8"/>
      <c r="M8"/>
    </row>
    <row r="9" spans="1:18" ht="15.6" x14ac:dyDescent="0.25">
      <c r="A9" s="23">
        <v>8</v>
      </c>
      <c r="B9" s="129" t="s">
        <v>73</v>
      </c>
      <c r="C9" s="23">
        <v>69</v>
      </c>
      <c r="D9" s="23">
        <v>34</v>
      </c>
      <c r="E9" s="23">
        <v>76</v>
      </c>
      <c r="F9" s="23">
        <v>68</v>
      </c>
      <c r="G9" s="23">
        <v>87</v>
      </c>
      <c r="H9" s="23">
        <v>59</v>
      </c>
      <c r="J9" s="410" t="s">
        <v>817</v>
      </c>
      <c r="K9" s="411"/>
      <c r="L9" s="411"/>
      <c r="M9" s="411"/>
      <c r="N9" s="412"/>
    </row>
    <row r="10" spans="1:18" x14ac:dyDescent="0.25">
      <c r="A10" s="23">
        <v>9</v>
      </c>
      <c r="B10" s="129" t="s">
        <v>72</v>
      </c>
      <c r="C10" s="23">
        <v>79</v>
      </c>
      <c r="D10" s="23">
        <v>56</v>
      </c>
      <c r="E10" s="23">
        <v>86</v>
      </c>
      <c r="F10" s="23">
        <v>56</v>
      </c>
      <c r="G10" s="23">
        <v>75</v>
      </c>
      <c r="H10" s="23">
        <v>78</v>
      </c>
      <c r="J10" s="413" t="s">
        <v>818</v>
      </c>
      <c r="K10" s="414"/>
      <c r="L10" s="414"/>
      <c r="M10" s="414"/>
      <c r="N10" s="415"/>
    </row>
    <row r="11" spans="1:18" x14ac:dyDescent="0.25">
      <c r="A11" s="23">
        <v>10</v>
      </c>
      <c r="B11" s="129" t="s">
        <v>71</v>
      </c>
      <c r="C11" s="23">
        <v>89</v>
      </c>
      <c r="D11" s="23">
        <v>76</v>
      </c>
      <c r="E11" s="23">
        <v>67</v>
      </c>
      <c r="F11" s="23">
        <v>77</v>
      </c>
      <c r="G11" s="23">
        <v>76</v>
      </c>
      <c r="H11" s="23">
        <v>77</v>
      </c>
      <c r="J11" s="413" t="s">
        <v>819</v>
      </c>
      <c r="K11" s="414"/>
      <c r="L11" s="414"/>
      <c r="M11" s="414"/>
      <c r="N11" s="415"/>
    </row>
    <row r="12" spans="1:18" x14ac:dyDescent="0.25">
      <c r="A12" s="23">
        <v>11</v>
      </c>
      <c r="B12" s="129" t="s">
        <v>91</v>
      </c>
      <c r="C12" s="23">
        <v>45</v>
      </c>
      <c r="D12" s="23">
        <v>56</v>
      </c>
      <c r="E12" s="23">
        <v>72</v>
      </c>
      <c r="F12" s="23">
        <v>65</v>
      </c>
      <c r="G12" s="23">
        <v>50</v>
      </c>
      <c r="H12" s="23">
        <v>78</v>
      </c>
      <c r="J12" s="416" t="s">
        <v>820</v>
      </c>
      <c r="K12" s="417"/>
      <c r="L12" s="417"/>
      <c r="M12" s="417"/>
      <c r="N12" s="418"/>
    </row>
    <row r="13" spans="1:18" x14ac:dyDescent="0.25">
      <c r="A13" s="23">
        <v>12</v>
      </c>
      <c r="B13" s="129" t="s">
        <v>90</v>
      </c>
      <c r="C13" s="23">
        <v>75</v>
      </c>
      <c r="D13" s="23">
        <v>65</v>
      </c>
      <c r="E13" s="23">
        <v>67</v>
      </c>
      <c r="F13" s="23">
        <v>89</v>
      </c>
      <c r="G13" s="23">
        <v>34</v>
      </c>
      <c r="H13" s="23">
        <v>58</v>
      </c>
    </row>
    <row r="14" spans="1:18" x14ac:dyDescent="0.25">
      <c r="A14" s="23">
        <v>13</v>
      </c>
      <c r="B14" s="129" t="s">
        <v>89</v>
      </c>
      <c r="C14" s="23">
        <v>87</v>
      </c>
      <c r="D14" s="23">
        <v>45</v>
      </c>
      <c r="E14" s="23">
        <v>65</v>
      </c>
      <c r="F14" s="23">
        <v>56</v>
      </c>
      <c r="G14" s="23">
        <v>56</v>
      </c>
      <c r="H14" s="23">
        <v>65</v>
      </c>
    </row>
    <row r="15" spans="1:18" x14ac:dyDescent="0.25">
      <c r="A15" s="23">
        <v>14</v>
      </c>
      <c r="B15" s="129" t="s">
        <v>88</v>
      </c>
      <c r="C15" s="23">
        <v>67</v>
      </c>
      <c r="D15" s="23">
        <v>65</v>
      </c>
      <c r="E15" s="23">
        <v>67</v>
      </c>
      <c r="F15" s="23">
        <v>75</v>
      </c>
      <c r="G15" s="23">
        <v>67</v>
      </c>
      <c r="H15" s="23">
        <v>66</v>
      </c>
    </row>
    <row r="16" spans="1:18" ht="21" x14ac:dyDescent="0.25">
      <c r="A16" s="23">
        <v>15</v>
      </c>
      <c r="B16" s="129" t="s">
        <v>87</v>
      </c>
      <c r="C16" s="23">
        <v>56</v>
      </c>
      <c r="D16" s="23">
        <v>67</v>
      </c>
      <c r="E16" s="23">
        <v>77</v>
      </c>
      <c r="F16" s="23">
        <v>68</v>
      </c>
      <c r="G16" s="23">
        <v>64</v>
      </c>
      <c r="H16" s="23">
        <v>76</v>
      </c>
      <c r="J16" s="407" t="s">
        <v>823</v>
      </c>
      <c r="K16" s="408"/>
      <c r="L16" s="408"/>
      <c r="M16" s="408"/>
      <c r="N16" s="409"/>
    </row>
    <row r="17" spans="1:18" ht="15.6" x14ac:dyDescent="0.25">
      <c r="A17" s="23">
        <v>16</v>
      </c>
      <c r="B17" s="129" t="s">
        <v>86</v>
      </c>
      <c r="C17" s="23">
        <v>68</v>
      </c>
      <c r="D17" s="23">
        <v>89</v>
      </c>
      <c r="E17" s="23">
        <v>78</v>
      </c>
      <c r="F17" s="23">
        <v>97</v>
      </c>
      <c r="G17" s="23">
        <v>56</v>
      </c>
      <c r="H17" s="23">
        <v>89</v>
      </c>
      <c r="J17" s="127" t="s">
        <v>37</v>
      </c>
      <c r="K17" s="127" t="s">
        <v>96</v>
      </c>
      <c r="L17" s="127" t="s">
        <v>92</v>
      </c>
      <c r="M17" s="127" t="s">
        <v>95</v>
      </c>
      <c r="N17" s="127" t="s">
        <v>94</v>
      </c>
    </row>
    <row r="18" spans="1:18" x14ac:dyDescent="0.25">
      <c r="A18" s="23">
        <v>17</v>
      </c>
      <c r="B18" s="129" t="s">
        <v>85</v>
      </c>
      <c r="C18" s="23">
        <v>68</v>
      </c>
      <c r="D18" s="23">
        <v>65</v>
      </c>
      <c r="E18" s="23">
        <v>68</v>
      </c>
      <c r="F18" s="23">
        <v>45</v>
      </c>
      <c r="G18" s="23">
        <v>45</v>
      </c>
      <c r="H18" s="23">
        <v>95</v>
      </c>
      <c r="J18" s="23" t="s">
        <v>80</v>
      </c>
      <c r="K18" s="54">
        <f>VLOOKUP($J18,$B$1:$H$21, MATCH(K$17,$B$1:$H$1,0),0)</f>
        <v>45</v>
      </c>
      <c r="L18" s="54">
        <f t="shared" ref="L18:N18" si="4">VLOOKUP($J18,$B$1:$H$21, MATCH(L$17,$B$1:$H$1,0),0)</f>
        <v>78</v>
      </c>
      <c r="M18" s="54">
        <f t="shared" si="4"/>
        <v>72</v>
      </c>
      <c r="N18" s="54">
        <f t="shared" si="4"/>
        <v>65</v>
      </c>
    </row>
    <row r="19" spans="1:18" x14ac:dyDescent="0.25">
      <c r="A19" s="23">
        <v>18</v>
      </c>
      <c r="B19" s="129" t="s">
        <v>84</v>
      </c>
      <c r="C19" s="23">
        <v>69</v>
      </c>
      <c r="D19" s="23">
        <v>34</v>
      </c>
      <c r="E19" s="23">
        <v>76</v>
      </c>
      <c r="F19" s="23" t="s">
        <v>550</v>
      </c>
      <c r="G19" s="23">
        <v>87</v>
      </c>
      <c r="H19" s="23">
        <v>59</v>
      </c>
      <c r="J19" s="23" t="s">
        <v>76</v>
      </c>
      <c r="K19" s="54">
        <f t="shared" ref="K19:N21" si="5">VLOOKUP($J19,$B$1:$H$21, MATCH(K$17,$B$1:$H$1,0),0)</f>
        <v>56</v>
      </c>
      <c r="L19" s="54">
        <f t="shared" si="5"/>
        <v>76</v>
      </c>
      <c r="M19" s="54">
        <f t="shared" si="5"/>
        <v>77</v>
      </c>
      <c r="N19" s="54">
        <f t="shared" si="5"/>
        <v>68</v>
      </c>
    </row>
    <row r="20" spans="1:18" x14ac:dyDescent="0.25">
      <c r="A20" s="23">
        <v>19</v>
      </c>
      <c r="B20" s="129" t="s">
        <v>83</v>
      </c>
      <c r="C20" s="23">
        <v>79</v>
      </c>
      <c r="D20" s="23">
        <v>56</v>
      </c>
      <c r="E20" s="23">
        <v>86</v>
      </c>
      <c r="F20" s="23">
        <v>56</v>
      </c>
      <c r="G20" s="23">
        <v>75</v>
      </c>
      <c r="H20" s="23">
        <v>78</v>
      </c>
      <c r="J20" s="23" t="s">
        <v>91</v>
      </c>
      <c r="K20" s="54">
        <f t="shared" si="5"/>
        <v>45</v>
      </c>
      <c r="L20" s="54">
        <f t="shared" si="5"/>
        <v>78</v>
      </c>
      <c r="M20" s="54">
        <f t="shared" si="5"/>
        <v>72</v>
      </c>
      <c r="N20" s="54">
        <f t="shared" si="5"/>
        <v>65</v>
      </c>
    </row>
    <row r="21" spans="1:18" x14ac:dyDescent="0.25">
      <c r="A21" s="23">
        <v>20</v>
      </c>
      <c r="B21" s="129" t="s">
        <v>82</v>
      </c>
      <c r="C21" s="23">
        <v>78</v>
      </c>
      <c r="D21" s="23">
        <v>76</v>
      </c>
      <c r="E21" s="23">
        <v>67</v>
      </c>
      <c r="F21" s="23">
        <v>77</v>
      </c>
      <c r="G21" s="23">
        <v>76</v>
      </c>
      <c r="H21" s="23">
        <v>77</v>
      </c>
      <c r="J21" s="23" t="s">
        <v>86</v>
      </c>
      <c r="K21" s="54">
        <f t="shared" si="5"/>
        <v>68</v>
      </c>
      <c r="L21" s="54">
        <f t="shared" si="5"/>
        <v>89</v>
      </c>
      <c r="M21" s="54">
        <f t="shared" si="5"/>
        <v>78</v>
      </c>
      <c r="N21" s="54">
        <f t="shared" si="5"/>
        <v>97</v>
      </c>
    </row>
    <row r="23" spans="1:18" ht="15.6" x14ac:dyDescent="0.25">
      <c r="J23" s="127" t="s">
        <v>81</v>
      </c>
      <c r="K23" s="127" t="s">
        <v>96</v>
      </c>
      <c r="L23" s="127" t="s">
        <v>92</v>
      </c>
      <c r="M23" s="127" t="s">
        <v>95</v>
      </c>
      <c r="N23" s="127" t="s">
        <v>94</v>
      </c>
    </row>
    <row r="24" spans="1:18" ht="15.6" x14ac:dyDescent="0.25">
      <c r="J24" s="23">
        <v>20</v>
      </c>
      <c r="K24" s="54">
        <f>VLOOKUP($J24,$A$1:$H$21, MATCH(K$23,$A$1:$H$1,0),0)</f>
        <v>78</v>
      </c>
      <c r="L24" s="54">
        <f t="shared" ref="L24:N24" si="6">VLOOKUP($J24,$A$1:$H$21, MATCH(L$23,$A$1:$H$1,0),0)</f>
        <v>77</v>
      </c>
      <c r="M24" s="54">
        <f t="shared" si="6"/>
        <v>67</v>
      </c>
      <c r="N24" s="54">
        <f t="shared" si="6"/>
        <v>77</v>
      </c>
      <c r="O24" s="126"/>
      <c r="P24" s="126"/>
      <c r="Q24" s="126"/>
      <c r="R24" s="126"/>
    </row>
    <row r="25" spans="1:18" x14ac:dyDescent="0.25">
      <c r="J25" s="23">
        <v>7</v>
      </c>
      <c r="K25" s="54">
        <f t="shared" ref="K25:N27" si="7">VLOOKUP($J25,$A$1:$H$21, MATCH(K$23,$A$1:$H$1,0),0)</f>
        <v>68</v>
      </c>
      <c r="L25" s="54">
        <f t="shared" si="7"/>
        <v>95</v>
      </c>
      <c r="M25" s="54">
        <f t="shared" si="7"/>
        <v>68</v>
      </c>
      <c r="N25" s="54">
        <f t="shared" si="7"/>
        <v>45</v>
      </c>
    </row>
    <row r="26" spans="1:18" x14ac:dyDescent="0.25">
      <c r="J26" s="23">
        <v>8</v>
      </c>
      <c r="K26" s="54">
        <f t="shared" si="7"/>
        <v>69</v>
      </c>
      <c r="L26" s="54">
        <f t="shared" si="7"/>
        <v>59</v>
      </c>
      <c r="M26" s="54">
        <f t="shared" si="7"/>
        <v>76</v>
      </c>
      <c r="N26" s="54">
        <f t="shared" si="7"/>
        <v>68</v>
      </c>
    </row>
    <row r="27" spans="1:18" x14ac:dyDescent="0.25">
      <c r="J27" s="23">
        <v>3</v>
      </c>
      <c r="K27" s="54">
        <f t="shared" si="7"/>
        <v>87</v>
      </c>
      <c r="L27" s="54">
        <f t="shared" si="7"/>
        <v>65</v>
      </c>
      <c r="M27" s="54">
        <f t="shared" si="7"/>
        <v>65</v>
      </c>
      <c r="N27" s="54">
        <f t="shared" si="7"/>
        <v>56</v>
      </c>
    </row>
    <row r="30" spans="1:18" ht="21" x14ac:dyDescent="0.25">
      <c r="J30" s="406" t="s">
        <v>824</v>
      </c>
      <c r="K30" s="406"/>
      <c r="L30" s="406"/>
      <c r="M30" s="406"/>
      <c r="N30" s="406"/>
    </row>
    <row r="31" spans="1:18" ht="15.6" x14ac:dyDescent="0.25">
      <c r="J31" s="127" t="s">
        <v>37</v>
      </c>
      <c r="K31" s="127" t="s">
        <v>96</v>
      </c>
      <c r="L31" s="127" t="s">
        <v>92</v>
      </c>
      <c r="M31" s="127" t="s">
        <v>95</v>
      </c>
      <c r="N31" s="127" t="s">
        <v>94</v>
      </c>
    </row>
    <row r="32" spans="1:18" ht="26.4" x14ac:dyDescent="0.25">
      <c r="J32" s="23" t="s">
        <v>825</v>
      </c>
      <c r="K32" s="244" t="str">
        <f>IFERROR(VLOOKUP($J32,$B$1:$H$21, MATCH(K$31,$B$1:$H$1,0),0), "No data were found")</f>
        <v>No data were found</v>
      </c>
      <c r="L32" s="244" t="str">
        <f t="shared" ref="L32:N33" si="8">IFERROR(VLOOKUP($J32,$B$1:$H$21, MATCH(L$31,$B$1:$H$1,0),0), "No data were found")</f>
        <v>No data were found</v>
      </c>
      <c r="M32" s="244" t="str">
        <f t="shared" si="8"/>
        <v>No data were found</v>
      </c>
      <c r="N32" s="244" t="str">
        <f t="shared" si="8"/>
        <v>No data were found</v>
      </c>
    </row>
    <row r="33" spans="10:14" ht="26.4" x14ac:dyDescent="0.25">
      <c r="J33" s="23" t="s">
        <v>826</v>
      </c>
      <c r="K33" s="244" t="str">
        <f>IFERROR(VLOOKUP($J33,$B$1:$H$21, MATCH(K$31,$B$1:$H$1,0),0), "No data were found")</f>
        <v>No data were found</v>
      </c>
      <c r="L33" s="244" t="str">
        <f t="shared" si="8"/>
        <v>No data were found</v>
      </c>
      <c r="M33" s="244" t="str">
        <f t="shared" si="8"/>
        <v>No data were found</v>
      </c>
      <c r="N33" s="244" t="str">
        <f t="shared" si="8"/>
        <v>No data were found</v>
      </c>
    </row>
  </sheetData>
  <sortState xmlns:xlrd2="http://schemas.microsoft.com/office/spreadsheetml/2017/richdata2" ref="J3:J22">
    <sortCondition ref="J3"/>
  </sortState>
  <customSheetViews>
    <customSheetView guid="{BBE43EB8-AC5B-419E-90E4-72D0C525AF66}">
      <selection activeCell="C3" sqref="C3:H22"/>
      <pageMargins left="0.7" right="0.7" top="0.75" bottom="0.75" header="0.3" footer="0.3"/>
    </customSheetView>
  </customSheetViews>
  <mergeCells count="7">
    <mergeCell ref="J1:K1"/>
    <mergeCell ref="J16:N16"/>
    <mergeCell ref="J30:N30"/>
    <mergeCell ref="J9:N9"/>
    <mergeCell ref="J10:N10"/>
    <mergeCell ref="J11:N11"/>
    <mergeCell ref="J12:N1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9B0FD-2A88-44BD-A145-17200C7B95B1}">
  <dimension ref="A1:U26"/>
  <sheetViews>
    <sheetView topLeftCell="A6" zoomScale="120" zoomScaleNormal="120" workbookViewId="0">
      <selection activeCell="E19" sqref="E19"/>
    </sheetView>
  </sheetViews>
  <sheetFormatPr defaultRowHeight="15" x14ac:dyDescent="0.25"/>
  <cols>
    <col min="1" max="1" width="10.6328125" customWidth="1"/>
    <col min="6" max="6" width="17.54296875" customWidth="1"/>
  </cols>
  <sheetData>
    <row r="1" spans="1:21" ht="15.6" x14ac:dyDescent="0.25">
      <c r="A1" s="127" t="s">
        <v>81</v>
      </c>
      <c r="B1" s="23">
        <v>1</v>
      </c>
      <c r="C1" s="23">
        <v>2</v>
      </c>
      <c r="D1" s="23">
        <v>3</v>
      </c>
      <c r="E1" s="23">
        <v>4</v>
      </c>
      <c r="F1" s="23">
        <v>5</v>
      </c>
      <c r="G1" s="23">
        <v>6</v>
      </c>
      <c r="H1" s="23">
        <v>7</v>
      </c>
      <c r="I1" s="23">
        <v>8</v>
      </c>
      <c r="J1" s="23">
        <v>9</v>
      </c>
      <c r="K1" s="23">
        <v>10</v>
      </c>
      <c r="L1" s="23">
        <v>11</v>
      </c>
      <c r="M1" s="23">
        <v>12</v>
      </c>
      <c r="N1" s="23">
        <v>13</v>
      </c>
      <c r="O1" s="23">
        <v>14</v>
      </c>
      <c r="P1" s="23">
        <v>15</v>
      </c>
      <c r="Q1" s="23">
        <v>16</v>
      </c>
      <c r="R1" s="23">
        <v>17</v>
      </c>
      <c r="S1" s="23">
        <v>18</v>
      </c>
      <c r="T1" s="23">
        <v>19</v>
      </c>
      <c r="U1" s="23">
        <v>20</v>
      </c>
    </row>
    <row r="2" spans="1:21" ht="15.6" x14ac:dyDescent="0.25">
      <c r="A2" s="128" t="s">
        <v>37</v>
      </c>
      <c r="B2" s="129" t="s">
        <v>80</v>
      </c>
      <c r="C2" s="129" t="s">
        <v>79</v>
      </c>
      <c r="D2" s="129" t="s">
        <v>78</v>
      </c>
      <c r="E2" s="129" t="s">
        <v>77</v>
      </c>
      <c r="F2" s="129" t="s">
        <v>76</v>
      </c>
      <c r="G2" s="129" t="s">
        <v>75</v>
      </c>
      <c r="H2" s="129" t="s">
        <v>74</v>
      </c>
      <c r="I2" s="129" t="s">
        <v>73</v>
      </c>
      <c r="J2" s="129" t="s">
        <v>72</v>
      </c>
      <c r="K2" s="129" t="s">
        <v>71</v>
      </c>
      <c r="L2" s="129" t="s">
        <v>91</v>
      </c>
      <c r="M2" s="129" t="s">
        <v>90</v>
      </c>
      <c r="N2" s="129" t="s">
        <v>89</v>
      </c>
      <c r="O2" s="129" t="s">
        <v>88</v>
      </c>
      <c r="P2" s="129" t="s">
        <v>87</v>
      </c>
      <c r="Q2" s="129" t="s">
        <v>86</v>
      </c>
      <c r="R2" s="129" t="s">
        <v>85</v>
      </c>
      <c r="S2" s="129" t="s">
        <v>84</v>
      </c>
      <c r="T2" s="129" t="s">
        <v>83</v>
      </c>
      <c r="U2" s="129" t="s">
        <v>82</v>
      </c>
    </row>
    <row r="3" spans="1:21" ht="15.6" x14ac:dyDescent="0.25">
      <c r="A3" s="127" t="s">
        <v>96</v>
      </c>
      <c r="B3" s="23">
        <v>45</v>
      </c>
      <c r="C3" s="23">
        <v>75</v>
      </c>
      <c r="D3" s="23">
        <v>87</v>
      </c>
      <c r="E3" s="23">
        <v>67</v>
      </c>
      <c r="F3" s="23">
        <v>56</v>
      </c>
      <c r="G3" s="23">
        <v>68</v>
      </c>
      <c r="H3" s="23">
        <v>68</v>
      </c>
      <c r="I3" s="23">
        <v>69</v>
      </c>
      <c r="J3" s="23">
        <v>79</v>
      </c>
      <c r="K3" s="23">
        <v>89</v>
      </c>
      <c r="L3" s="23">
        <v>45</v>
      </c>
      <c r="M3" s="23">
        <v>75</v>
      </c>
      <c r="N3" s="23">
        <v>87</v>
      </c>
      <c r="O3" s="23">
        <v>67</v>
      </c>
      <c r="P3" s="23">
        <v>56</v>
      </c>
      <c r="Q3" s="23">
        <v>68</v>
      </c>
      <c r="R3" s="23">
        <v>68</v>
      </c>
      <c r="S3" s="23">
        <v>69</v>
      </c>
      <c r="T3" s="23">
        <v>79</v>
      </c>
      <c r="U3" s="23">
        <v>78</v>
      </c>
    </row>
    <row r="4" spans="1:21" ht="15.6" x14ac:dyDescent="0.25">
      <c r="A4" s="127" t="s">
        <v>714</v>
      </c>
      <c r="B4" s="23">
        <v>56</v>
      </c>
      <c r="C4" s="23">
        <v>45</v>
      </c>
      <c r="D4" s="23">
        <v>45</v>
      </c>
      <c r="E4" s="23">
        <v>65</v>
      </c>
      <c r="F4" s="23">
        <v>67</v>
      </c>
      <c r="G4" s="23">
        <v>89</v>
      </c>
      <c r="H4" s="23">
        <v>65</v>
      </c>
      <c r="I4" s="23">
        <v>34</v>
      </c>
      <c r="J4" s="23">
        <v>56</v>
      </c>
      <c r="K4" s="23">
        <v>76</v>
      </c>
      <c r="L4" s="23">
        <v>56</v>
      </c>
      <c r="M4" s="23">
        <v>65</v>
      </c>
      <c r="N4" s="23">
        <v>45</v>
      </c>
      <c r="O4" s="23">
        <v>65</v>
      </c>
      <c r="P4" s="23">
        <v>67</v>
      </c>
      <c r="Q4" s="23">
        <v>89</v>
      </c>
      <c r="R4" s="23">
        <v>65</v>
      </c>
      <c r="S4" s="23">
        <v>34</v>
      </c>
      <c r="T4" s="23">
        <v>56</v>
      </c>
      <c r="U4" s="23">
        <v>76</v>
      </c>
    </row>
    <row r="5" spans="1:21" ht="15.6" x14ac:dyDescent="0.25">
      <c r="A5" s="127" t="s">
        <v>95</v>
      </c>
      <c r="B5" s="23">
        <v>72</v>
      </c>
      <c r="C5" s="23">
        <v>67</v>
      </c>
      <c r="D5" s="23">
        <v>65</v>
      </c>
      <c r="E5" s="23">
        <v>67</v>
      </c>
      <c r="F5" s="23">
        <v>77</v>
      </c>
      <c r="G5" s="23">
        <v>78</v>
      </c>
      <c r="H5" s="23">
        <v>68</v>
      </c>
      <c r="I5" s="23">
        <v>76</v>
      </c>
      <c r="J5" s="23">
        <v>86</v>
      </c>
      <c r="K5" s="23">
        <v>67</v>
      </c>
      <c r="L5" s="23">
        <v>72</v>
      </c>
      <c r="M5" s="23">
        <v>67</v>
      </c>
      <c r="N5" s="23">
        <v>65</v>
      </c>
      <c r="O5" s="23">
        <v>67</v>
      </c>
      <c r="P5" s="23">
        <v>77</v>
      </c>
      <c r="Q5" s="23">
        <v>78</v>
      </c>
      <c r="R5" s="23">
        <v>68</v>
      </c>
      <c r="S5" s="23">
        <v>76</v>
      </c>
      <c r="T5" s="23">
        <v>86</v>
      </c>
      <c r="U5" s="23">
        <v>67</v>
      </c>
    </row>
    <row r="6" spans="1:21" ht="15.6" x14ac:dyDescent="0.25">
      <c r="A6" s="127" t="s">
        <v>94</v>
      </c>
      <c r="B6" s="23">
        <v>65</v>
      </c>
      <c r="C6" s="23">
        <v>89</v>
      </c>
      <c r="D6" s="23">
        <v>56</v>
      </c>
      <c r="E6" s="23">
        <v>75</v>
      </c>
      <c r="F6" s="23">
        <v>68</v>
      </c>
      <c r="G6" s="23">
        <v>97</v>
      </c>
      <c r="H6" s="23">
        <v>45</v>
      </c>
      <c r="I6" s="23">
        <v>68</v>
      </c>
      <c r="J6" s="23">
        <v>56</v>
      </c>
      <c r="K6" s="23">
        <v>77</v>
      </c>
      <c r="L6" s="23">
        <v>65</v>
      </c>
      <c r="M6" s="23">
        <v>89</v>
      </c>
      <c r="N6" s="23">
        <v>56</v>
      </c>
      <c r="O6" s="23">
        <v>75</v>
      </c>
      <c r="P6" s="23">
        <v>68</v>
      </c>
      <c r="Q6" s="23">
        <v>97</v>
      </c>
      <c r="R6" s="23">
        <v>45</v>
      </c>
      <c r="S6" s="23" t="s">
        <v>550</v>
      </c>
      <c r="T6" s="23">
        <v>56</v>
      </c>
      <c r="U6" s="23">
        <v>77</v>
      </c>
    </row>
    <row r="7" spans="1:21" ht="15.6" x14ac:dyDescent="0.25">
      <c r="A7" s="127" t="s">
        <v>93</v>
      </c>
      <c r="B7" s="23">
        <v>50</v>
      </c>
      <c r="C7" s="23">
        <v>34</v>
      </c>
      <c r="D7" s="23">
        <v>56</v>
      </c>
      <c r="E7" s="23">
        <v>67</v>
      </c>
      <c r="F7" s="23">
        <v>64</v>
      </c>
      <c r="G7" s="23">
        <v>56</v>
      </c>
      <c r="H7" s="23">
        <v>45</v>
      </c>
      <c r="I7" s="23">
        <v>87</v>
      </c>
      <c r="J7" s="23">
        <v>75</v>
      </c>
      <c r="K7" s="23">
        <v>76</v>
      </c>
      <c r="L7" s="23">
        <v>50</v>
      </c>
      <c r="M7" s="23">
        <v>34</v>
      </c>
      <c r="N7" s="23">
        <v>56</v>
      </c>
      <c r="O7" s="23">
        <v>67</v>
      </c>
      <c r="P7" s="23">
        <v>64</v>
      </c>
      <c r="Q7" s="23">
        <v>56</v>
      </c>
      <c r="R7" s="23">
        <v>45</v>
      </c>
      <c r="S7" s="23">
        <v>87</v>
      </c>
      <c r="T7" s="23">
        <v>75</v>
      </c>
      <c r="U7" s="23">
        <v>76</v>
      </c>
    </row>
    <row r="8" spans="1:21" ht="15.6" x14ac:dyDescent="0.25">
      <c r="A8" s="127" t="s">
        <v>92</v>
      </c>
      <c r="B8" s="23">
        <v>78</v>
      </c>
      <c r="C8" s="23">
        <v>58</v>
      </c>
      <c r="D8" s="23">
        <v>65</v>
      </c>
      <c r="E8" s="23">
        <v>66</v>
      </c>
      <c r="F8" s="23">
        <v>76</v>
      </c>
      <c r="G8" s="23">
        <v>89</v>
      </c>
      <c r="H8" s="23">
        <v>95</v>
      </c>
      <c r="I8" s="23">
        <v>59</v>
      </c>
      <c r="J8" s="23">
        <v>78</v>
      </c>
      <c r="K8" s="23">
        <v>77</v>
      </c>
      <c r="L8" s="23">
        <v>78</v>
      </c>
      <c r="M8" s="23">
        <v>58</v>
      </c>
      <c r="N8" s="23">
        <v>65</v>
      </c>
      <c r="O8" s="23">
        <v>66</v>
      </c>
      <c r="P8" s="23">
        <v>76</v>
      </c>
      <c r="Q8" s="23">
        <v>89</v>
      </c>
      <c r="R8" s="23">
        <v>95</v>
      </c>
      <c r="S8" s="23">
        <v>59</v>
      </c>
      <c r="T8" s="23">
        <v>78</v>
      </c>
      <c r="U8" s="23">
        <v>77</v>
      </c>
    </row>
    <row r="11" spans="1:21" ht="21" x14ac:dyDescent="0.25">
      <c r="A11" s="423" t="s">
        <v>827</v>
      </c>
      <c r="B11" s="424"/>
      <c r="C11" s="424"/>
      <c r="D11" s="424"/>
      <c r="E11" s="424"/>
      <c r="H11" s="410" t="s">
        <v>830</v>
      </c>
      <c r="I11" s="411"/>
      <c r="J11" s="411"/>
      <c r="K11" s="411"/>
      <c r="L11" s="412"/>
      <c r="N11" s="419" t="s">
        <v>829</v>
      </c>
      <c r="O11" s="420"/>
      <c r="P11" s="420"/>
      <c r="Q11" s="420"/>
      <c r="R11" s="421"/>
    </row>
    <row r="12" spans="1:21" ht="66" customHeight="1" x14ac:dyDescent="0.25">
      <c r="A12" s="127" t="s">
        <v>37</v>
      </c>
      <c r="B12" s="23" t="s">
        <v>80</v>
      </c>
      <c r="C12" s="23" t="s">
        <v>76</v>
      </c>
      <c r="D12" s="23" t="s">
        <v>91</v>
      </c>
      <c r="E12" s="23" t="s">
        <v>86</v>
      </c>
      <c r="F12" s="242" t="s">
        <v>834</v>
      </c>
      <c r="H12" s="413" t="s">
        <v>831</v>
      </c>
      <c r="I12" s="414"/>
      <c r="J12" s="414"/>
      <c r="K12" s="414"/>
      <c r="L12" s="415"/>
      <c r="N12" s="127" t="s">
        <v>37</v>
      </c>
      <c r="O12" s="23" t="s">
        <v>80</v>
      </c>
      <c r="P12" s="23" t="s">
        <v>76</v>
      </c>
      <c r="Q12" s="23" t="s">
        <v>91</v>
      </c>
      <c r="R12" s="23" t="s">
        <v>86</v>
      </c>
    </row>
    <row r="13" spans="1:21" ht="15.6" x14ac:dyDescent="0.25">
      <c r="A13" s="127" t="s">
        <v>96</v>
      </c>
      <c r="B13" s="54">
        <f>HLOOKUP(B$12,$A$2:$U$8,2,0)</f>
        <v>45</v>
      </c>
      <c r="C13" s="54">
        <f t="shared" ref="C13:E13" si="0">HLOOKUP(C$12,$A$2:$U$8,2,0)</f>
        <v>56</v>
      </c>
      <c r="D13" s="54">
        <f t="shared" si="0"/>
        <v>45</v>
      </c>
      <c r="E13" s="54">
        <f t="shared" si="0"/>
        <v>68</v>
      </c>
      <c r="F13" s="54">
        <f>MATCH($A13,$A$2:$A$8,0)</f>
        <v>2</v>
      </c>
      <c r="H13" s="413" t="s">
        <v>832</v>
      </c>
      <c r="I13" s="414"/>
      <c r="J13" s="414"/>
      <c r="K13" s="414"/>
      <c r="L13" s="415"/>
      <c r="N13" s="127" t="s">
        <v>96</v>
      </c>
      <c r="O13" s="54">
        <f>HLOOKUP(O$12,$A$2:$U$8, MATCH($N13,$A$2:$A$8,0),0)</f>
        <v>45</v>
      </c>
      <c r="P13" s="54">
        <f t="shared" ref="P13:R16" si="1">HLOOKUP(P$12,$A$2:$U$8, MATCH($N13,$A$2:$A$8,0),0)</f>
        <v>56</v>
      </c>
      <c r="Q13" s="54">
        <f t="shared" si="1"/>
        <v>45</v>
      </c>
      <c r="R13" s="54">
        <f t="shared" si="1"/>
        <v>68</v>
      </c>
    </row>
    <row r="14" spans="1:21" ht="15.6" x14ac:dyDescent="0.25">
      <c r="A14" s="127" t="s">
        <v>92</v>
      </c>
      <c r="B14" s="54">
        <f>HLOOKUP(B$12,$A$2:$U$8,7,0)</f>
        <v>78</v>
      </c>
      <c r="C14" s="54">
        <f t="shared" ref="C14:E14" si="2">HLOOKUP(C$12,$A$2:$U$8,7,0)</f>
        <v>76</v>
      </c>
      <c r="D14" s="54">
        <f t="shared" si="2"/>
        <v>78</v>
      </c>
      <c r="E14" s="54">
        <f t="shared" si="2"/>
        <v>89</v>
      </c>
      <c r="F14" s="54">
        <f t="shared" ref="F14:F16" si="3">MATCH($A14,$A$2:$A$8,0)</f>
        <v>7</v>
      </c>
      <c r="H14" s="416" t="s">
        <v>833</v>
      </c>
      <c r="I14" s="417"/>
      <c r="J14" s="417"/>
      <c r="K14" s="417"/>
      <c r="L14" s="418"/>
      <c r="N14" s="127" t="s">
        <v>92</v>
      </c>
      <c r="O14" s="54">
        <f t="shared" ref="O14:O16" si="4">HLOOKUP(O$12,$A$2:$U$8, MATCH($N14,$A$2:$A$8,0),0)</f>
        <v>78</v>
      </c>
      <c r="P14" s="54">
        <f t="shared" si="1"/>
        <v>76</v>
      </c>
      <c r="Q14" s="54">
        <f t="shared" si="1"/>
        <v>78</v>
      </c>
      <c r="R14" s="54">
        <f t="shared" si="1"/>
        <v>89</v>
      </c>
    </row>
    <row r="15" spans="1:21" ht="15.6" x14ac:dyDescent="0.25">
      <c r="A15" s="127" t="s">
        <v>95</v>
      </c>
      <c r="B15" s="54">
        <f>HLOOKUP(B$12,$A$2:$U$8,4,0)</f>
        <v>72</v>
      </c>
      <c r="C15" s="54">
        <f t="shared" ref="C15:E15" si="5">HLOOKUP(C$12,$A$2:$U$8,4,0)</f>
        <v>77</v>
      </c>
      <c r="D15" s="54">
        <f t="shared" si="5"/>
        <v>72</v>
      </c>
      <c r="E15" s="54">
        <f t="shared" si="5"/>
        <v>78</v>
      </c>
      <c r="F15" s="54">
        <f t="shared" si="3"/>
        <v>4</v>
      </c>
      <c r="N15" s="127" t="s">
        <v>95</v>
      </c>
      <c r="O15" s="54">
        <f t="shared" si="4"/>
        <v>72</v>
      </c>
      <c r="P15" s="54">
        <f t="shared" si="1"/>
        <v>77</v>
      </c>
      <c r="Q15" s="54">
        <f t="shared" si="1"/>
        <v>72</v>
      </c>
      <c r="R15" s="54">
        <f t="shared" si="1"/>
        <v>78</v>
      </c>
    </row>
    <row r="16" spans="1:21" ht="15.6" x14ac:dyDescent="0.25">
      <c r="A16" s="127" t="s">
        <v>94</v>
      </c>
      <c r="B16" s="54">
        <f>HLOOKUP(B$12,$A$2:$U$8,5,0)</f>
        <v>65</v>
      </c>
      <c r="C16" s="54">
        <f t="shared" ref="C16:E16" si="6">HLOOKUP(C$12,$A$2:$U$8,5,0)</f>
        <v>68</v>
      </c>
      <c r="D16" s="54">
        <f t="shared" si="6"/>
        <v>65</v>
      </c>
      <c r="E16" s="54">
        <f t="shared" si="6"/>
        <v>97</v>
      </c>
      <c r="F16" s="54">
        <f t="shared" si="3"/>
        <v>5</v>
      </c>
      <c r="N16" s="127" t="s">
        <v>94</v>
      </c>
      <c r="O16" s="54">
        <f t="shared" si="4"/>
        <v>65</v>
      </c>
      <c r="P16" s="54">
        <f t="shared" si="1"/>
        <v>68</v>
      </c>
      <c r="Q16" s="54">
        <f t="shared" si="1"/>
        <v>65</v>
      </c>
      <c r="R16" s="54">
        <f t="shared" si="1"/>
        <v>97</v>
      </c>
    </row>
    <row r="18" spans="1:18" ht="15.6" x14ac:dyDescent="0.25">
      <c r="N18" s="127" t="s">
        <v>81</v>
      </c>
      <c r="O18" s="23">
        <v>20</v>
      </c>
      <c r="P18" s="23">
        <v>7</v>
      </c>
      <c r="Q18" s="23">
        <v>8</v>
      </c>
      <c r="R18" s="23">
        <v>3</v>
      </c>
    </row>
    <row r="19" spans="1:18" ht="15.6" x14ac:dyDescent="0.25">
      <c r="A19" s="422" t="s">
        <v>828</v>
      </c>
      <c r="B19" s="422"/>
      <c r="C19" s="422"/>
      <c r="N19" s="127" t="s">
        <v>96</v>
      </c>
      <c r="O19" s="54">
        <f>HLOOKUP(O$18,$A$1:$U$8, MATCH($N19,$A$1:$A$8,0),0)</f>
        <v>78</v>
      </c>
      <c r="P19" s="54">
        <f t="shared" ref="P19:R22" si="7">HLOOKUP(P$18,$A$1:$U$8, MATCH($N19,$A$1:$A$8,0),0)</f>
        <v>68</v>
      </c>
      <c r="Q19" s="54">
        <f t="shared" si="7"/>
        <v>69</v>
      </c>
      <c r="R19" s="54">
        <f t="shared" si="7"/>
        <v>87</v>
      </c>
    </row>
    <row r="20" spans="1:18" ht="15.6" x14ac:dyDescent="0.25">
      <c r="A20" s="422"/>
      <c r="B20" s="422"/>
      <c r="C20" s="422"/>
      <c r="N20" s="127" t="s">
        <v>92</v>
      </c>
      <c r="O20" s="54">
        <f t="shared" ref="O20:O22" si="8">HLOOKUP(O$18,$A$1:$U$8, MATCH($N20,$A$1:$A$8,0),0)</f>
        <v>77</v>
      </c>
      <c r="P20" s="54">
        <f t="shared" si="7"/>
        <v>95</v>
      </c>
      <c r="Q20" s="54">
        <f t="shared" si="7"/>
        <v>59</v>
      </c>
      <c r="R20" s="54">
        <f t="shared" si="7"/>
        <v>65</v>
      </c>
    </row>
    <row r="21" spans="1:18" ht="21" customHeight="1" x14ac:dyDescent="0.25">
      <c r="A21" s="422"/>
      <c r="B21" s="422"/>
      <c r="C21" s="422"/>
      <c r="N21" s="127" t="s">
        <v>95</v>
      </c>
      <c r="O21" s="54">
        <f t="shared" si="8"/>
        <v>67</v>
      </c>
      <c r="P21" s="54">
        <f t="shared" si="7"/>
        <v>68</v>
      </c>
      <c r="Q21" s="54">
        <f t="shared" si="7"/>
        <v>76</v>
      </c>
      <c r="R21" s="54">
        <f t="shared" si="7"/>
        <v>65</v>
      </c>
    </row>
    <row r="22" spans="1:18" ht="15.6" x14ac:dyDescent="0.25">
      <c r="A22" s="127" t="s">
        <v>37</v>
      </c>
      <c r="B22" s="23" t="s">
        <v>825</v>
      </c>
      <c r="C22" s="23" t="s">
        <v>826</v>
      </c>
      <c r="N22" s="127" t="s">
        <v>94</v>
      </c>
      <c r="O22" s="54">
        <f t="shared" si="8"/>
        <v>77</v>
      </c>
      <c r="P22" s="54">
        <f t="shared" si="7"/>
        <v>45</v>
      </c>
      <c r="Q22" s="54">
        <f t="shared" si="7"/>
        <v>68</v>
      </c>
      <c r="R22" s="54">
        <f t="shared" si="7"/>
        <v>56</v>
      </c>
    </row>
    <row r="23" spans="1:18" ht="26.4" x14ac:dyDescent="0.25">
      <c r="A23" s="127" t="s">
        <v>96</v>
      </c>
      <c r="B23" s="244" t="str">
        <f>IFERROR(HLOOKUP(B$22,$A$1:$U$8, MATCH($A23,$A$1:$A$8,0),0),"No data were found")</f>
        <v>No data were found</v>
      </c>
      <c r="C23" s="244" t="str">
        <f>IFERROR(HLOOKUP(C$22,$A$1:$U$8, MATCH($A23,$A$1:$A$8,0),0),"No data were found")</f>
        <v>No data were found</v>
      </c>
    </row>
    <row r="24" spans="1:18" ht="26.4" x14ac:dyDescent="0.25">
      <c r="A24" s="127" t="s">
        <v>92</v>
      </c>
      <c r="B24" s="244" t="str">
        <f t="shared" ref="B24:C26" si="9">IFERROR(HLOOKUP(B$22,$A$1:$U$8, MATCH($A24,$A$1:$A$8,0),0),"No data were found")</f>
        <v>No data were found</v>
      </c>
      <c r="C24" s="244" t="str">
        <f t="shared" si="9"/>
        <v>No data were found</v>
      </c>
    </row>
    <row r="25" spans="1:18" ht="26.4" x14ac:dyDescent="0.25">
      <c r="A25" s="127" t="s">
        <v>95</v>
      </c>
      <c r="B25" s="244" t="str">
        <f t="shared" si="9"/>
        <v>No data were found</v>
      </c>
      <c r="C25" s="244" t="str">
        <f t="shared" si="9"/>
        <v>No data were found</v>
      </c>
    </row>
    <row r="26" spans="1:18" ht="26.4" x14ac:dyDescent="0.25">
      <c r="A26" s="127" t="s">
        <v>94</v>
      </c>
      <c r="B26" s="244" t="str">
        <f t="shared" si="9"/>
        <v>No data were found</v>
      </c>
      <c r="C26" s="244" t="str">
        <f t="shared" si="9"/>
        <v>No data were found</v>
      </c>
    </row>
  </sheetData>
  <mergeCells count="7">
    <mergeCell ref="H14:L14"/>
    <mergeCell ref="N11:R11"/>
    <mergeCell ref="A19:C21"/>
    <mergeCell ref="A11:E11"/>
    <mergeCell ref="H11:L11"/>
    <mergeCell ref="H12:L12"/>
    <mergeCell ref="H13:L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29"/>
  <sheetViews>
    <sheetView zoomScale="120" zoomScaleNormal="120" workbookViewId="0">
      <selection activeCell="J2" sqref="J2"/>
    </sheetView>
  </sheetViews>
  <sheetFormatPr defaultRowHeight="15" x14ac:dyDescent="0.25"/>
  <cols>
    <col min="4" max="4" width="13.36328125" customWidth="1"/>
    <col min="7" max="7" width="13.1796875" customWidth="1"/>
    <col min="8" max="8" width="12.90625" customWidth="1"/>
  </cols>
  <sheetData>
    <row r="1" spans="1:8" ht="18" customHeight="1" x14ac:dyDescent="0.25">
      <c r="A1" s="247" t="s">
        <v>376</v>
      </c>
      <c r="B1" s="248" t="s">
        <v>375</v>
      </c>
      <c r="C1" s="248" t="s">
        <v>374</v>
      </c>
      <c r="D1" s="248" t="s">
        <v>373</v>
      </c>
      <c r="E1" s="248" t="s">
        <v>372</v>
      </c>
      <c r="F1" s="248" t="s">
        <v>371</v>
      </c>
      <c r="G1" s="249" t="s">
        <v>370</v>
      </c>
      <c r="H1" s="250" t="s">
        <v>369</v>
      </c>
    </row>
    <row r="2" spans="1:8" x14ac:dyDescent="0.25">
      <c r="A2" s="245" t="s">
        <v>368</v>
      </c>
      <c r="B2" s="2" t="s">
        <v>367</v>
      </c>
      <c r="C2" s="2" t="s">
        <v>366</v>
      </c>
      <c r="D2" s="69">
        <v>34690</v>
      </c>
      <c r="E2" s="70" t="s">
        <v>109</v>
      </c>
      <c r="F2" s="71">
        <v>35.5</v>
      </c>
      <c r="G2" s="72">
        <v>45</v>
      </c>
      <c r="H2" s="246">
        <f t="shared" ref="H2:H29" si="0">F2*G2</f>
        <v>1597.5</v>
      </c>
    </row>
    <row r="3" spans="1:8" x14ac:dyDescent="0.25">
      <c r="A3" s="245" t="s">
        <v>365</v>
      </c>
      <c r="B3" s="2" t="s">
        <v>364</v>
      </c>
      <c r="C3" s="2" t="s">
        <v>363</v>
      </c>
      <c r="D3" s="69">
        <v>34153</v>
      </c>
      <c r="E3" s="70" t="s">
        <v>120</v>
      </c>
      <c r="F3" s="71">
        <v>35.5</v>
      </c>
      <c r="G3" s="72">
        <v>28.3</v>
      </c>
      <c r="H3" s="246">
        <f t="shared" si="0"/>
        <v>1004.65</v>
      </c>
    </row>
    <row r="4" spans="1:8" x14ac:dyDescent="0.25">
      <c r="A4" s="245" t="s">
        <v>362</v>
      </c>
      <c r="B4" s="2" t="s">
        <v>361</v>
      </c>
      <c r="C4" s="2" t="s">
        <v>183</v>
      </c>
      <c r="D4" s="69">
        <v>36000</v>
      </c>
      <c r="E4" s="70" t="s">
        <v>124</v>
      </c>
      <c r="F4" s="71">
        <v>42</v>
      </c>
      <c r="G4" s="72">
        <v>31.75</v>
      </c>
      <c r="H4" s="246">
        <f t="shared" si="0"/>
        <v>1333.5</v>
      </c>
    </row>
    <row r="5" spans="1:8" x14ac:dyDescent="0.25">
      <c r="A5" s="245" t="s">
        <v>360</v>
      </c>
      <c r="B5" s="2" t="s">
        <v>359</v>
      </c>
      <c r="C5" s="2" t="s">
        <v>106</v>
      </c>
      <c r="D5" s="69">
        <v>35221</v>
      </c>
      <c r="E5" s="70" t="s">
        <v>105</v>
      </c>
      <c r="F5" s="71">
        <v>40</v>
      </c>
      <c r="G5" s="72">
        <v>23.75</v>
      </c>
      <c r="H5" s="246">
        <f t="shared" si="0"/>
        <v>950</v>
      </c>
    </row>
    <row r="6" spans="1:8" x14ac:dyDescent="0.25">
      <c r="A6" s="245" t="s">
        <v>358</v>
      </c>
      <c r="B6" s="2" t="s">
        <v>357</v>
      </c>
      <c r="C6" s="2" t="s">
        <v>356</v>
      </c>
      <c r="D6" s="69">
        <v>33399</v>
      </c>
      <c r="E6" s="70" t="s">
        <v>124</v>
      </c>
      <c r="F6" s="71">
        <v>40</v>
      </c>
      <c r="G6" s="72">
        <v>27.6</v>
      </c>
      <c r="H6" s="246">
        <f t="shared" si="0"/>
        <v>1104</v>
      </c>
    </row>
    <row r="7" spans="1:8" x14ac:dyDescent="0.25">
      <c r="A7" s="245" t="s">
        <v>355</v>
      </c>
      <c r="B7" s="2" t="s">
        <v>354</v>
      </c>
      <c r="C7" s="2" t="s">
        <v>353</v>
      </c>
      <c r="D7" s="69">
        <v>34853</v>
      </c>
      <c r="E7" s="70" t="s">
        <v>120</v>
      </c>
      <c r="F7" s="71">
        <v>35</v>
      </c>
      <c r="G7" s="72">
        <v>39</v>
      </c>
      <c r="H7" s="246">
        <f t="shared" si="0"/>
        <v>1365</v>
      </c>
    </row>
    <row r="8" spans="1:8" x14ac:dyDescent="0.25">
      <c r="A8" s="245" t="s">
        <v>352</v>
      </c>
      <c r="B8" s="2" t="s">
        <v>156</v>
      </c>
      <c r="C8" s="2" t="s">
        <v>351</v>
      </c>
      <c r="D8" s="69">
        <v>35485</v>
      </c>
      <c r="E8" s="70" t="s">
        <v>105</v>
      </c>
      <c r="F8" s="71">
        <v>35</v>
      </c>
      <c r="G8" s="72">
        <v>27.1</v>
      </c>
      <c r="H8" s="246">
        <f t="shared" si="0"/>
        <v>948.5</v>
      </c>
    </row>
    <row r="9" spans="1:8" x14ac:dyDescent="0.25">
      <c r="A9" s="245" t="s">
        <v>350</v>
      </c>
      <c r="B9" s="2" t="s">
        <v>349</v>
      </c>
      <c r="C9" s="2" t="s">
        <v>348</v>
      </c>
      <c r="D9" s="69">
        <v>33341</v>
      </c>
      <c r="E9" s="70" t="s">
        <v>120</v>
      </c>
      <c r="F9" s="71">
        <v>40</v>
      </c>
      <c r="G9" s="72">
        <v>48</v>
      </c>
      <c r="H9" s="246">
        <f t="shared" si="0"/>
        <v>1920</v>
      </c>
    </row>
    <row r="10" spans="1:8" x14ac:dyDescent="0.25">
      <c r="A10" s="245" t="s">
        <v>347</v>
      </c>
      <c r="B10" s="2" t="s">
        <v>346</v>
      </c>
      <c r="C10" s="2" t="s">
        <v>345</v>
      </c>
      <c r="D10" s="69">
        <v>35825</v>
      </c>
      <c r="E10" s="70" t="s">
        <v>113</v>
      </c>
      <c r="F10" s="71">
        <v>35.5</v>
      </c>
      <c r="G10" s="72">
        <v>28.3</v>
      </c>
      <c r="H10" s="246">
        <f t="shared" si="0"/>
        <v>1004.65</v>
      </c>
    </row>
    <row r="11" spans="1:8" x14ac:dyDescent="0.25">
      <c r="A11" s="245" t="s">
        <v>344</v>
      </c>
      <c r="B11" s="2" t="s">
        <v>343</v>
      </c>
      <c r="C11" s="2" t="s">
        <v>342</v>
      </c>
      <c r="D11" s="69">
        <v>36157</v>
      </c>
      <c r="E11" s="70"/>
      <c r="F11" s="71">
        <v>40</v>
      </c>
      <c r="G11" s="72">
        <v>36.5</v>
      </c>
      <c r="H11" s="246">
        <f t="shared" si="0"/>
        <v>1460</v>
      </c>
    </row>
    <row r="12" spans="1:8" x14ac:dyDescent="0.25">
      <c r="A12" s="245" t="s">
        <v>341</v>
      </c>
      <c r="B12" s="2" t="s">
        <v>340</v>
      </c>
      <c r="C12" s="2" t="s">
        <v>339</v>
      </c>
      <c r="D12" s="69">
        <v>33822</v>
      </c>
      <c r="E12" s="70" t="s">
        <v>109</v>
      </c>
      <c r="F12" s="71">
        <v>35.5</v>
      </c>
      <c r="G12" s="72">
        <v>28.3</v>
      </c>
      <c r="H12" s="246">
        <f t="shared" si="0"/>
        <v>1004.65</v>
      </c>
    </row>
    <row r="13" spans="1:8" x14ac:dyDescent="0.25">
      <c r="A13" s="245" t="s">
        <v>338</v>
      </c>
      <c r="B13" s="2" t="s">
        <v>337</v>
      </c>
      <c r="C13" s="2" t="s">
        <v>336</v>
      </c>
      <c r="D13" s="69">
        <v>35888</v>
      </c>
      <c r="E13" s="70" t="s">
        <v>124</v>
      </c>
      <c r="F13" s="71">
        <v>32</v>
      </c>
      <c r="G13" s="72">
        <v>20.5</v>
      </c>
      <c r="H13" s="246">
        <f t="shared" si="0"/>
        <v>656</v>
      </c>
    </row>
    <row r="14" spans="1:8" x14ac:dyDescent="0.25">
      <c r="A14" s="245" t="s">
        <v>335</v>
      </c>
      <c r="B14" s="2" t="s">
        <v>334</v>
      </c>
      <c r="C14" s="2" t="s">
        <v>333</v>
      </c>
      <c r="D14" s="69">
        <v>33992</v>
      </c>
      <c r="E14" s="70" t="s">
        <v>550</v>
      </c>
      <c r="F14" s="71">
        <v>35.5</v>
      </c>
      <c r="G14" s="72">
        <v>50</v>
      </c>
      <c r="H14" s="246">
        <f t="shared" si="0"/>
        <v>1775</v>
      </c>
    </row>
    <row r="15" spans="1:8" x14ac:dyDescent="0.25">
      <c r="A15" s="245" t="s">
        <v>332</v>
      </c>
      <c r="B15" s="2" t="s">
        <v>190</v>
      </c>
      <c r="C15" s="2" t="s">
        <v>331</v>
      </c>
      <c r="D15" s="69">
        <v>35195</v>
      </c>
      <c r="E15" s="70" t="s">
        <v>128</v>
      </c>
      <c r="F15" s="71">
        <v>40</v>
      </c>
      <c r="G15" s="72">
        <v>22.22</v>
      </c>
      <c r="H15" s="246">
        <f t="shared" si="0"/>
        <v>888.8</v>
      </c>
    </row>
    <row r="16" spans="1:8" x14ac:dyDescent="0.25">
      <c r="A16" s="245" t="s">
        <v>330</v>
      </c>
      <c r="B16" s="2" t="s">
        <v>297</v>
      </c>
      <c r="C16" s="2" t="s">
        <v>329</v>
      </c>
      <c r="D16" s="69">
        <v>34858</v>
      </c>
      <c r="E16" s="70" t="s">
        <v>128</v>
      </c>
      <c r="F16" s="71">
        <v>40</v>
      </c>
      <c r="G16" s="72">
        <v>27.6</v>
      </c>
      <c r="H16" s="246">
        <f t="shared" si="0"/>
        <v>1104</v>
      </c>
    </row>
    <row r="17" spans="1:8" x14ac:dyDescent="0.25">
      <c r="A17" s="245" t="s">
        <v>328</v>
      </c>
      <c r="B17" s="2" t="s">
        <v>285</v>
      </c>
      <c r="C17" s="2" t="s">
        <v>327</v>
      </c>
      <c r="D17" s="69">
        <v>34616</v>
      </c>
      <c r="E17" s="70" t="s">
        <v>128</v>
      </c>
      <c r="F17" s="71">
        <v>35.5</v>
      </c>
      <c r="G17" s="72">
        <v>55</v>
      </c>
      <c r="H17" s="246">
        <f t="shared" si="0"/>
        <v>1952.5</v>
      </c>
    </row>
    <row r="18" spans="1:8" x14ac:dyDescent="0.25">
      <c r="A18" s="245" t="s">
        <v>326</v>
      </c>
      <c r="B18" s="2" t="s">
        <v>240</v>
      </c>
      <c r="C18" s="2" t="s">
        <v>325</v>
      </c>
      <c r="D18" s="69">
        <v>34094</v>
      </c>
      <c r="E18" s="70" t="s">
        <v>154</v>
      </c>
      <c r="F18" s="71">
        <v>40</v>
      </c>
      <c r="G18" s="72">
        <v>37</v>
      </c>
      <c r="H18" s="246">
        <f t="shared" si="0"/>
        <v>1480</v>
      </c>
    </row>
    <row r="19" spans="1:8" x14ac:dyDescent="0.25">
      <c r="A19" s="245" t="s">
        <v>324</v>
      </c>
      <c r="B19" s="2" t="s">
        <v>126</v>
      </c>
      <c r="C19" s="2" t="s">
        <v>323</v>
      </c>
      <c r="D19" s="69">
        <v>35050</v>
      </c>
      <c r="E19" s="70" t="s">
        <v>154</v>
      </c>
      <c r="F19" s="71">
        <v>40</v>
      </c>
      <c r="G19" s="72">
        <v>37</v>
      </c>
      <c r="H19" s="246">
        <f t="shared" si="0"/>
        <v>1480</v>
      </c>
    </row>
    <row r="20" spans="1:8" x14ac:dyDescent="0.25">
      <c r="A20" s="245" t="s">
        <v>322</v>
      </c>
      <c r="B20" s="2" t="s">
        <v>321</v>
      </c>
      <c r="C20" s="2" t="s">
        <v>320</v>
      </c>
      <c r="D20" s="69">
        <v>34871</v>
      </c>
      <c r="E20" s="70" t="s">
        <v>105</v>
      </c>
      <c r="F20" s="71">
        <v>40</v>
      </c>
      <c r="G20" s="72">
        <v>30</v>
      </c>
      <c r="H20" s="246">
        <f t="shared" si="0"/>
        <v>1200</v>
      </c>
    </row>
    <row r="21" spans="1:8" x14ac:dyDescent="0.25">
      <c r="A21" s="245" t="s">
        <v>319</v>
      </c>
      <c r="B21" s="2" t="s">
        <v>234</v>
      </c>
      <c r="C21" s="2" t="s">
        <v>318</v>
      </c>
      <c r="D21" s="69">
        <v>34534</v>
      </c>
      <c r="E21" s="70"/>
      <c r="F21" s="71">
        <v>35.5</v>
      </c>
      <c r="G21" s="72">
        <v>27.5</v>
      </c>
      <c r="H21" s="246">
        <f t="shared" si="0"/>
        <v>976.25</v>
      </c>
    </row>
    <row r="22" spans="1:8" x14ac:dyDescent="0.25">
      <c r="A22" s="245" t="s">
        <v>317</v>
      </c>
      <c r="B22" s="2" t="s">
        <v>316</v>
      </c>
      <c r="C22" s="2" t="s">
        <v>132</v>
      </c>
      <c r="D22" s="69">
        <v>33649</v>
      </c>
      <c r="E22" s="70" t="s">
        <v>105</v>
      </c>
      <c r="F22" s="71">
        <v>25</v>
      </c>
      <c r="G22" s="72">
        <v>23.52</v>
      </c>
      <c r="H22" s="246">
        <f t="shared" si="0"/>
        <v>588</v>
      </c>
    </row>
    <row r="23" spans="1:8" x14ac:dyDescent="0.25">
      <c r="A23" s="245" t="s">
        <v>315</v>
      </c>
      <c r="B23" s="2" t="s">
        <v>314</v>
      </c>
      <c r="C23" s="2" t="s">
        <v>313</v>
      </c>
      <c r="D23" s="69">
        <v>33634</v>
      </c>
      <c r="E23" s="70" t="s">
        <v>154</v>
      </c>
      <c r="F23" s="71">
        <v>40</v>
      </c>
      <c r="G23" s="72">
        <v>23.75</v>
      </c>
      <c r="H23" s="246">
        <f t="shared" si="0"/>
        <v>950</v>
      </c>
    </row>
    <row r="24" spans="1:8" x14ac:dyDescent="0.25">
      <c r="A24" s="245" t="s">
        <v>312</v>
      </c>
      <c r="B24" s="2" t="s">
        <v>311</v>
      </c>
      <c r="C24" s="2" t="s">
        <v>310</v>
      </c>
      <c r="D24" s="69">
        <v>32573</v>
      </c>
      <c r="E24" s="70" t="s">
        <v>109</v>
      </c>
      <c r="F24" s="71">
        <v>40</v>
      </c>
      <c r="G24" s="72">
        <v>60</v>
      </c>
      <c r="H24" s="246">
        <f t="shared" si="0"/>
        <v>2400</v>
      </c>
    </row>
    <row r="25" spans="1:8" x14ac:dyDescent="0.25">
      <c r="A25" s="245" t="s">
        <v>309</v>
      </c>
      <c r="B25" s="2" t="s">
        <v>308</v>
      </c>
      <c r="C25" s="2" t="s">
        <v>307</v>
      </c>
      <c r="D25" s="69">
        <v>33700</v>
      </c>
      <c r="E25" s="70"/>
      <c r="F25" s="71">
        <v>40</v>
      </c>
      <c r="G25" s="72">
        <v>52</v>
      </c>
      <c r="H25" s="246">
        <f t="shared" si="0"/>
        <v>2080</v>
      </c>
    </row>
    <row r="26" spans="1:8" x14ac:dyDescent="0.25">
      <c r="A26" s="245" t="s">
        <v>306</v>
      </c>
      <c r="B26" s="2" t="s">
        <v>305</v>
      </c>
      <c r="C26" s="2" t="s">
        <v>178</v>
      </c>
      <c r="D26" s="69">
        <v>35747</v>
      </c>
      <c r="E26" s="70" t="s">
        <v>124</v>
      </c>
      <c r="F26" s="71">
        <v>40</v>
      </c>
      <c r="G26" s="72">
        <v>30.5</v>
      </c>
      <c r="H26" s="246">
        <f t="shared" si="0"/>
        <v>1220</v>
      </c>
    </row>
    <row r="27" spans="1:8" x14ac:dyDescent="0.25">
      <c r="A27" s="245" t="s">
        <v>304</v>
      </c>
      <c r="B27" s="2" t="s">
        <v>303</v>
      </c>
      <c r="C27" s="2" t="s">
        <v>302</v>
      </c>
      <c r="D27" s="69">
        <v>36374</v>
      </c>
      <c r="E27" s="70" t="s">
        <v>124</v>
      </c>
      <c r="F27" s="71">
        <v>32</v>
      </c>
      <c r="G27" s="72">
        <v>20.5</v>
      </c>
      <c r="H27" s="246">
        <f t="shared" si="0"/>
        <v>656</v>
      </c>
    </row>
    <row r="28" spans="1:8" x14ac:dyDescent="0.25">
      <c r="A28" s="245" t="s">
        <v>301</v>
      </c>
      <c r="B28" s="2" t="s">
        <v>300</v>
      </c>
      <c r="C28" s="2" t="s">
        <v>299</v>
      </c>
      <c r="D28" s="69">
        <v>34279</v>
      </c>
      <c r="E28" s="70" t="s">
        <v>154</v>
      </c>
      <c r="F28" s="71">
        <v>40</v>
      </c>
      <c r="G28" s="72">
        <v>34.5</v>
      </c>
      <c r="H28" s="246">
        <f t="shared" si="0"/>
        <v>1380</v>
      </c>
    </row>
    <row r="29" spans="1:8" x14ac:dyDescent="0.25">
      <c r="A29" s="251" t="s">
        <v>298</v>
      </c>
      <c r="B29" s="252" t="s">
        <v>297</v>
      </c>
      <c r="C29" s="252" t="s">
        <v>296</v>
      </c>
      <c r="D29" s="253">
        <v>33497</v>
      </c>
      <c r="E29" s="254" t="s">
        <v>124</v>
      </c>
      <c r="F29" s="255">
        <v>40</v>
      </c>
      <c r="G29" s="256">
        <v>45</v>
      </c>
      <c r="H29" s="257">
        <f t="shared" si="0"/>
        <v>1800</v>
      </c>
    </row>
  </sheetData>
  <protectedRanges>
    <protectedRange password="CF7A" sqref="F2:F29" name="Range1"/>
  </protectedRange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7"/>
  <dimension ref="A1:H30"/>
  <sheetViews>
    <sheetView zoomScale="120" zoomScaleNormal="120" workbookViewId="0">
      <selection activeCell="J1" sqref="J1"/>
    </sheetView>
  </sheetViews>
  <sheetFormatPr defaultRowHeight="15" x14ac:dyDescent="0.25"/>
  <cols>
    <col min="4" max="4" width="11.81640625" customWidth="1"/>
    <col min="7" max="7" width="12.7265625" customWidth="1"/>
    <col min="8" max="8" width="12.90625" customWidth="1"/>
  </cols>
  <sheetData>
    <row r="1" spans="1:8" ht="18.600000000000001" customHeight="1" x14ac:dyDescent="0.25">
      <c r="A1" s="248" t="s">
        <v>376</v>
      </c>
      <c r="B1" s="248" t="s">
        <v>375</v>
      </c>
      <c r="C1" s="248" t="s">
        <v>374</v>
      </c>
      <c r="D1" s="248" t="s">
        <v>373</v>
      </c>
      <c r="E1" s="248" t="s">
        <v>372</v>
      </c>
      <c r="F1" s="248" t="s">
        <v>371</v>
      </c>
      <c r="G1" s="249" t="s">
        <v>370</v>
      </c>
      <c r="H1" s="249" t="s">
        <v>369</v>
      </c>
    </row>
    <row r="2" spans="1:8" x14ac:dyDescent="0.25">
      <c r="A2" s="2" t="s">
        <v>295</v>
      </c>
      <c r="B2" s="2" t="s">
        <v>294</v>
      </c>
      <c r="C2" s="2" t="s">
        <v>293</v>
      </c>
      <c r="D2" s="69">
        <v>33831</v>
      </c>
      <c r="E2" s="70" t="s">
        <v>154</v>
      </c>
      <c r="F2" s="71">
        <v>32</v>
      </c>
      <c r="G2" s="72">
        <v>20.5</v>
      </c>
      <c r="H2" s="72">
        <f t="shared" ref="H2:H30" si="0">F2*G2</f>
        <v>656</v>
      </c>
    </row>
    <row r="3" spans="1:8" x14ac:dyDescent="0.25">
      <c r="A3" s="2" t="s">
        <v>292</v>
      </c>
      <c r="B3" s="2" t="s">
        <v>291</v>
      </c>
      <c r="C3" s="2" t="s">
        <v>290</v>
      </c>
      <c r="D3" s="69">
        <v>33837</v>
      </c>
      <c r="E3" s="70" t="s">
        <v>154</v>
      </c>
      <c r="F3" s="71">
        <v>40</v>
      </c>
      <c r="G3" s="72">
        <v>36.5</v>
      </c>
      <c r="H3" s="72">
        <f t="shared" si="0"/>
        <v>1460</v>
      </c>
    </row>
    <row r="4" spans="1:8" x14ac:dyDescent="0.25">
      <c r="A4" s="2" t="s">
        <v>289</v>
      </c>
      <c r="B4" s="2" t="s">
        <v>288</v>
      </c>
      <c r="C4" s="2" t="s">
        <v>287</v>
      </c>
      <c r="D4" s="69">
        <v>35775</v>
      </c>
      <c r="E4" s="70" t="s">
        <v>109</v>
      </c>
      <c r="F4" s="71">
        <v>25</v>
      </c>
      <c r="G4" s="72">
        <v>23.52</v>
      </c>
      <c r="H4" s="72">
        <f t="shared" si="0"/>
        <v>588</v>
      </c>
    </row>
    <row r="5" spans="1:8" x14ac:dyDescent="0.25">
      <c r="A5" s="2" t="s">
        <v>286</v>
      </c>
      <c r="B5" s="2" t="s">
        <v>285</v>
      </c>
      <c r="C5" s="2" t="s">
        <v>183</v>
      </c>
      <c r="D5" s="69">
        <v>36194</v>
      </c>
      <c r="E5" s="70"/>
      <c r="F5" s="71">
        <v>35</v>
      </c>
      <c r="G5" s="72">
        <v>27.1</v>
      </c>
      <c r="H5" s="72">
        <f t="shared" si="0"/>
        <v>948.5</v>
      </c>
    </row>
    <row r="6" spans="1:8" x14ac:dyDescent="0.25">
      <c r="A6" s="2" t="s">
        <v>284</v>
      </c>
      <c r="B6" s="2" t="s">
        <v>283</v>
      </c>
      <c r="C6" s="2" t="s">
        <v>282</v>
      </c>
      <c r="D6" s="69">
        <v>36017</v>
      </c>
      <c r="E6" s="70" t="s">
        <v>105</v>
      </c>
      <c r="F6" s="71">
        <v>35</v>
      </c>
      <c r="G6" s="72">
        <v>50</v>
      </c>
      <c r="H6" s="72">
        <f t="shared" si="0"/>
        <v>1750</v>
      </c>
    </row>
    <row r="7" spans="1:8" x14ac:dyDescent="0.25">
      <c r="A7" s="2" t="s">
        <v>281</v>
      </c>
      <c r="B7" s="2" t="s">
        <v>280</v>
      </c>
      <c r="C7" s="2" t="s">
        <v>132</v>
      </c>
      <c r="D7" s="69">
        <v>35372</v>
      </c>
      <c r="E7" s="70" t="s">
        <v>120</v>
      </c>
      <c r="F7" s="71">
        <v>40</v>
      </c>
      <c r="G7" s="72">
        <v>34.5</v>
      </c>
      <c r="H7" s="72">
        <f t="shared" si="0"/>
        <v>1380</v>
      </c>
    </row>
    <row r="8" spans="1:8" x14ac:dyDescent="0.25">
      <c r="A8" s="2" t="s">
        <v>279</v>
      </c>
      <c r="B8" s="2" t="s">
        <v>273</v>
      </c>
      <c r="C8" s="2" t="s">
        <v>278</v>
      </c>
      <c r="D8" s="69">
        <v>35026</v>
      </c>
      <c r="E8" s="70" t="s">
        <v>120</v>
      </c>
      <c r="F8" s="71">
        <v>35.5</v>
      </c>
      <c r="G8" s="72">
        <v>55</v>
      </c>
      <c r="H8" s="72">
        <f t="shared" si="0"/>
        <v>1952.5</v>
      </c>
    </row>
    <row r="9" spans="1:8" x14ac:dyDescent="0.25">
      <c r="A9" s="2" t="s">
        <v>277</v>
      </c>
      <c r="B9" s="2" t="s">
        <v>276</v>
      </c>
      <c r="C9" s="2" t="s">
        <v>275</v>
      </c>
      <c r="D9" s="69">
        <v>34483</v>
      </c>
      <c r="E9" s="70"/>
      <c r="F9" s="71">
        <v>40</v>
      </c>
      <c r="G9" s="72">
        <v>23.75</v>
      </c>
      <c r="H9" s="72">
        <f t="shared" si="0"/>
        <v>950</v>
      </c>
    </row>
    <row r="10" spans="1:8" x14ac:dyDescent="0.25">
      <c r="A10" s="2" t="s">
        <v>274</v>
      </c>
      <c r="B10" s="2" t="s">
        <v>273</v>
      </c>
      <c r="C10" s="2" t="s">
        <v>272</v>
      </c>
      <c r="D10" s="69">
        <v>34949</v>
      </c>
      <c r="E10" s="70" t="s">
        <v>154</v>
      </c>
      <c r="F10" s="71">
        <v>29.5</v>
      </c>
      <c r="G10" s="72">
        <v>21.5</v>
      </c>
      <c r="H10" s="72">
        <f t="shared" si="0"/>
        <v>634.25</v>
      </c>
    </row>
    <row r="11" spans="1:8" x14ac:dyDescent="0.25">
      <c r="A11" s="2" t="s">
        <v>271</v>
      </c>
      <c r="B11" s="2" t="s">
        <v>270</v>
      </c>
      <c r="C11" s="2" t="s">
        <v>269</v>
      </c>
      <c r="D11" s="69">
        <v>33404</v>
      </c>
      <c r="E11" s="70" t="s">
        <v>120</v>
      </c>
      <c r="F11" s="71">
        <v>38</v>
      </c>
      <c r="G11" s="72">
        <v>30.5</v>
      </c>
      <c r="H11" s="72">
        <f t="shared" si="0"/>
        <v>1159</v>
      </c>
    </row>
    <row r="12" spans="1:8" x14ac:dyDescent="0.25">
      <c r="A12" s="2" t="s">
        <v>268</v>
      </c>
      <c r="B12" s="2" t="s">
        <v>267</v>
      </c>
      <c r="C12" s="2" t="s">
        <v>266</v>
      </c>
      <c r="D12" s="69">
        <v>35655</v>
      </c>
      <c r="E12" s="70" t="s">
        <v>128</v>
      </c>
      <c r="F12" s="71">
        <v>40</v>
      </c>
      <c r="G12" s="72">
        <v>37</v>
      </c>
      <c r="H12" s="72">
        <f t="shared" si="0"/>
        <v>1480</v>
      </c>
    </row>
    <row r="13" spans="1:8" x14ac:dyDescent="0.25">
      <c r="A13" s="2" t="s">
        <v>265</v>
      </c>
      <c r="B13" s="2" t="s">
        <v>115</v>
      </c>
      <c r="C13" s="2" t="s">
        <v>264</v>
      </c>
      <c r="D13" s="69">
        <v>35005</v>
      </c>
      <c r="E13" s="70"/>
      <c r="F13" s="71">
        <v>38</v>
      </c>
      <c r="G13" s="72">
        <v>30.5</v>
      </c>
      <c r="H13" s="72">
        <f t="shared" si="0"/>
        <v>1159</v>
      </c>
    </row>
    <row r="14" spans="1:8" x14ac:dyDescent="0.25">
      <c r="A14" s="2" t="s">
        <v>263</v>
      </c>
      <c r="B14" s="2" t="s">
        <v>262</v>
      </c>
      <c r="C14" s="2" t="s">
        <v>261</v>
      </c>
      <c r="D14" s="69">
        <v>34471</v>
      </c>
      <c r="E14" s="70" t="s">
        <v>113</v>
      </c>
      <c r="F14" s="71">
        <v>40</v>
      </c>
      <c r="G14" s="72">
        <v>23.22</v>
      </c>
      <c r="H14" s="72">
        <f t="shared" si="0"/>
        <v>928.8</v>
      </c>
    </row>
    <row r="15" spans="1:8" x14ac:dyDescent="0.25">
      <c r="A15" s="2" t="s">
        <v>260</v>
      </c>
      <c r="B15" s="2" t="s">
        <v>216</v>
      </c>
      <c r="C15" s="2" t="s">
        <v>259</v>
      </c>
      <c r="D15" s="69">
        <v>32883</v>
      </c>
      <c r="E15" s="70"/>
      <c r="F15" s="71">
        <v>40</v>
      </c>
      <c r="G15" s="72">
        <v>45</v>
      </c>
      <c r="H15" s="72">
        <f t="shared" si="0"/>
        <v>1800</v>
      </c>
    </row>
    <row r="16" spans="1:8" x14ac:dyDescent="0.25">
      <c r="A16" s="2" t="s">
        <v>258</v>
      </c>
      <c r="B16" s="2" t="s">
        <v>202</v>
      </c>
      <c r="C16" s="2" t="s">
        <v>257</v>
      </c>
      <c r="D16" s="69">
        <v>34414</v>
      </c>
      <c r="E16" s="70" t="s">
        <v>128</v>
      </c>
      <c r="F16" s="71">
        <v>35</v>
      </c>
      <c r="G16" s="72">
        <v>39</v>
      </c>
      <c r="H16" s="72">
        <f t="shared" si="0"/>
        <v>1365</v>
      </c>
    </row>
    <row r="17" spans="1:8" x14ac:dyDescent="0.25">
      <c r="A17" s="2" t="s">
        <v>256</v>
      </c>
      <c r="B17" s="2" t="s">
        <v>255</v>
      </c>
      <c r="C17" s="2" t="s">
        <v>254</v>
      </c>
      <c r="D17" s="69">
        <v>34671</v>
      </c>
      <c r="E17" s="70" t="s">
        <v>113</v>
      </c>
      <c r="F17" s="71">
        <v>15.5</v>
      </c>
      <c r="G17" s="72">
        <v>21.5</v>
      </c>
      <c r="H17" s="72">
        <f t="shared" si="0"/>
        <v>333.25</v>
      </c>
    </row>
    <row r="18" spans="1:8" x14ac:dyDescent="0.25">
      <c r="A18" s="2" t="s">
        <v>253</v>
      </c>
      <c r="B18" s="2" t="s">
        <v>252</v>
      </c>
      <c r="C18" s="2" t="s">
        <v>251</v>
      </c>
      <c r="D18" s="69">
        <v>33883</v>
      </c>
      <c r="E18" s="70" t="s">
        <v>154</v>
      </c>
      <c r="F18" s="71">
        <v>40</v>
      </c>
      <c r="G18" s="72">
        <v>37</v>
      </c>
      <c r="H18" s="72">
        <f t="shared" si="0"/>
        <v>1480</v>
      </c>
    </row>
    <row r="19" spans="1:8" x14ac:dyDescent="0.25">
      <c r="A19" s="2" t="s">
        <v>250</v>
      </c>
      <c r="B19" s="2" t="s">
        <v>249</v>
      </c>
      <c r="C19" s="2" t="s">
        <v>248</v>
      </c>
      <c r="D19" s="69">
        <v>35427</v>
      </c>
      <c r="E19" s="70" t="s">
        <v>124</v>
      </c>
      <c r="F19" s="71">
        <v>32</v>
      </c>
      <c r="G19" s="72">
        <v>20.5</v>
      </c>
      <c r="H19" s="72">
        <f t="shared" si="0"/>
        <v>656</v>
      </c>
    </row>
    <row r="20" spans="1:8" x14ac:dyDescent="0.25">
      <c r="A20" s="2" t="s">
        <v>247</v>
      </c>
      <c r="B20" s="2" t="s">
        <v>246</v>
      </c>
      <c r="C20" s="2" t="s">
        <v>245</v>
      </c>
      <c r="D20" s="69">
        <v>34428</v>
      </c>
      <c r="E20" s="70" t="s">
        <v>105</v>
      </c>
      <c r="F20" s="71">
        <v>25</v>
      </c>
      <c r="G20" s="72">
        <v>23.52</v>
      </c>
      <c r="H20" s="72">
        <f t="shared" si="0"/>
        <v>588</v>
      </c>
    </row>
    <row r="21" spans="1:8" x14ac:dyDescent="0.25">
      <c r="A21" s="2" t="s">
        <v>244</v>
      </c>
      <c r="B21" s="2" t="s">
        <v>243</v>
      </c>
      <c r="C21" s="2" t="s">
        <v>242</v>
      </c>
      <c r="D21" s="69">
        <v>34843</v>
      </c>
      <c r="E21" s="70" t="s">
        <v>109</v>
      </c>
      <c r="F21" s="71">
        <v>38</v>
      </c>
      <c r="G21" s="72">
        <v>55</v>
      </c>
      <c r="H21" s="72">
        <f t="shared" si="0"/>
        <v>2090</v>
      </c>
    </row>
    <row r="22" spans="1:8" x14ac:dyDescent="0.25">
      <c r="A22" s="2" t="s">
        <v>241</v>
      </c>
      <c r="B22" s="2" t="s">
        <v>240</v>
      </c>
      <c r="C22" s="2" t="s">
        <v>239</v>
      </c>
      <c r="D22" s="69">
        <v>35034</v>
      </c>
      <c r="E22" s="70" t="s">
        <v>124</v>
      </c>
      <c r="F22" s="71">
        <v>35.5</v>
      </c>
      <c r="G22" s="72">
        <v>27.5</v>
      </c>
      <c r="H22" s="72">
        <f t="shared" si="0"/>
        <v>976.25</v>
      </c>
    </row>
    <row r="23" spans="1:8" x14ac:dyDescent="0.25">
      <c r="A23" s="2" t="s">
        <v>238</v>
      </c>
      <c r="B23" s="2" t="s">
        <v>237</v>
      </c>
      <c r="C23" s="2" t="s">
        <v>236</v>
      </c>
      <c r="D23" s="69">
        <v>34610</v>
      </c>
      <c r="E23" s="70" t="s">
        <v>109</v>
      </c>
      <c r="F23" s="71">
        <v>40</v>
      </c>
      <c r="G23" s="72">
        <v>36.5</v>
      </c>
      <c r="H23" s="72">
        <f t="shared" si="0"/>
        <v>1460</v>
      </c>
    </row>
    <row r="24" spans="1:8" x14ac:dyDescent="0.25">
      <c r="A24" s="2" t="s">
        <v>235</v>
      </c>
      <c r="B24" s="2" t="s">
        <v>234</v>
      </c>
      <c r="C24" s="2" t="s">
        <v>233</v>
      </c>
      <c r="D24" s="69">
        <v>33704</v>
      </c>
      <c r="E24" s="70"/>
      <c r="F24" s="71">
        <v>38</v>
      </c>
      <c r="G24" s="72">
        <v>30.5</v>
      </c>
      <c r="H24" s="72">
        <f t="shared" si="0"/>
        <v>1159</v>
      </c>
    </row>
    <row r="25" spans="1:8" x14ac:dyDescent="0.25">
      <c r="A25" s="2" t="s">
        <v>232</v>
      </c>
      <c r="B25" s="2" t="s">
        <v>231</v>
      </c>
      <c r="C25" s="2" t="s">
        <v>230</v>
      </c>
      <c r="D25" s="69">
        <v>34998</v>
      </c>
      <c r="E25" s="70" t="s">
        <v>105</v>
      </c>
      <c r="F25" s="71">
        <v>40</v>
      </c>
      <c r="G25" s="72">
        <v>36.5</v>
      </c>
      <c r="H25" s="72">
        <f t="shared" si="0"/>
        <v>1460</v>
      </c>
    </row>
    <row r="26" spans="1:8" x14ac:dyDescent="0.25">
      <c r="A26" s="2" t="s">
        <v>229</v>
      </c>
      <c r="B26" s="2" t="s">
        <v>228</v>
      </c>
      <c r="C26" s="2" t="s">
        <v>227</v>
      </c>
      <c r="D26" s="69">
        <v>34347</v>
      </c>
      <c r="E26" s="70" t="s">
        <v>105</v>
      </c>
      <c r="F26" s="71">
        <v>35</v>
      </c>
      <c r="G26" s="72">
        <v>39</v>
      </c>
      <c r="H26" s="72">
        <f t="shared" si="0"/>
        <v>1365</v>
      </c>
    </row>
    <row r="27" spans="1:8" x14ac:dyDescent="0.25">
      <c r="A27" s="2" t="s">
        <v>226</v>
      </c>
      <c r="B27" s="2" t="s">
        <v>225</v>
      </c>
      <c r="C27" s="2" t="s">
        <v>224</v>
      </c>
      <c r="D27" s="69">
        <v>34615</v>
      </c>
      <c r="E27" s="70"/>
      <c r="F27" s="71">
        <v>40</v>
      </c>
      <c r="G27" s="72">
        <v>36.5</v>
      </c>
      <c r="H27" s="72">
        <f t="shared" si="0"/>
        <v>1460</v>
      </c>
    </row>
    <row r="28" spans="1:8" x14ac:dyDescent="0.25">
      <c r="A28" s="2" t="s">
        <v>223</v>
      </c>
      <c r="B28" s="2" t="s">
        <v>222</v>
      </c>
      <c r="C28" s="2" t="s">
        <v>221</v>
      </c>
      <c r="D28" s="69">
        <v>35221</v>
      </c>
      <c r="E28" s="70"/>
      <c r="F28" s="71">
        <v>25</v>
      </c>
      <c r="G28" s="72">
        <v>23.52</v>
      </c>
      <c r="H28" s="72">
        <f t="shared" si="0"/>
        <v>588</v>
      </c>
    </row>
    <row r="29" spans="1:8" x14ac:dyDescent="0.25">
      <c r="A29" s="2" t="s">
        <v>220</v>
      </c>
      <c r="B29" s="2" t="s">
        <v>219</v>
      </c>
      <c r="C29" s="2" t="s">
        <v>218</v>
      </c>
      <c r="D29" s="69">
        <v>36181</v>
      </c>
      <c r="E29" s="70" t="s">
        <v>124</v>
      </c>
      <c r="F29" s="71">
        <v>40</v>
      </c>
      <c r="G29" s="72">
        <v>36.5</v>
      </c>
      <c r="H29" s="72">
        <f t="shared" si="0"/>
        <v>1460</v>
      </c>
    </row>
    <row r="30" spans="1:8" x14ac:dyDescent="0.25">
      <c r="A30" s="1" t="s">
        <v>217</v>
      </c>
      <c r="B30" s="1" t="s">
        <v>216</v>
      </c>
      <c r="C30" s="1" t="s">
        <v>215</v>
      </c>
      <c r="D30" s="12">
        <v>32732</v>
      </c>
      <c r="E30" s="11" t="s">
        <v>109</v>
      </c>
      <c r="F30" s="10">
        <v>38</v>
      </c>
      <c r="G30" s="9">
        <v>30.5</v>
      </c>
      <c r="H30" s="9">
        <f t="shared" si="0"/>
        <v>1159</v>
      </c>
    </row>
  </sheetData>
  <protectedRanges>
    <protectedRange password="CF7A" sqref="F2:F30" name="Range1"/>
  </protectedRange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8"/>
  <dimension ref="A1:H38"/>
  <sheetViews>
    <sheetView zoomScale="120" zoomScaleNormal="120" workbookViewId="0">
      <selection activeCell="J1" sqref="J1"/>
    </sheetView>
  </sheetViews>
  <sheetFormatPr defaultRowHeight="15" x14ac:dyDescent="0.25"/>
  <cols>
    <col min="4" max="4" width="11.81640625" customWidth="1"/>
    <col min="7" max="7" width="12.7265625" customWidth="1"/>
    <col min="8" max="8" width="12.90625" customWidth="1"/>
  </cols>
  <sheetData>
    <row r="1" spans="1:8" ht="19.2" customHeight="1" x14ac:dyDescent="0.25">
      <c r="A1" s="248" t="s">
        <v>376</v>
      </c>
      <c r="B1" s="248" t="s">
        <v>375</v>
      </c>
      <c r="C1" s="248" t="s">
        <v>374</v>
      </c>
      <c r="D1" s="248" t="s">
        <v>373</v>
      </c>
      <c r="E1" s="248" t="s">
        <v>372</v>
      </c>
      <c r="F1" s="248" t="s">
        <v>371</v>
      </c>
      <c r="G1" s="249" t="s">
        <v>370</v>
      </c>
      <c r="H1" s="249" t="s">
        <v>369</v>
      </c>
    </row>
    <row r="2" spans="1:8" x14ac:dyDescent="0.25">
      <c r="A2" s="2" t="s">
        <v>214</v>
      </c>
      <c r="B2" s="2" t="s">
        <v>213</v>
      </c>
      <c r="C2" s="2" t="s">
        <v>212</v>
      </c>
      <c r="D2" s="69">
        <v>35755</v>
      </c>
      <c r="E2" s="70" t="s">
        <v>113</v>
      </c>
      <c r="F2" s="71">
        <v>40</v>
      </c>
      <c r="G2" s="72">
        <v>27.6</v>
      </c>
      <c r="H2" s="72">
        <f t="shared" ref="H2:H38" si="0">F2*G2</f>
        <v>1104</v>
      </c>
    </row>
    <row r="3" spans="1:8" x14ac:dyDescent="0.25">
      <c r="A3" s="2" t="s">
        <v>211</v>
      </c>
      <c r="B3" s="2" t="s">
        <v>210</v>
      </c>
      <c r="C3" s="2" t="s">
        <v>183</v>
      </c>
      <c r="D3" s="69">
        <v>34709</v>
      </c>
      <c r="E3" s="70" t="s">
        <v>128</v>
      </c>
      <c r="F3" s="71">
        <v>42</v>
      </c>
      <c r="G3" s="72">
        <v>45</v>
      </c>
      <c r="H3" s="72">
        <f t="shared" si="0"/>
        <v>1890</v>
      </c>
    </row>
    <row r="4" spans="1:8" x14ac:dyDescent="0.25">
      <c r="A4" s="2" t="s">
        <v>209</v>
      </c>
      <c r="B4" s="2" t="s">
        <v>208</v>
      </c>
      <c r="C4" s="2" t="s">
        <v>207</v>
      </c>
      <c r="D4" s="69">
        <v>34500</v>
      </c>
      <c r="E4" s="70" t="s">
        <v>113</v>
      </c>
      <c r="F4" s="71">
        <v>40</v>
      </c>
      <c r="G4" s="72">
        <v>23.75</v>
      </c>
      <c r="H4" s="72">
        <f t="shared" si="0"/>
        <v>950</v>
      </c>
    </row>
    <row r="5" spans="1:8" x14ac:dyDescent="0.25">
      <c r="A5" s="2" t="s">
        <v>206</v>
      </c>
      <c r="B5" s="2" t="s">
        <v>205</v>
      </c>
      <c r="C5" s="2" t="s">
        <v>204</v>
      </c>
      <c r="D5" s="69">
        <v>34846</v>
      </c>
      <c r="E5" s="70" t="s">
        <v>105</v>
      </c>
      <c r="F5" s="71">
        <v>25</v>
      </c>
      <c r="G5" s="72">
        <v>23.52</v>
      </c>
      <c r="H5" s="72">
        <f t="shared" si="0"/>
        <v>588</v>
      </c>
    </row>
    <row r="6" spans="1:8" x14ac:dyDescent="0.25">
      <c r="A6" s="2" t="s">
        <v>203</v>
      </c>
      <c r="B6" s="2" t="s">
        <v>202</v>
      </c>
      <c r="C6" s="2" t="s">
        <v>201</v>
      </c>
      <c r="D6" s="69">
        <v>35545</v>
      </c>
      <c r="E6" s="70"/>
      <c r="F6" s="71">
        <v>15.5</v>
      </c>
      <c r="G6" s="72">
        <v>21.5</v>
      </c>
      <c r="H6" s="72">
        <f t="shared" si="0"/>
        <v>333.25</v>
      </c>
    </row>
    <row r="7" spans="1:8" x14ac:dyDescent="0.25">
      <c r="A7" s="2" t="s">
        <v>200</v>
      </c>
      <c r="B7" s="2" t="s">
        <v>199</v>
      </c>
      <c r="C7" s="2" t="s">
        <v>198</v>
      </c>
      <c r="D7" s="69">
        <v>33059</v>
      </c>
      <c r="E7" s="70" t="s">
        <v>113</v>
      </c>
      <c r="F7" s="71">
        <v>40</v>
      </c>
      <c r="G7" s="72">
        <v>30.5</v>
      </c>
      <c r="H7" s="72">
        <f t="shared" si="0"/>
        <v>1220</v>
      </c>
    </row>
    <row r="8" spans="1:8" x14ac:dyDescent="0.25">
      <c r="A8" s="2" t="s">
        <v>197</v>
      </c>
      <c r="B8" s="2" t="s">
        <v>196</v>
      </c>
      <c r="C8" s="2" t="s">
        <v>195</v>
      </c>
      <c r="D8" s="69">
        <v>35390</v>
      </c>
      <c r="E8" s="70" t="s">
        <v>109</v>
      </c>
      <c r="F8" s="71">
        <v>35</v>
      </c>
      <c r="G8" s="72">
        <v>27.1</v>
      </c>
      <c r="H8" s="72">
        <f t="shared" si="0"/>
        <v>948.5</v>
      </c>
    </row>
    <row r="9" spans="1:8" x14ac:dyDescent="0.25">
      <c r="A9" s="2" t="s">
        <v>194</v>
      </c>
      <c r="B9" s="2" t="s">
        <v>193</v>
      </c>
      <c r="C9" s="2" t="s">
        <v>192</v>
      </c>
      <c r="D9" s="69">
        <v>34364</v>
      </c>
      <c r="E9" s="70" t="s">
        <v>113</v>
      </c>
      <c r="F9" s="71">
        <v>35</v>
      </c>
      <c r="G9" s="72">
        <v>39</v>
      </c>
      <c r="H9" s="72">
        <f t="shared" si="0"/>
        <v>1365</v>
      </c>
    </row>
    <row r="10" spans="1:8" x14ac:dyDescent="0.25">
      <c r="A10" s="2" t="s">
        <v>191</v>
      </c>
      <c r="B10" s="2" t="s">
        <v>190</v>
      </c>
      <c r="C10" s="2" t="s">
        <v>189</v>
      </c>
      <c r="D10" s="69">
        <v>33688</v>
      </c>
      <c r="E10" s="70" t="s">
        <v>120</v>
      </c>
      <c r="F10" s="71">
        <v>35.5</v>
      </c>
      <c r="G10" s="72">
        <v>28.3</v>
      </c>
      <c r="H10" s="72">
        <f t="shared" si="0"/>
        <v>1004.65</v>
      </c>
    </row>
    <row r="11" spans="1:8" x14ac:dyDescent="0.25">
      <c r="A11" s="2" t="s">
        <v>188</v>
      </c>
      <c r="B11" s="2" t="s">
        <v>187</v>
      </c>
      <c r="C11" s="2" t="s">
        <v>186</v>
      </c>
      <c r="D11" s="69">
        <v>35038</v>
      </c>
      <c r="E11" s="70"/>
      <c r="F11" s="71">
        <v>29.5</v>
      </c>
      <c r="G11" s="72">
        <v>21.5</v>
      </c>
      <c r="H11" s="72">
        <f t="shared" si="0"/>
        <v>634.25</v>
      </c>
    </row>
    <row r="12" spans="1:8" x14ac:dyDescent="0.25">
      <c r="A12" s="2" t="s">
        <v>185</v>
      </c>
      <c r="B12" s="2" t="s">
        <v>184</v>
      </c>
      <c r="C12" s="2" t="s">
        <v>183</v>
      </c>
      <c r="D12" s="69">
        <v>35715</v>
      </c>
      <c r="E12" s="70" t="s">
        <v>113</v>
      </c>
      <c r="F12" s="71">
        <v>40</v>
      </c>
      <c r="G12" s="72">
        <v>35</v>
      </c>
      <c r="H12" s="72">
        <f t="shared" si="0"/>
        <v>1400</v>
      </c>
    </row>
    <row r="13" spans="1:8" x14ac:dyDescent="0.25">
      <c r="A13" s="2" t="s">
        <v>182</v>
      </c>
      <c r="B13" s="2" t="s">
        <v>181</v>
      </c>
      <c r="C13" s="2" t="s">
        <v>180</v>
      </c>
      <c r="D13" s="69">
        <v>36231</v>
      </c>
      <c r="E13" s="70" t="s">
        <v>113</v>
      </c>
      <c r="F13" s="71">
        <v>35</v>
      </c>
      <c r="G13" s="72">
        <v>27.1</v>
      </c>
      <c r="H13" s="72">
        <f t="shared" si="0"/>
        <v>948.5</v>
      </c>
    </row>
    <row r="14" spans="1:8" x14ac:dyDescent="0.25">
      <c r="A14" s="2" t="s">
        <v>179</v>
      </c>
      <c r="B14" s="2" t="s">
        <v>178</v>
      </c>
      <c r="C14" s="2" t="s">
        <v>132</v>
      </c>
      <c r="D14" s="69">
        <v>35759</v>
      </c>
      <c r="E14" s="70" t="s">
        <v>105</v>
      </c>
      <c r="F14" s="71">
        <v>42</v>
      </c>
      <c r="G14" s="72">
        <v>39</v>
      </c>
      <c r="H14" s="72">
        <f t="shared" si="0"/>
        <v>1638</v>
      </c>
    </row>
    <row r="15" spans="1:8" x14ac:dyDescent="0.25">
      <c r="A15" s="2" t="s">
        <v>177</v>
      </c>
      <c r="B15" s="2" t="s">
        <v>176</v>
      </c>
      <c r="C15" s="2" t="s">
        <v>175</v>
      </c>
      <c r="D15" s="69">
        <v>36312</v>
      </c>
      <c r="E15" s="70" t="s">
        <v>105</v>
      </c>
      <c r="F15" s="71">
        <v>29.5</v>
      </c>
      <c r="G15" s="72">
        <v>28.3</v>
      </c>
      <c r="H15" s="72">
        <f t="shared" si="0"/>
        <v>834.85</v>
      </c>
    </row>
    <row r="16" spans="1:8" x14ac:dyDescent="0.25">
      <c r="A16" s="2" t="s">
        <v>174</v>
      </c>
      <c r="B16" s="2" t="s">
        <v>173</v>
      </c>
      <c r="C16" s="2" t="s">
        <v>172</v>
      </c>
      <c r="D16" s="69">
        <v>34609</v>
      </c>
      <c r="E16" s="70" t="s">
        <v>113</v>
      </c>
      <c r="F16" s="71">
        <v>40</v>
      </c>
      <c r="G16" s="72">
        <v>21.5</v>
      </c>
      <c r="H16" s="72">
        <f t="shared" si="0"/>
        <v>860</v>
      </c>
    </row>
    <row r="17" spans="1:8" x14ac:dyDescent="0.25">
      <c r="A17" s="2" t="s">
        <v>171</v>
      </c>
      <c r="B17" s="2" t="s">
        <v>170</v>
      </c>
      <c r="C17" s="2" t="s">
        <v>169</v>
      </c>
      <c r="D17" s="69">
        <v>33646</v>
      </c>
      <c r="E17" s="70" t="s">
        <v>113</v>
      </c>
      <c r="F17" s="71">
        <v>40</v>
      </c>
      <c r="G17" s="72">
        <v>22.22</v>
      </c>
      <c r="H17" s="72">
        <f t="shared" si="0"/>
        <v>888.8</v>
      </c>
    </row>
    <row r="18" spans="1:8" x14ac:dyDescent="0.25">
      <c r="A18" s="2" t="s">
        <v>168</v>
      </c>
      <c r="B18" s="2" t="s">
        <v>167</v>
      </c>
      <c r="C18" s="2" t="s">
        <v>106</v>
      </c>
      <c r="D18" s="69">
        <v>32919</v>
      </c>
      <c r="E18" s="70" t="s">
        <v>109</v>
      </c>
      <c r="F18" s="71">
        <v>40</v>
      </c>
      <c r="G18" s="72">
        <v>27.1</v>
      </c>
      <c r="H18" s="72">
        <f t="shared" si="0"/>
        <v>1084</v>
      </c>
    </row>
    <row r="19" spans="1:8" x14ac:dyDescent="0.25">
      <c r="A19" s="2" t="s">
        <v>166</v>
      </c>
      <c r="B19" s="2" t="s">
        <v>165</v>
      </c>
      <c r="C19" s="2" t="s">
        <v>164</v>
      </c>
      <c r="D19" s="69">
        <v>33831</v>
      </c>
      <c r="E19" s="70" t="s">
        <v>120</v>
      </c>
      <c r="F19" s="71">
        <v>29.5</v>
      </c>
      <c r="G19" s="72">
        <v>31.75</v>
      </c>
      <c r="H19" s="72">
        <f t="shared" si="0"/>
        <v>936.625</v>
      </c>
    </row>
    <row r="20" spans="1:8" x14ac:dyDescent="0.25">
      <c r="A20" s="2" t="s">
        <v>163</v>
      </c>
      <c r="B20" s="2" t="s">
        <v>162</v>
      </c>
      <c r="C20" s="2" t="s">
        <v>161</v>
      </c>
      <c r="D20" s="69">
        <v>35728</v>
      </c>
      <c r="E20" s="70" t="s">
        <v>109</v>
      </c>
      <c r="F20" s="71">
        <v>40</v>
      </c>
      <c r="G20" s="72">
        <v>21.5</v>
      </c>
      <c r="H20" s="72">
        <f t="shared" si="0"/>
        <v>860</v>
      </c>
    </row>
    <row r="21" spans="1:8" x14ac:dyDescent="0.25">
      <c r="A21" s="2" t="s">
        <v>160</v>
      </c>
      <c r="B21" s="2" t="s">
        <v>159</v>
      </c>
      <c r="C21" s="2" t="s">
        <v>158</v>
      </c>
      <c r="D21" s="69">
        <v>34679</v>
      </c>
      <c r="E21" s="70" t="s">
        <v>109</v>
      </c>
      <c r="F21" s="71">
        <v>40</v>
      </c>
      <c r="G21" s="72">
        <v>34.5</v>
      </c>
      <c r="H21" s="72">
        <f t="shared" si="0"/>
        <v>1380</v>
      </c>
    </row>
    <row r="22" spans="1:8" x14ac:dyDescent="0.25">
      <c r="A22" s="2" t="s">
        <v>157</v>
      </c>
      <c r="B22" s="2" t="s">
        <v>156</v>
      </c>
      <c r="C22" s="2" t="s">
        <v>155</v>
      </c>
      <c r="D22" s="69">
        <v>36221</v>
      </c>
      <c r="E22" s="70" t="s">
        <v>154</v>
      </c>
      <c r="F22" s="71">
        <v>40</v>
      </c>
      <c r="G22" s="72">
        <v>48</v>
      </c>
      <c r="H22" s="72">
        <f t="shared" si="0"/>
        <v>1920</v>
      </c>
    </row>
    <row r="23" spans="1:8" x14ac:dyDescent="0.25">
      <c r="A23" s="2" t="s">
        <v>153</v>
      </c>
      <c r="B23" s="2" t="s">
        <v>152</v>
      </c>
      <c r="C23" s="2" t="s">
        <v>151</v>
      </c>
      <c r="D23" s="69">
        <v>34171</v>
      </c>
      <c r="E23" s="70"/>
      <c r="F23" s="71">
        <v>40</v>
      </c>
      <c r="G23" s="72">
        <v>30</v>
      </c>
      <c r="H23" s="72">
        <f t="shared" si="0"/>
        <v>1200</v>
      </c>
    </row>
    <row r="24" spans="1:8" x14ac:dyDescent="0.25">
      <c r="A24" s="2" t="s">
        <v>150</v>
      </c>
      <c r="B24" s="2"/>
      <c r="C24" s="2"/>
      <c r="D24" s="69"/>
      <c r="E24" s="70" t="s">
        <v>124</v>
      </c>
      <c r="F24" s="71">
        <v>40</v>
      </c>
      <c r="G24" s="72">
        <v>21.5</v>
      </c>
      <c r="H24" s="72">
        <f t="shared" si="0"/>
        <v>860</v>
      </c>
    </row>
    <row r="25" spans="1:8" x14ac:dyDescent="0.25">
      <c r="A25" s="2" t="s">
        <v>149</v>
      </c>
      <c r="B25" s="2" t="s">
        <v>148</v>
      </c>
      <c r="C25" s="2" t="s">
        <v>147</v>
      </c>
      <c r="D25" s="69">
        <v>33908</v>
      </c>
      <c r="E25" s="70" t="s">
        <v>128</v>
      </c>
      <c r="F25" s="71">
        <v>40</v>
      </c>
      <c r="G25" s="72">
        <v>30.5</v>
      </c>
      <c r="H25" s="72">
        <f t="shared" si="0"/>
        <v>1220</v>
      </c>
    </row>
    <row r="26" spans="1:8" x14ac:dyDescent="0.25">
      <c r="A26" s="2" t="s">
        <v>146</v>
      </c>
      <c r="B26" s="2" t="s">
        <v>145</v>
      </c>
      <c r="C26" s="2" t="s">
        <v>144</v>
      </c>
      <c r="D26" s="69">
        <v>35451</v>
      </c>
      <c r="E26" s="70"/>
      <c r="F26" s="71">
        <v>29.5</v>
      </c>
      <c r="G26" s="72">
        <v>30</v>
      </c>
      <c r="H26" s="72">
        <f t="shared" si="0"/>
        <v>885</v>
      </c>
    </row>
    <row r="27" spans="1:8" x14ac:dyDescent="0.25">
      <c r="A27" s="2" t="s">
        <v>143</v>
      </c>
      <c r="B27" s="2" t="s">
        <v>142</v>
      </c>
      <c r="C27" s="2" t="s">
        <v>141</v>
      </c>
      <c r="D27" s="69">
        <v>32568</v>
      </c>
      <c r="E27" s="70" t="s">
        <v>128</v>
      </c>
      <c r="F27" s="71">
        <v>15.5</v>
      </c>
      <c r="G27" s="72">
        <v>27.6</v>
      </c>
      <c r="H27" s="72">
        <f t="shared" si="0"/>
        <v>427.8</v>
      </c>
    </row>
    <row r="28" spans="1:8" x14ac:dyDescent="0.25">
      <c r="A28" s="2" t="s">
        <v>140</v>
      </c>
      <c r="B28" s="2" t="s">
        <v>139</v>
      </c>
      <c r="C28" s="2" t="s">
        <v>138</v>
      </c>
      <c r="D28" s="69">
        <v>34673</v>
      </c>
      <c r="E28" s="70" t="s">
        <v>109</v>
      </c>
      <c r="F28" s="71">
        <v>32</v>
      </c>
      <c r="G28" s="72">
        <v>23.75</v>
      </c>
      <c r="H28" s="72">
        <f t="shared" si="0"/>
        <v>760</v>
      </c>
    </row>
    <row r="29" spans="1:8" x14ac:dyDescent="0.25">
      <c r="A29" s="2" t="s">
        <v>137</v>
      </c>
      <c r="B29" s="2" t="s">
        <v>136</v>
      </c>
      <c r="C29" s="2" t="s">
        <v>135</v>
      </c>
      <c r="D29" s="69">
        <v>35916</v>
      </c>
      <c r="E29" s="70"/>
      <c r="F29" s="71">
        <v>42</v>
      </c>
      <c r="G29" s="72">
        <v>30.5</v>
      </c>
      <c r="H29" s="72">
        <f t="shared" si="0"/>
        <v>1281</v>
      </c>
    </row>
    <row r="30" spans="1:8" x14ac:dyDescent="0.25">
      <c r="A30" s="1" t="s">
        <v>134</v>
      </c>
      <c r="B30" s="1" t="s">
        <v>133</v>
      </c>
      <c r="C30" s="1" t="s">
        <v>132</v>
      </c>
      <c r="D30" s="12">
        <v>34610</v>
      </c>
      <c r="E30" s="11" t="s">
        <v>128</v>
      </c>
      <c r="F30" s="10">
        <v>40</v>
      </c>
      <c r="G30" s="9">
        <v>30</v>
      </c>
      <c r="H30" s="9">
        <f t="shared" si="0"/>
        <v>1200</v>
      </c>
    </row>
    <row r="31" spans="1:8" x14ac:dyDescent="0.25">
      <c r="A31" s="1" t="s">
        <v>131</v>
      </c>
      <c r="B31" s="1" t="s">
        <v>130</v>
      </c>
      <c r="C31" s="1" t="s">
        <v>129</v>
      </c>
      <c r="D31" s="12">
        <v>35739</v>
      </c>
      <c r="E31" s="11" t="s">
        <v>128</v>
      </c>
      <c r="F31" s="10">
        <v>35</v>
      </c>
      <c r="G31" s="9">
        <v>60</v>
      </c>
      <c r="H31" s="9">
        <f t="shared" si="0"/>
        <v>2100</v>
      </c>
    </row>
    <row r="32" spans="1:8" x14ac:dyDescent="0.25">
      <c r="A32" s="1" t="s">
        <v>127</v>
      </c>
      <c r="B32" s="1" t="s">
        <v>126</v>
      </c>
      <c r="C32" s="1" t="s">
        <v>125</v>
      </c>
      <c r="D32" s="12">
        <v>31884</v>
      </c>
      <c r="E32" s="11" t="s">
        <v>124</v>
      </c>
      <c r="F32" s="10">
        <v>40</v>
      </c>
      <c r="G32" s="9">
        <v>21.5</v>
      </c>
      <c r="H32" s="9">
        <f t="shared" si="0"/>
        <v>860</v>
      </c>
    </row>
    <row r="33" spans="1:8" x14ac:dyDescent="0.25">
      <c r="A33" s="1" t="s">
        <v>123</v>
      </c>
      <c r="B33" s="1" t="s">
        <v>122</v>
      </c>
      <c r="C33" s="1" t="s">
        <v>121</v>
      </c>
      <c r="D33" s="12">
        <v>34879</v>
      </c>
      <c r="E33" s="11" t="s">
        <v>120</v>
      </c>
      <c r="F33" s="10">
        <v>40</v>
      </c>
      <c r="G33" s="9">
        <v>21.5</v>
      </c>
      <c r="H33" s="9">
        <f t="shared" si="0"/>
        <v>860</v>
      </c>
    </row>
    <row r="34" spans="1:8" x14ac:dyDescent="0.25">
      <c r="A34" s="1" t="s">
        <v>119</v>
      </c>
      <c r="B34" s="1" t="s">
        <v>118</v>
      </c>
      <c r="C34" s="1" t="s">
        <v>117</v>
      </c>
      <c r="D34" s="12">
        <v>34758</v>
      </c>
      <c r="E34" s="11" t="s">
        <v>105</v>
      </c>
      <c r="F34" s="10">
        <v>15.5</v>
      </c>
      <c r="G34" s="9">
        <v>20.5</v>
      </c>
      <c r="H34" s="9">
        <f t="shared" si="0"/>
        <v>317.75</v>
      </c>
    </row>
    <row r="35" spans="1:8" x14ac:dyDescent="0.25">
      <c r="A35" s="1" t="s">
        <v>116</v>
      </c>
      <c r="B35" s="1" t="s">
        <v>115</v>
      </c>
      <c r="C35" s="1" t="s">
        <v>114</v>
      </c>
      <c r="D35" s="12">
        <v>35055</v>
      </c>
      <c r="E35" s="11" t="s">
        <v>113</v>
      </c>
      <c r="F35" s="10">
        <v>40</v>
      </c>
      <c r="G35" s="9">
        <v>31.75</v>
      </c>
      <c r="H35" s="9">
        <f t="shared" si="0"/>
        <v>1270</v>
      </c>
    </row>
    <row r="36" spans="1:8" x14ac:dyDescent="0.25">
      <c r="A36" s="1" t="s">
        <v>112</v>
      </c>
      <c r="B36" s="1" t="s">
        <v>111</v>
      </c>
      <c r="C36" s="1" t="s">
        <v>110</v>
      </c>
      <c r="D36" s="12">
        <v>33568</v>
      </c>
      <c r="E36" s="11" t="s">
        <v>109</v>
      </c>
      <c r="F36" s="10">
        <v>40</v>
      </c>
      <c r="G36" s="9">
        <v>22.22</v>
      </c>
      <c r="H36" s="9">
        <f t="shared" si="0"/>
        <v>888.8</v>
      </c>
    </row>
    <row r="37" spans="1:8" x14ac:dyDescent="0.25">
      <c r="A37" s="1" t="s">
        <v>108</v>
      </c>
      <c r="B37" s="1" t="s">
        <v>107</v>
      </c>
      <c r="C37" s="1" t="s">
        <v>106</v>
      </c>
      <c r="D37" s="12">
        <v>36256</v>
      </c>
      <c r="E37" s="11" t="s">
        <v>105</v>
      </c>
      <c r="F37" s="10">
        <v>40</v>
      </c>
      <c r="G37" s="9">
        <v>47</v>
      </c>
      <c r="H37" s="9">
        <f t="shared" si="0"/>
        <v>1880</v>
      </c>
    </row>
    <row r="38" spans="1:8" x14ac:dyDescent="0.25">
      <c r="A38" s="1" t="s">
        <v>104</v>
      </c>
      <c r="B38" s="1" t="s">
        <v>103</v>
      </c>
      <c r="C38" s="1" t="s">
        <v>102</v>
      </c>
      <c r="D38" s="12">
        <v>36037</v>
      </c>
      <c r="E38" s="11"/>
      <c r="F38" s="10">
        <v>15.5</v>
      </c>
      <c r="G38" s="9">
        <v>21.5</v>
      </c>
      <c r="H38" s="9">
        <f t="shared" si="0"/>
        <v>333.25</v>
      </c>
    </row>
  </sheetData>
  <protectedRanges>
    <protectedRange password="CF7A" sqref="F2:F38" name="Range1"/>
  </protectedRange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9"/>
  <dimension ref="A1:H25"/>
  <sheetViews>
    <sheetView zoomScale="120" zoomScaleNormal="120" workbookViewId="0">
      <selection activeCell="I16" sqref="I16"/>
    </sheetView>
  </sheetViews>
  <sheetFormatPr defaultRowHeight="15" x14ac:dyDescent="0.25"/>
  <cols>
    <col min="4" max="4" width="12.26953125" customWidth="1"/>
    <col min="7" max="7" width="13.26953125" customWidth="1"/>
    <col min="8" max="8" width="13.36328125" customWidth="1"/>
  </cols>
  <sheetData>
    <row r="1" spans="1:8" ht="19.2" customHeight="1" x14ac:dyDescent="0.25">
      <c r="A1" s="67" t="s">
        <v>376</v>
      </c>
      <c r="B1" s="67" t="s">
        <v>375</v>
      </c>
      <c r="C1" s="67" t="s">
        <v>374</v>
      </c>
      <c r="D1" s="67" t="s">
        <v>373</v>
      </c>
      <c r="E1" s="67" t="s">
        <v>372</v>
      </c>
      <c r="F1" s="67" t="s">
        <v>371</v>
      </c>
      <c r="G1" s="68" t="s">
        <v>370</v>
      </c>
      <c r="H1" s="68" t="s">
        <v>369</v>
      </c>
    </row>
    <row r="2" spans="1:8" x14ac:dyDescent="0.25">
      <c r="A2" s="2" t="s">
        <v>368</v>
      </c>
      <c r="B2" s="56" t="str">
        <f>IFERROR(VLOOKUP($A2,DataT1[], MATCH(B$1,DataT1[#Headers],0),0), IFERROR(VLOOKUP($A2,DataT2[], MATCH(B$1,DataT2[#Headers],0),0), IFERROR(VLOOKUP($A2,DataT3[], MATCH(B$1,DataT3[#Headers],0),0), "No data were found")))</f>
        <v>Sara</v>
      </c>
      <c r="C2" s="56" t="str">
        <f>IFERROR(VLOOKUP($A2,DataT1[], MATCH(C$1,DataT1[#Headers],0),0), IFERROR(VLOOKUP($A2,DataT2[], MATCH(C$1,DataT2[#Headers],0),0), IFERROR(VLOOKUP($A2,DataT3[], MATCH(C$1,DataT3[#Headers],0),0), "No data were found")))</f>
        <v>Kling</v>
      </c>
      <c r="D2" s="263">
        <f>IFERROR(VLOOKUP($A2,DataT1[], MATCH(D$1,DataT1[#Headers],0),0), IFERROR(VLOOKUP($A2,DataT2[], MATCH(D$1,DataT2[#Headers],0),0), IFERROR(VLOOKUP($A2,DataT3[], MATCH(D$1,DataT3[#Headers],0),0), "No data were found")))</f>
        <v>34690</v>
      </c>
      <c r="E2" s="56" t="str">
        <f>IFERROR(VLOOKUP($A2,DataT1[], MATCH(E$1,DataT1[#Headers],0),0), IFERROR(VLOOKUP($A2,DataT2[], MATCH(E$1,DataT2[#Headers],0),0), IFERROR(VLOOKUP($A2,DataT3[], MATCH(E$1,DataT3[#Headers],0),0), "No data were found")))</f>
        <v>R</v>
      </c>
      <c r="F2" s="56">
        <f>IFERROR(VLOOKUP($A2,DataT1[], MATCH(F$1,DataT1[#Headers],0),0), IFERROR(VLOOKUP($A2,DataT2[], MATCH(F$1,DataT2[#Headers],0),0), IFERROR(VLOOKUP($A2,DataT3[], MATCH(F$1,DataT3[#Headers],0),0), "No data were found")))</f>
        <v>35.5</v>
      </c>
      <c r="G2" s="56">
        <f>IFERROR(VLOOKUP($A2,DataT1[], MATCH(G$1,DataT1[#Headers],0),0), IFERROR(VLOOKUP($A2,DataT2[], MATCH(G$1,DataT2[#Headers],0),0), IFERROR(VLOOKUP($A2,DataT3[], MATCH(G$1,DataT3[#Headers],0),0), "No data were found")))</f>
        <v>45</v>
      </c>
      <c r="H2" s="56">
        <f>IFERROR(VLOOKUP($A2,DataT1[], MATCH(H$1,DataT1[#Headers],0),0), IFERROR(VLOOKUP($A2,DataT2[], MATCH(H$1,DataT2[#Headers],0),0), IFERROR(VLOOKUP($A2,DataT3[], MATCH(H$1,DataT3[#Headers],0),0), "No data were found")))</f>
        <v>1597.5</v>
      </c>
    </row>
    <row r="3" spans="1:8" x14ac:dyDescent="0.25">
      <c r="A3" s="2" t="s">
        <v>362</v>
      </c>
      <c r="B3" s="56" t="str">
        <f>IFERROR(VLOOKUP($A3,DataT1[], MATCH(B$1,DataT1[#Headers],0),0), IFERROR(VLOOKUP($A3,DataT2[], MATCH(B$1,DataT2[#Headers],0),0), IFERROR(VLOOKUP($A3,DataT3[], MATCH(B$1,DataT3[#Headers],0),0), "No data were found")))</f>
        <v>Colleen</v>
      </c>
      <c r="C3" s="56" t="str">
        <f>IFERROR(VLOOKUP($A3,DataT1[], MATCH(C$1,DataT1[#Headers],0),0), IFERROR(VLOOKUP($A3,DataT2[], MATCH(C$1,DataT2[#Headers],0),0), IFERROR(VLOOKUP($A3,DataT3[], MATCH(C$1,DataT3[#Headers],0),0), "No data were found")))</f>
        <v>Abel</v>
      </c>
      <c r="D3" s="263">
        <f>IFERROR(VLOOKUP($A3,DataT1[], MATCH(D$1,DataT1[#Headers],0),0), IFERROR(VLOOKUP($A3,DataT2[], MATCH(D$1,DataT2[#Headers],0),0), IFERROR(VLOOKUP($A3,DataT3[], MATCH(D$1,DataT3[#Headers],0),0), "No data were found")))</f>
        <v>36000</v>
      </c>
      <c r="E3" s="56" t="str">
        <f>IFERROR(VLOOKUP($A3,DataT1[], MATCH(E$1,DataT1[#Headers],0),0), IFERROR(VLOOKUP($A3,DataT2[], MATCH(E$1,DataT2[#Headers],0),0), IFERROR(VLOOKUP($A3,DataT3[], MATCH(E$1,DataT3[#Headers],0),0), "No data were found")))</f>
        <v>DRH</v>
      </c>
      <c r="F3" s="56">
        <f>IFERROR(VLOOKUP($A3,DataT1[], MATCH(F$1,DataT1[#Headers],0),0), IFERROR(VLOOKUP($A3,DataT2[], MATCH(F$1,DataT2[#Headers],0),0), IFERROR(VLOOKUP($A3,DataT3[], MATCH(F$1,DataT3[#Headers],0),0), "No data were found")))</f>
        <v>42</v>
      </c>
      <c r="G3" s="56">
        <f>IFERROR(VLOOKUP($A3,DataT1[], MATCH(G$1,DataT1[#Headers],0),0), IFERROR(VLOOKUP($A3,DataT2[], MATCH(G$1,DataT2[#Headers],0),0), IFERROR(VLOOKUP($A3,DataT3[], MATCH(G$1,DataT3[#Headers],0),0), "No data were found")))</f>
        <v>31.75</v>
      </c>
      <c r="H3" s="56">
        <f>IFERROR(VLOOKUP($A3,DataT1[], MATCH(H$1,DataT1[#Headers],0),0), IFERROR(VLOOKUP($A3,DataT2[], MATCH(H$1,DataT2[#Headers],0),0), IFERROR(VLOOKUP($A3,DataT3[], MATCH(H$1,DataT3[#Headers],0),0), "No data were found")))</f>
        <v>1333.5</v>
      </c>
    </row>
    <row r="4" spans="1:8" x14ac:dyDescent="0.25">
      <c r="A4" s="2" t="s">
        <v>355</v>
      </c>
      <c r="B4" s="56" t="str">
        <f>IFERROR(VLOOKUP($A4,DataT1[], MATCH(B$1,DataT1[#Headers],0),0), IFERROR(VLOOKUP($A4,DataT2[], MATCH(B$1,DataT2[#Headers],0),0), IFERROR(VLOOKUP($A4,DataT3[], MATCH(B$1,DataT3[#Headers],0),0), "No data were found")))</f>
        <v>Kristen</v>
      </c>
      <c r="C4" s="56" t="str">
        <f>IFERROR(VLOOKUP($A4,DataT1[], MATCH(C$1,DataT1[#Headers],0),0), IFERROR(VLOOKUP($A4,DataT2[], MATCH(C$1,DataT2[#Headers],0),0), IFERROR(VLOOKUP($A4,DataT3[], MATCH(C$1,DataT3[#Headers],0),0), "No data were found")))</f>
        <v>DeVinney</v>
      </c>
      <c r="D4" s="263">
        <f>IFERROR(VLOOKUP($A4,DataT1[], MATCH(D$1,DataT1[#Headers],0),0), IFERROR(VLOOKUP($A4,DataT2[], MATCH(D$1,DataT2[#Headers],0),0), IFERROR(VLOOKUP($A4,DataT3[], MATCH(D$1,DataT3[#Headers],0),0), "No data were found")))</f>
        <v>34853</v>
      </c>
      <c r="E4" s="56" t="str">
        <f>IFERROR(VLOOKUP($A4,DataT1[], MATCH(E$1,DataT1[#Headers],0),0), IFERROR(VLOOKUP($A4,DataT2[], MATCH(E$1,DataT2[#Headers],0),0), IFERROR(VLOOKUP($A4,DataT3[], MATCH(E$1,DataT3[#Headers],0),0), "No data were found")))</f>
        <v>D</v>
      </c>
      <c r="F4" s="56">
        <f>IFERROR(VLOOKUP($A4,DataT1[], MATCH(F$1,DataT1[#Headers],0),0), IFERROR(VLOOKUP($A4,DataT2[], MATCH(F$1,DataT2[#Headers],0),0), IFERROR(VLOOKUP($A4,DataT3[], MATCH(F$1,DataT3[#Headers],0),0), "No data were found")))</f>
        <v>35</v>
      </c>
      <c r="G4" s="56">
        <f>IFERROR(VLOOKUP($A4,DataT1[], MATCH(G$1,DataT1[#Headers],0),0), IFERROR(VLOOKUP($A4,DataT2[], MATCH(G$1,DataT2[#Headers],0),0), IFERROR(VLOOKUP($A4,DataT3[], MATCH(G$1,DataT3[#Headers],0),0), "No data were found")))</f>
        <v>39</v>
      </c>
      <c r="H4" s="56">
        <f>IFERROR(VLOOKUP($A4,DataT1[], MATCH(H$1,DataT1[#Headers],0),0), IFERROR(VLOOKUP($A4,DataT2[], MATCH(H$1,DataT2[#Headers],0),0), IFERROR(VLOOKUP($A4,DataT3[], MATCH(H$1,DataT3[#Headers],0),0), "No data were found")))</f>
        <v>1365</v>
      </c>
    </row>
    <row r="5" spans="1:8" x14ac:dyDescent="0.25">
      <c r="A5" s="2" t="s">
        <v>350</v>
      </c>
      <c r="B5" s="56" t="str">
        <f>IFERROR(VLOOKUP($A5,DataT1[], MATCH(B$1,DataT1[#Headers],0),0), IFERROR(VLOOKUP($A5,DataT2[], MATCH(B$1,DataT2[#Headers],0),0), IFERROR(VLOOKUP($A5,DataT3[], MATCH(B$1,DataT3[#Headers],0),0), "No data were found")))</f>
        <v>Barry</v>
      </c>
      <c r="C5" s="56" t="str">
        <f>IFERROR(VLOOKUP($A5,DataT1[], MATCH(C$1,DataT1[#Headers],0),0), IFERROR(VLOOKUP($A5,DataT2[], MATCH(C$1,DataT2[#Headers],0),0), IFERROR(VLOOKUP($A5,DataT3[], MATCH(C$1,DataT3[#Headers],0),0), "No data were found")))</f>
        <v>Bally</v>
      </c>
      <c r="D5" s="263">
        <f>IFERROR(VLOOKUP($A5,DataT1[], MATCH(D$1,DataT1[#Headers],0),0), IFERROR(VLOOKUP($A5,DataT2[], MATCH(D$1,DataT2[#Headers],0),0), IFERROR(VLOOKUP($A5,DataT3[], MATCH(D$1,DataT3[#Headers],0),0), "No data were found")))</f>
        <v>33341</v>
      </c>
      <c r="E5" s="56" t="str">
        <f>IFERROR(VLOOKUP($A5,DataT1[], MATCH(E$1,DataT1[#Headers],0),0), IFERROR(VLOOKUP($A5,DataT2[], MATCH(E$1,DataT2[#Headers],0),0), IFERROR(VLOOKUP($A5,DataT3[], MATCH(E$1,DataT3[#Headers],0),0), "No data were found")))</f>
        <v>D</v>
      </c>
      <c r="F5" s="56">
        <f>IFERROR(VLOOKUP($A5,DataT1[], MATCH(F$1,DataT1[#Headers],0),0), IFERROR(VLOOKUP($A5,DataT2[], MATCH(F$1,DataT2[#Headers],0),0), IFERROR(VLOOKUP($A5,DataT3[], MATCH(F$1,DataT3[#Headers],0),0), "No data were found")))</f>
        <v>40</v>
      </c>
      <c r="G5" s="56">
        <f>IFERROR(VLOOKUP($A5,DataT1[], MATCH(G$1,DataT1[#Headers],0),0), IFERROR(VLOOKUP($A5,DataT2[], MATCH(G$1,DataT2[#Headers],0),0), IFERROR(VLOOKUP($A5,DataT3[], MATCH(G$1,DataT3[#Headers],0),0), "No data were found")))</f>
        <v>48</v>
      </c>
      <c r="H5" s="56">
        <f>IFERROR(VLOOKUP($A5,DataT1[], MATCH(H$1,DataT1[#Headers],0),0), IFERROR(VLOOKUP($A5,DataT2[], MATCH(H$1,DataT2[#Headers],0),0), IFERROR(VLOOKUP($A5,DataT3[], MATCH(H$1,DataT3[#Headers],0),0), "No data were found")))</f>
        <v>1920</v>
      </c>
    </row>
    <row r="6" spans="1:8" x14ac:dyDescent="0.25">
      <c r="A6" s="2" t="s">
        <v>344</v>
      </c>
      <c r="B6" s="56" t="str">
        <f>IFERROR(VLOOKUP($A6,DataT1[], MATCH(B$1,DataT1[#Headers],0),0), IFERROR(VLOOKUP($A6,DataT2[], MATCH(B$1,DataT2[#Headers],0),0), IFERROR(VLOOKUP($A6,DataT3[], MATCH(B$1,DataT3[#Headers],0),0), "No data were found")))</f>
        <v>Harry</v>
      </c>
      <c r="C6" s="56" t="str">
        <f>IFERROR(VLOOKUP($A6,DataT1[], MATCH(C$1,DataT1[#Headers],0),0), IFERROR(VLOOKUP($A6,DataT2[], MATCH(C$1,DataT2[#Headers],0),0), IFERROR(VLOOKUP($A6,DataT3[], MATCH(C$1,DataT3[#Headers],0),0), "No data were found")))</f>
        <v>Swayne</v>
      </c>
      <c r="D6" s="263">
        <f>IFERROR(VLOOKUP($A6,DataT1[], MATCH(D$1,DataT1[#Headers],0),0), IFERROR(VLOOKUP($A6,DataT2[], MATCH(D$1,DataT2[#Headers],0),0), IFERROR(VLOOKUP($A6,DataT3[], MATCH(D$1,DataT3[#Headers],0),0), "No data were found")))</f>
        <v>36157</v>
      </c>
      <c r="E6" s="56">
        <f>IFERROR(VLOOKUP($A6,DataT1[], MATCH(E$1,DataT1[#Headers],0),0), IFERROR(VLOOKUP($A6,DataT2[], MATCH(E$1,DataT2[#Headers],0),0), IFERROR(VLOOKUP($A6,DataT3[], MATCH(E$1,DataT3[#Headers],0),0), "No data were found")))</f>
        <v>0</v>
      </c>
      <c r="F6" s="56">
        <f>IFERROR(VLOOKUP($A6,DataT1[], MATCH(F$1,DataT1[#Headers],0),0), IFERROR(VLOOKUP($A6,DataT2[], MATCH(F$1,DataT2[#Headers],0),0), IFERROR(VLOOKUP($A6,DataT3[], MATCH(F$1,DataT3[#Headers],0),0), "No data were found")))</f>
        <v>40</v>
      </c>
      <c r="G6" s="56">
        <f>IFERROR(VLOOKUP($A6,DataT1[], MATCH(G$1,DataT1[#Headers],0),0), IFERROR(VLOOKUP($A6,DataT2[], MATCH(G$1,DataT2[#Headers],0),0), IFERROR(VLOOKUP($A6,DataT3[], MATCH(G$1,DataT3[#Headers],0),0), "No data were found")))</f>
        <v>36.5</v>
      </c>
      <c r="H6" s="56">
        <f>IFERROR(VLOOKUP($A6,DataT1[], MATCH(H$1,DataT1[#Headers],0),0), IFERROR(VLOOKUP($A6,DataT2[], MATCH(H$1,DataT2[#Headers],0),0), IFERROR(VLOOKUP($A6,DataT3[], MATCH(H$1,DataT3[#Headers],0),0), "No data were found")))</f>
        <v>1460</v>
      </c>
    </row>
    <row r="7" spans="1:8" x14ac:dyDescent="0.25">
      <c r="A7" s="2" t="s">
        <v>338</v>
      </c>
      <c r="B7" s="56" t="str">
        <f>IFERROR(VLOOKUP($A7,DataT1[], MATCH(B$1,DataT1[#Headers],0),0), IFERROR(VLOOKUP($A7,DataT2[], MATCH(B$1,DataT2[#Headers],0),0), IFERROR(VLOOKUP($A7,DataT3[], MATCH(B$1,DataT3[#Headers],0),0), "No data were found")))</f>
        <v>Seth</v>
      </c>
      <c r="C7" s="56" t="str">
        <f>IFERROR(VLOOKUP($A7,DataT1[], MATCH(C$1,DataT1[#Headers],0),0), IFERROR(VLOOKUP($A7,DataT2[], MATCH(C$1,DataT2[#Headers],0),0), IFERROR(VLOOKUP($A7,DataT3[], MATCH(C$1,DataT3[#Headers],0),0), "No data were found")))</f>
        <v>Rose</v>
      </c>
      <c r="D7" s="263">
        <f>IFERROR(VLOOKUP($A7,DataT1[], MATCH(D$1,DataT1[#Headers],0),0), IFERROR(VLOOKUP($A7,DataT2[], MATCH(D$1,DataT2[#Headers],0),0), IFERROR(VLOOKUP($A7,DataT3[], MATCH(D$1,DataT3[#Headers],0),0), "No data were found")))</f>
        <v>35888</v>
      </c>
      <c r="E7" s="56" t="str">
        <f>IFERROR(VLOOKUP($A7,DataT1[], MATCH(E$1,DataT1[#Headers],0),0), IFERROR(VLOOKUP($A7,DataT2[], MATCH(E$1,DataT2[#Headers],0),0), IFERROR(VLOOKUP($A7,DataT3[], MATCH(E$1,DataT3[#Headers],0),0), "No data were found")))</f>
        <v>DRH</v>
      </c>
      <c r="F7" s="56">
        <f>IFERROR(VLOOKUP($A7,DataT1[], MATCH(F$1,DataT1[#Headers],0),0), IFERROR(VLOOKUP($A7,DataT2[], MATCH(F$1,DataT2[#Headers],0),0), IFERROR(VLOOKUP($A7,DataT3[], MATCH(F$1,DataT3[#Headers],0),0), "No data were found")))</f>
        <v>32</v>
      </c>
      <c r="G7" s="56">
        <f>IFERROR(VLOOKUP($A7,DataT1[], MATCH(G$1,DataT1[#Headers],0),0), IFERROR(VLOOKUP($A7,DataT2[], MATCH(G$1,DataT2[#Headers],0),0), IFERROR(VLOOKUP($A7,DataT3[], MATCH(G$1,DataT3[#Headers],0),0), "No data were found")))</f>
        <v>20.5</v>
      </c>
      <c r="H7" s="56">
        <f>IFERROR(VLOOKUP($A7,DataT1[], MATCH(H$1,DataT1[#Headers],0),0), IFERROR(VLOOKUP($A7,DataT2[], MATCH(H$1,DataT2[#Headers],0),0), IFERROR(VLOOKUP($A7,DataT3[], MATCH(H$1,DataT3[#Headers],0),0), "No data were found")))</f>
        <v>656</v>
      </c>
    </row>
    <row r="8" spans="1:8" x14ac:dyDescent="0.25">
      <c r="A8" s="2" t="s">
        <v>328</v>
      </c>
      <c r="B8" s="56" t="str">
        <f>IFERROR(VLOOKUP($A8,DataT1[], MATCH(B$1,DataT1[#Headers],0),0), IFERROR(VLOOKUP($A8,DataT2[], MATCH(B$1,DataT2[#Headers],0),0), IFERROR(VLOOKUP($A8,DataT3[], MATCH(B$1,DataT3[#Headers],0),0), "No data were found")))</f>
        <v>James</v>
      </c>
      <c r="C8" s="56" t="str">
        <f>IFERROR(VLOOKUP($A8,DataT1[], MATCH(C$1,DataT1[#Headers],0),0), IFERROR(VLOOKUP($A8,DataT2[], MATCH(C$1,DataT2[#Headers],0),0), IFERROR(VLOOKUP($A8,DataT3[], MATCH(C$1,DataT3[#Headers],0),0), "No data were found")))</f>
        <v>Rich</v>
      </c>
      <c r="D8" s="263">
        <f>IFERROR(VLOOKUP($A8,DataT1[], MATCH(D$1,DataT1[#Headers],0),0), IFERROR(VLOOKUP($A8,DataT2[], MATCH(D$1,DataT2[#Headers],0),0), IFERROR(VLOOKUP($A8,DataT3[], MATCH(D$1,DataT3[#Headers],0),0), "No data were found")))</f>
        <v>34616</v>
      </c>
      <c r="E8" s="56" t="str">
        <f>IFERROR(VLOOKUP($A8,DataT1[], MATCH(E$1,DataT1[#Headers],0),0), IFERROR(VLOOKUP($A8,DataT2[], MATCH(E$1,DataT2[#Headers],0),0), IFERROR(VLOOKUP($A8,DataT3[], MATCH(E$1,DataT3[#Headers],0),0), "No data were found")))</f>
        <v>DH</v>
      </c>
      <c r="F8" s="56">
        <f>IFERROR(VLOOKUP($A8,DataT1[], MATCH(F$1,DataT1[#Headers],0),0), IFERROR(VLOOKUP($A8,DataT2[], MATCH(F$1,DataT2[#Headers],0),0), IFERROR(VLOOKUP($A8,DataT3[], MATCH(F$1,DataT3[#Headers],0),0), "No data were found")))</f>
        <v>35.5</v>
      </c>
      <c r="G8" s="56">
        <f>IFERROR(VLOOKUP($A8,DataT1[], MATCH(G$1,DataT1[#Headers],0),0), IFERROR(VLOOKUP($A8,DataT2[], MATCH(G$1,DataT2[#Headers],0),0), IFERROR(VLOOKUP($A8,DataT3[], MATCH(G$1,DataT3[#Headers],0),0), "No data were found")))</f>
        <v>55</v>
      </c>
      <c r="H8" s="56">
        <f>IFERROR(VLOOKUP($A8,DataT1[], MATCH(H$1,DataT1[#Headers],0),0), IFERROR(VLOOKUP($A8,DataT2[], MATCH(H$1,DataT2[#Headers],0),0), IFERROR(VLOOKUP($A8,DataT3[], MATCH(H$1,DataT3[#Headers],0),0), "No data were found")))</f>
        <v>1952.5</v>
      </c>
    </row>
    <row r="9" spans="1:8" x14ac:dyDescent="0.25">
      <c r="A9" s="2" t="s">
        <v>319</v>
      </c>
      <c r="B9" s="56" t="str">
        <f>IFERROR(VLOOKUP($A9,DataT1[], MATCH(B$1,DataT1[#Headers],0),0), IFERROR(VLOOKUP($A9,DataT2[], MATCH(B$1,DataT2[#Headers],0),0), IFERROR(VLOOKUP($A9,DataT3[], MATCH(B$1,DataT3[#Headers],0),0), "No data were found")))</f>
        <v>Carol</v>
      </c>
      <c r="C9" s="56" t="str">
        <f>IFERROR(VLOOKUP($A9,DataT1[], MATCH(C$1,DataT1[#Headers],0),0), IFERROR(VLOOKUP($A9,DataT2[], MATCH(C$1,DataT2[#Headers],0),0), IFERROR(VLOOKUP($A9,DataT3[], MATCH(C$1,DataT3[#Headers],0),0), "No data were found")))</f>
        <v>Hill</v>
      </c>
      <c r="D9" s="263">
        <f>IFERROR(VLOOKUP($A9,DataT1[], MATCH(D$1,DataT1[#Headers],0),0), IFERROR(VLOOKUP($A9,DataT2[], MATCH(D$1,DataT2[#Headers],0),0), IFERROR(VLOOKUP($A9,DataT3[], MATCH(D$1,DataT3[#Headers],0),0), "No data were found")))</f>
        <v>34534</v>
      </c>
      <c r="E9" s="56">
        <f>IFERROR(VLOOKUP($A9,DataT1[], MATCH(E$1,DataT1[#Headers],0),0), IFERROR(VLOOKUP($A9,DataT2[], MATCH(E$1,DataT2[#Headers],0),0), IFERROR(VLOOKUP($A9,DataT3[], MATCH(E$1,DataT3[#Headers],0),0), "No data were found")))</f>
        <v>0</v>
      </c>
      <c r="F9" s="56">
        <f>IFERROR(VLOOKUP($A9,DataT1[], MATCH(F$1,DataT1[#Headers],0),0), IFERROR(VLOOKUP($A9,DataT2[], MATCH(F$1,DataT2[#Headers],0),0), IFERROR(VLOOKUP($A9,DataT3[], MATCH(F$1,DataT3[#Headers],0),0), "No data were found")))</f>
        <v>35.5</v>
      </c>
      <c r="G9" s="56">
        <f>IFERROR(VLOOKUP($A9,DataT1[], MATCH(G$1,DataT1[#Headers],0),0), IFERROR(VLOOKUP($A9,DataT2[], MATCH(G$1,DataT2[#Headers],0),0), IFERROR(VLOOKUP($A9,DataT3[], MATCH(G$1,DataT3[#Headers],0),0), "No data were found")))</f>
        <v>27.5</v>
      </c>
      <c r="H9" s="56">
        <f>IFERROR(VLOOKUP($A9,DataT1[], MATCH(H$1,DataT1[#Headers],0),0), IFERROR(VLOOKUP($A9,DataT2[], MATCH(H$1,DataT2[#Headers],0),0), IFERROR(VLOOKUP($A9,DataT3[], MATCH(H$1,DataT3[#Headers],0),0), "No data were found")))</f>
        <v>976.25</v>
      </c>
    </row>
    <row r="10" spans="1:8" x14ac:dyDescent="0.25">
      <c r="A10" s="2" t="s">
        <v>315</v>
      </c>
      <c r="B10" s="56" t="str">
        <f>IFERROR(VLOOKUP($A10,DataT1[], MATCH(B$1,DataT1[#Headers],0),0), IFERROR(VLOOKUP($A10,DataT2[], MATCH(B$1,DataT2[#Headers],0),0), IFERROR(VLOOKUP($A10,DataT3[], MATCH(B$1,DataT3[#Headers],0),0), "No data were found")))</f>
        <v>Jacqueline</v>
      </c>
      <c r="C10" s="56" t="str">
        <f>IFERROR(VLOOKUP($A10,DataT1[], MATCH(C$1,DataT1[#Headers],0),0), IFERROR(VLOOKUP($A10,DataT2[], MATCH(C$1,DataT2[#Headers],0),0), IFERROR(VLOOKUP($A10,DataT3[], MATCH(C$1,DataT3[#Headers],0),0), "No data were found")))</f>
        <v>Banks</v>
      </c>
      <c r="D10" s="263">
        <f>IFERROR(VLOOKUP($A10,DataT1[], MATCH(D$1,DataT1[#Headers],0),0), IFERROR(VLOOKUP($A10,DataT2[], MATCH(D$1,DataT2[#Headers],0),0), IFERROR(VLOOKUP($A10,DataT3[], MATCH(D$1,DataT3[#Headers],0),0), "No data were found")))</f>
        <v>33634</v>
      </c>
      <c r="E10" s="56" t="str">
        <f>IFERROR(VLOOKUP($A10,DataT1[], MATCH(E$1,DataT1[#Headers],0),0), IFERROR(VLOOKUP($A10,DataT2[], MATCH(E$1,DataT2[#Headers],0),0), IFERROR(VLOOKUP($A10,DataT3[], MATCH(E$1,DataT3[#Headers],0),0), "No data were found")))</f>
        <v>H</v>
      </c>
      <c r="F10" s="56">
        <f>IFERROR(VLOOKUP($A10,DataT1[], MATCH(F$1,DataT1[#Headers],0),0), IFERROR(VLOOKUP($A10,DataT2[], MATCH(F$1,DataT2[#Headers],0),0), IFERROR(VLOOKUP($A10,DataT3[], MATCH(F$1,DataT3[#Headers],0),0), "No data were found")))</f>
        <v>40</v>
      </c>
      <c r="G10" s="56">
        <f>IFERROR(VLOOKUP($A10,DataT1[], MATCH(G$1,DataT1[#Headers],0),0), IFERROR(VLOOKUP($A10,DataT2[], MATCH(G$1,DataT2[#Headers],0),0), IFERROR(VLOOKUP($A10,DataT3[], MATCH(G$1,DataT3[#Headers],0),0), "No data were found")))</f>
        <v>23.75</v>
      </c>
      <c r="H10" s="56">
        <f>IFERROR(VLOOKUP($A10,DataT1[], MATCH(H$1,DataT1[#Headers],0),0), IFERROR(VLOOKUP($A10,DataT2[], MATCH(H$1,DataT2[#Headers],0),0), IFERROR(VLOOKUP($A10,DataT3[], MATCH(H$1,DataT3[#Headers],0),0), "No data were found")))</f>
        <v>950</v>
      </c>
    </row>
    <row r="11" spans="1:8" x14ac:dyDescent="0.25">
      <c r="A11" s="2" t="s">
        <v>284</v>
      </c>
      <c r="B11" s="56" t="str">
        <f>IFERROR(VLOOKUP($A11,DataT1[], MATCH(B$1,DataT1[#Headers],0),0), IFERROR(VLOOKUP($A11,DataT2[], MATCH(B$1,DataT2[#Headers],0),0), IFERROR(VLOOKUP($A11,DataT3[], MATCH(B$1,DataT3[#Headers],0),0), "No data were found")))</f>
        <v>Laura</v>
      </c>
      <c r="C11" s="56" t="str">
        <f>IFERROR(VLOOKUP($A11,DataT1[], MATCH(C$1,DataT1[#Headers],0),0), IFERROR(VLOOKUP($A11,DataT2[], MATCH(C$1,DataT2[#Headers],0),0), IFERROR(VLOOKUP($A11,DataT3[], MATCH(C$1,DataT3[#Headers],0),0), "No data were found")))</f>
        <v>Reagan</v>
      </c>
      <c r="D11" s="263">
        <f>IFERROR(VLOOKUP($A11,DataT1[], MATCH(D$1,DataT1[#Headers],0),0), IFERROR(VLOOKUP($A11,DataT2[], MATCH(D$1,DataT2[#Headers],0),0), IFERROR(VLOOKUP($A11,DataT3[], MATCH(D$1,DataT3[#Headers],0),0), "No data were found")))</f>
        <v>36017</v>
      </c>
      <c r="E11" s="56" t="str">
        <f>IFERROR(VLOOKUP($A11,DataT1[], MATCH(E$1,DataT1[#Headers],0),0), IFERROR(VLOOKUP($A11,DataT2[], MATCH(E$1,DataT2[#Headers],0),0), IFERROR(VLOOKUP($A11,DataT3[], MATCH(E$1,DataT3[#Headers],0),0), "No data were found")))</f>
        <v>RH</v>
      </c>
      <c r="F11" s="56">
        <f>IFERROR(VLOOKUP($A11,DataT1[], MATCH(F$1,DataT1[#Headers],0),0), IFERROR(VLOOKUP($A11,DataT2[], MATCH(F$1,DataT2[#Headers],0),0), IFERROR(VLOOKUP($A11,DataT3[], MATCH(F$1,DataT3[#Headers],0),0), "No data were found")))</f>
        <v>35</v>
      </c>
      <c r="G11" s="56">
        <f>IFERROR(VLOOKUP($A11,DataT1[], MATCH(G$1,DataT1[#Headers],0),0), IFERROR(VLOOKUP($A11,DataT2[], MATCH(G$1,DataT2[#Headers],0),0), IFERROR(VLOOKUP($A11,DataT3[], MATCH(G$1,DataT3[#Headers],0),0), "No data were found")))</f>
        <v>50</v>
      </c>
      <c r="H11" s="56">
        <f>IFERROR(VLOOKUP($A11,DataT1[], MATCH(H$1,DataT1[#Headers],0),0), IFERROR(VLOOKUP($A11,DataT2[], MATCH(H$1,DataT2[#Headers],0),0), IFERROR(VLOOKUP($A11,DataT3[], MATCH(H$1,DataT3[#Headers],0),0), "No data were found")))</f>
        <v>1750</v>
      </c>
    </row>
    <row r="12" spans="1:8" x14ac:dyDescent="0.25">
      <c r="A12" s="2" t="s">
        <v>277</v>
      </c>
      <c r="B12" s="56" t="str">
        <f>IFERROR(VLOOKUP($A12,DataT1[], MATCH(B$1,DataT1[#Headers],0),0), IFERROR(VLOOKUP($A12,DataT2[], MATCH(B$1,DataT2[#Headers],0),0), IFERROR(VLOOKUP($A12,DataT3[], MATCH(B$1,DataT3[#Headers],0),0), "No data were found")))</f>
        <v>Peter</v>
      </c>
      <c r="C12" s="56" t="str">
        <f>IFERROR(VLOOKUP($A12,DataT1[], MATCH(C$1,DataT1[#Headers],0),0), IFERROR(VLOOKUP($A12,DataT2[], MATCH(C$1,DataT2[#Headers],0),0), IFERROR(VLOOKUP($A12,DataT3[], MATCH(C$1,DataT3[#Headers],0),0), "No data were found")))</f>
        <v>Allen</v>
      </c>
      <c r="D12" s="263">
        <f>IFERROR(VLOOKUP($A12,DataT1[], MATCH(D$1,DataT1[#Headers],0),0), IFERROR(VLOOKUP($A12,DataT2[], MATCH(D$1,DataT2[#Headers],0),0), IFERROR(VLOOKUP($A12,DataT3[], MATCH(D$1,DataT3[#Headers],0),0), "No data were found")))</f>
        <v>34483</v>
      </c>
      <c r="E12" s="56">
        <f>IFERROR(VLOOKUP($A12,DataT1[], MATCH(E$1,DataT1[#Headers],0),0), IFERROR(VLOOKUP($A12,DataT2[], MATCH(E$1,DataT2[#Headers],0),0), IFERROR(VLOOKUP($A12,DataT3[], MATCH(E$1,DataT3[#Headers],0),0), "No data were found")))</f>
        <v>0</v>
      </c>
      <c r="F12" s="56">
        <f>IFERROR(VLOOKUP($A12,DataT1[], MATCH(F$1,DataT1[#Headers],0),0), IFERROR(VLOOKUP($A12,DataT2[], MATCH(F$1,DataT2[#Headers],0),0), IFERROR(VLOOKUP($A12,DataT3[], MATCH(F$1,DataT3[#Headers],0),0), "No data were found")))</f>
        <v>40</v>
      </c>
      <c r="G12" s="56">
        <f>IFERROR(VLOOKUP($A12,DataT1[], MATCH(G$1,DataT1[#Headers],0),0), IFERROR(VLOOKUP($A12,DataT2[], MATCH(G$1,DataT2[#Headers],0),0), IFERROR(VLOOKUP($A12,DataT3[], MATCH(G$1,DataT3[#Headers],0),0), "No data were found")))</f>
        <v>23.75</v>
      </c>
      <c r="H12" s="56">
        <f>IFERROR(VLOOKUP($A12,DataT1[], MATCH(H$1,DataT1[#Headers],0),0), IFERROR(VLOOKUP($A12,DataT2[], MATCH(H$1,DataT2[#Headers],0),0), IFERROR(VLOOKUP($A12,DataT3[], MATCH(H$1,DataT3[#Headers],0),0), "No data were found")))</f>
        <v>950</v>
      </c>
    </row>
    <row r="13" spans="1:8" x14ac:dyDescent="0.25">
      <c r="A13" s="2" t="s">
        <v>268</v>
      </c>
      <c r="B13" s="56" t="str">
        <f>IFERROR(VLOOKUP($A13,DataT1[], MATCH(B$1,DataT1[#Headers],0),0), IFERROR(VLOOKUP($A13,DataT2[], MATCH(B$1,DataT2[#Headers],0),0), IFERROR(VLOOKUP($A13,DataT3[], MATCH(B$1,DataT3[#Headers],0),0), "No data were found")))</f>
        <v>Molly</v>
      </c>
      <c r="C13" s="56" t="str">
        <f>IFERROR(VLOOKUP($A13,DataT1[], MATCH(C$1,DataT1[#Headers],0),0), IFERROR(VLOOKUP($A13,DataT2[], MATCH(C$1,DataT2[#Headers],0),0), IFERROR(VLOOKUP($A13,DataT3[], MATCH(C$1,DataT3[#Headers],0),0), "No data were found")))</f>
        <v>Steadman</v>
      </c>
      <c r="D13" s="263">
        <f>IFERROR(VLOOKUP($A13,DataT1[], MATCH(D$1,DataT1[#Headers],0),0), IFERROR(VLOOKUP($A13,DataT2[], MATCH(D$1,DataT2[#Headers],0),0), IFERROR(VLOOKUP($A13,DataT3[], MATCH(D$1,DataT3[#Headers],0),0), "No data were found")))</f>
        <v>35655</v>
      </c>
      <c r="E13" s="56" t="str">
        <f>IFERROR(VLOOKUP($A13,DataT1[], MATCH(E$1,DataT1[#Headers],0),0), IFERROR(VLOOKUP($A13,DataT2[], MATCH(E$1,DataT2[#Headers],0),0), IFERROR(VLOOKUP($A13,DataT3[], MATCH(E$1,DataT3[#Headers],0),0), "No data were found")))</f>
        <v>DH</v>
      </c>
      <c r="F13" s="56">
        <f>IFERROR(VLOOKUP($A13,DataT1[], MATCH(F$1,DataT1[#Headers],0),0), IFERROR(VLOOKUP($A13,DataT2[], MATCH(F$1,DataT2[#Headers],0),0), IFERROR(VLOOKUP($A13,DataT3[], MATCH(F$1,DataT3[#Headers],0),0), "No data were found")))</f>
        <v>40</v>
      </c>
      <c r="G13" s="56">
        <f>IFERROR(VLOOKUP($A13,DataT1[], MATCH(G$1,DataT1[#Headers],0),0), IFERROR(VLOOKUP($A13,DataT2[], MATCH(G$1,DataT2[#Headers],0),0), IFERROR(VLOOKUP($A13,DataT3[], MATCH(G$1,DataT3[#Headers],0),0), "No data were found")))</f>
        <v>37</v>
      </c>
      <c r="H13" s="56">
        <f>IFERROR(VLOOKUP($A13,DataT1[], MATCH(H$1,DataT1[#Headers],0),0), IFERROR(VLOOKUP($A13,DataT2[], MATCH(H$1,DataT2[#Headers],0),0), IFERROR(VLOOKUP($A13,DataT3[], MATCH(H$1,DataT3[#Headers],0),0), "No data were found")))</f>
        <v>1480</v>
      </c>
    </row>
    <row r="14" spans="1:8" x14ac:dyDescent="0.25">
      <c r="A14" s="2" t="s">
        <v>260</v>
      </c>
      <c r="B14" s="56" t="str">
        <f>IFERROR(VLOOKUP($A14,DataT1[], MATCH(B$1,DataT1[#Headers],0),0), IFERROR(VLOOKUP($A14,DataT2[], MATCH(B$1,DataT2[#Headers],0),0), IFERROR(VLOOKUP($A14,DataT3[], MATCH(B$1,DataT3[#Headers],0),0), "No data were found")))</f>
        <v>Bill</v>
      </c>
      <c r="C14" s="56" t="str">
        <f>IFERROR(VLOOKUP($A14,DataT1[], MATCH(C$1,DataT1[#Headers],0),0), IFERROR(VLOOKUP($A14,DataT2[], MATCH(C$1,DataT2[#Headers],0),0), IFERROR(VLOOKUP($A14,DataT3[], MATCH(C$1,DataT3[#Headers],0),0), "No data were found")))</f>
        <v>Simpson</v>
      </c>
      <c r="D14" s="263">
        <f>IFERROR(VLOOKUP($A14,DataT1[], MATCH(D$1,DataT1[#Headers],0),0), IFERROR(VLOOKUP($A14,DataT2[], MATCH(D$1,DataT2[#Headers],0),0), IFERROR(VLOOKUP($A14,DataT3[], MATCH(D$1,DataT3[#Headers],0),0), "No data were found")))</f>
        <v>32883</v>
      </c>
      <c r="E14" s="56">
        <f>IFERROR(VLOOKUP($A14,DataT1[], MATCH(E$1,DataT1[#Headers],0),0), IFERROR(VLOOKUP($A14,DataT2[], MATCH(E$1,DataT2[#Headers],0),0), IFERROR(VLOOKUP($A14,DataT3[], MATCH(E$1,DataT3[#Headers],0),0), "No data were found")))</f>
        <v>0</v>
      </c>
      <c r="F14" s="56">
        <f>IFERROR(VLOOKUP($A14,DataT1[], MATCH(F$1,DataT1[#Headers],0),0), IFERROR(VLOOKUP($A14,DataT2[], MATCH(F$1,DataT2[#Headers],0),0), IFERROR(VLOOKUP($A14,DataT3[], MATCH(F$1,DataT3[#Headers],0),0), "No data were found")))</f>
        <v>40</v>
      </c>
      <c r="G14" s="56">
        <f>IFERROR(VLOOKUP($A14,DataT1[], MATCH(G$1,DataT1[#Headers],0),0), IFERROR(VLOOKUP($A14,DataT2[], MATCH(G$1,DataT2[#Headers],0),0), IFERROR(VLOOKUP($A14,DataT3[], MATCH(G$1,DataT3[#Headers],0),0), "No data were found")))</f>
        <v>45</v>
      </c>
      <c r="H14" s="56">
        <f>IFERROR(VLOOKUP($A14,DataT1[], MATCH(H$1,DataT1[#Headers],0),0), IFERROR(VLOOKUP($A14,DataT2[], MATCH(H$1,DataT2[#Headers],0),0), IFERROR(VLOOKUP($A14,DataT3[], MATCH(H$1,DataT3[#Headers],0),0), "No data were found")))</f>
        <v>1800</v>
      </c>
    </row>
    <row r="15" spans="1:8" x14ac:dyDescent="0.25">
      <c r="A15" s="2" t="s">
        <v>250</v>
      </c>
      <c r="B15" s="56" t="str">
        <f>IFERROR(VLOOKUP($A15,DataT1[], MATCH(B$1,DataT1[#Headers],0),0), IFERROR(VLOOKUP($A15,DataT2[], MATCH(B$1,DataT2[#Headers],0),0), IFERROR(VLOOKUP($A15,DataT3[], MATCH(B$1,DataT3[#Headers],0),0), "No data were found")))</f>
        <v>Lance</v>
      </c>
      <c r="C15" s="56" t="str">
        <f>IFERROR(VLOOKUP($A15,DataT1[], MATCH(C$1,DataT1[#Headers],0),0), IFERROR(VLOOKUP($A15,DataT2[], MATCH(C$1,DataT2[#Headers],0),0), IFERROR(VLOOKUP($A15,DataT3[], MATCH(C$1,DataT3[#Headers],0),0), "No data were found")))</f>
        <v>Davies</v>
      </c>
      <c r="D15" s="263">
        <f>IFERROR(VLOOKUP($A15,DataT1[], MATCH(D$1,DataT1[#Headers],0),0), IFERROR(VLOOKUP($A15,DataT2[], MATCH(D$1,DataT2[#Headers],0),0), IFERROR(VLOOKUP($A15,DataT3[], MATCH(D$1,DataT3[#Headers],0),0), "No data were found")))</f>
        <v>35427</v>
      </c>
      <c r="E15" s="56" t="str">
        <f>IFERROR(VLOOKUP($A15,DataT1[], MATCH(E$1,DataT1[#Headers],0),0), IFERROR(VLOOKUP($A15,DataT2[], MATCH(E$1,DataT2[#Headers],0),0), IFERROR(VLOOKUP($A15,DataT3[], MATCH(E$1,DataT3[#Headers],0),0), "No data were found")))</f>
        <v>DRH</v>
      </c>
      <c r="F15" s="56">
        <f>IFERROR(VLOOKUP($A15,DataT1[], MATCH(F$1,DataT1[#Headers],0),0), IFERROR(VLOOKUP($A15,DataT2[], MATCH(F$1,DataT2[#Headers],0),0), IFERROR(VLOOKUP($A15,DataT3[], MATCH(F$1,DataT3[#Headers],0),0), "No data were found")))</f>
        <v>32</v>
      </c>
      <c r="G15" s="56">
        <f>IFERROR(VLOOKUP($A15,DataT1[], MATCH(G$1,DataT1[#Headers],0),0), IFERROR(VLOOKUP($A15,DataT2[], MATCH(G$1,DataT2[#Headers],0),0), IFERROR(VLOOKUP($A15,DataT3[], MATCH(G$1,DataT3[#Headers],0),0), "No data were found")))</f>
        <v>20.5</v>
      </c>
      <c r="H15" s="56">
        <f>IFERROR(VLOOKUP($A15,DataT1[], MATCH(H$1,DataT1[#Headers],0),0), IFERROR(VLOOKUP($A15,DataT2[], MATCH(H$1,DataT2[#Headers],0),0), IFERROR(VLOOKUP($A15,DataT3[], MATCH(H$1,DataT3[#Headers],0),0), "No data were found")))</f>
        <v>656</v>
      </c>
    </row>
    <row r="16" spans="1:8" x14ac:dyDescent="0.25">
      <c r="A16" s="2" t="s">
        <v>244</v>
      </c>
      <c r="B16" s="56" t="str">
        <f>IFERROR(VLOOKUP($A16,DataT1[], MATCH(B$1,DataT1[#Headers],0),0), IFERROR(VLOOKUP($A16,DataT2[], MATCH(B$1,DataT2[#Headers],0),0), IFERROR(VLOOKUP($A16,DataT3[], MATCH(B$1,DataT3[#Headers],0),0), "No data were found")))</f>
        <v>Doug</v>
      </c>
      <c r="C16" s="56" t="str">
        <f>IFERROR(VLOOKUP($A16,DataT1[], MATCH(C$1,DataT1[#Headers],0),0), IFERROR(VLOOKUP($A16,DataT2[], MATCH(C$1,DataT2[#Headers],0),0), IFERROR(VLOOKUP($A16,DataT3[], MATCH(C$1,DataT3[#Headers],0),0), "No data were found")))</f>
        <v>Briscoll</v>
      </c>
      <c r="D16" s="263">
        <f>IFERROR(VLOOKUP($A16,DataT1[], MATCH(D$1,DataT1[#Headers],0),0), IFERROR(VLOOKUP($A16,DataT2[], MATCH(D$1,DataT2[#Headers],0),0), IFERROR(VLOOKUP($A16,DataT3[], MATCH(D$1,DataT3[#Headers],0),0), "No data were found")))</f>
        <v>34843</v>
      </c>
      <c r="E16" s="56" t="str">
        <f>IFERROR(VLOOKUP($A16,DataT1[], MATCH(E$1,DataT1[#Headers],0),0), IFERROR(VLOOKUP($A16,DataT2[], MATCH(E$1,DataT2[#Headers],0),0), IFERROR(VLOOKUP($A16,DataT3[], MATCH(E$1,DataT3[#Headers],0),0), "No data were found")))</f>
        <v>R</v>
      </c>
      <c r="F16" s="56">
        <f>IFERROR(VLOOKUP($A16,DataT1[], MATCH(F$1,DataT1[#Headers],0),0), IFERROR(VLOOKUP($A16,DataT2[], MATCH(F$1,DataT2[#Headers],0),0), IFERROR(VLOOKUP($A16,DataT3[], MATCH(F$1,DataT3[#Headers],0),0), "No data were found")))</f>
        <v>38</v>
      </c>
      <c r="G16" s="56">
        <f>IFERROR(VLOOKUP($A16,DataT1[], MATCH(G$1,DataT1[#Headers],0),0), IFERROR(VLOOKUP($A16,DataT2[], MATCH(G$1,DataT2[#Headers],0),0), IFERROR(VLOOKUP($A16,DataT3[], MATCH(G$1,DataT3[#Headers],0),0), "No data were found")))</f>
        <v>55</v>
      </c>
      <c r="H16" s="56">
        <f>IFERROR(VLOOKUP($A16,DataT1[], MATCH(H$1,DataT1[#Headers],0),0), IFERROR(VLOOKUP($A16,DataT2[], MATCH(H$1,DataT2[#Headers],0),0), IFERROR(VLOOKUP($A16,DataT3[], MATCH(H$1,DataT3[#Headers],0),0), "No data were found")))</f>
        <v>2090</v>
      </c>
    </row>
    <row r="17" spans="1:8" x14ac:dyDescent="0.25">
      <c r="A17" s="2" t="s">
        <v>238</v>
      </c>
      <c r="B17" s="56" t="str">
        <f>IFERROR(VLOOKUP($A17,DataT1[], MATCH(B$1,DataT1[#Headers],0),0), IFERROR(VLOOKUP($A17,DataT2[], MATCH(B$1,DataT2[#Headers],0),0), IFERROR(VLOOKUP($A17,DataT3[], MATCH(B$1,DataT3[#Headers],0),0), "No data were found")))</f>
        <v>Steve</v>
      </c>
      <c r="C17" s="56" t="str">
        <f>IFERROR(VLOOKUP($A17,DataT1[], MATCH(C$1,DataT1[#Headers],0),0), IFERROR(VLOOKUP($A17,DataT2[], MATCH(C$1,DataT2[#Headers],0),0), IFERROR(VLOOKUP($A17,DataT3[], MATCH(C$1,DataT3[#Headers],0),0), "No data were found")))</f>
        <v>Singer</v>
      </c>
      <c r="D17" s="263">
        <f>IFERROR(VLOOKUP($A17,DataT1[], MATCH(D$1,DataT1[#Headers],0),0), IFERROR(VLOOKUP($A17,DataT2[], MATCH(D$1,DataT2[#Headers],0),0), IFERROR(VLOOKUP($A17,DataT3[], MATCH(D$1,DataT3[#Headers],0),0), "No data were found")))</f>
        <v>34610</v>
      </c>
      <c r="E17" s="56" t="str">
        <f>IFERROR(VLOOKUP($A17,DataT1[], MATCH(E$1,DataT1[#Headers],0),0), IFERROR(VLOOKUP($A17,DataT2[], MATCH(E$1,DataT2[#Headers],0),0), IFERROR(VLOOKUP($A17,DataT3[], MATCH(E$1,DataT3[#Headers],0),0), "No data were found")))</f>
        <v>R</v>
      </c>
      <c r="F17" s="56">
        <f>IFERROR(VLOOKUP($A17,DataT1[], MATCH(F$1,DataT1[#Headers],0),0), IFERROR(VLOOKUP($A17,DataT2[], MATCH(F$1,DataT2[#Headers],0),0), IFERROR(VLOOKUP($A17,DataT3[], MATCH(F$1,DataT3[#Headers],0),0), "No data were found")))</f>
        <v>40</v>
      </c>
      <c r="G17" s="56">
        <f>IFERROR(VLOOKUP($A17,DataT1[], MATCH(G$1,DataT1[#Headers],0),0), IFERROR(VLOOKUP($A17,DataT2[], MATCH(G$1,DataT2[#Headers],0),0), IFERROR(VLOOKUP($A17,DataT3[], MATCH(G$1,DataT3[#Headers],0),0), "No data were found")))</f>
        <v>36.5</v>
      </c>
      <c r="H17" s="56">
        <f>IFERROR(VLOOKUP($A17,DataT1[], MATCH(H$1,DataT1[#Headers],0),0), IFERROR(VLOOKUP($A17,DataT2[], MATCH(H$1,DataT2[#Headers],0),0), IFERROR(VLOOKUP($A17,DataT3[], MATCH(H$1,DataT3[#Headers],0),0), "No data were found")))</f>
        <v>1460</v>
      </c>
    </row>
    <row r="18" spans="1:8" x14ac:dyDescent="0.25">
      <c r="A18" s="2" t="s">
        <v>235</v>
      </c>
      <c r="B18" s="56" t="str">
        <f>IFERROR(VLOOKUP($A18,DataT1[], MATCH(B$1,DataT1[#Headers],0),0), IFERROR(VLOOKUP($A18,DataT2[], MATCH(B$1,DataT2[#Headers],0),0), IFERROR(VLOOKUP($A18,DataT3[], MATCH(B$1,DataT3[#Headers],0),0), "No data were found")))</f>
        <v>Carol</v>
      </c>
      <c r="C18" s="56" t="str">
        <f>IFERROR(VLOOKUP($A18,DataT1[], MATCH(C$1,DataT1[#Headers],0),0), IFERROR(VLOOKUP($A18,DataT2[], MATCH(C$1,DataT2[#Headers],0),0), IFERROR(VLOOKUP($A18,DataT3[], MATCH(C$1,DataT3[#Headers],0),0), "No data were found")))</f>
        <v>Tucker</v>
      </c>
      <c r="D18" s="263">
        <f>IFERROR(VLOOKUP($A18,DataT1[], MATCH(D$1,DataT1[#Headers],0),0), IFERROR(VLOOKUP($A18,DataT2[], MATCH(D$1,DataT2[#Headers],0),0), IFERROR(VLOOKUP($A18,DataT3[], MATCH(D$1,DataT3[#Headers],0),0), "No data were found")))</f>
        <v>33704</v>
      </c>
      <c r="E18" s="56">
        <f>IFERROR(VLOOKUP($A18,DataT1[], MATCH(E$1,DataT1[#Headers],0),0), IFERROR(VLOOKUP($A18,DataT2[], MATCH(E$1,DataT2[#Headers],0),0), IFERROR(VLOOKUP($A18,DataT3[], MATCH(E$1,DataT3[#Headers],0),0), "No data were found")))</f>
        <v>0</v>
      </c>
      <c r="F18" s="56">
        <f>IFERROR(VLOOKUP($A18,DataT1[], MATCH(F$1,DataT1[#Headers],0),0), IFERROR(VLOOKUP($A18,DataT2[], MATCH(F$1,DataT2[#Headers],0),0), IFERROR(VLOOKUP($A18,DataT3[], MATCH(F$1,DataT3[#Headers],0),0), "No data were found")))</f>
        <v>38</v>
      </c>
      <c r="G18" s="56">
        <f>IFERROR(VLOOKUP($A18,DataT1[], MATCH(G$1,DataT1[#Headers],0),0), IFERROR(VLOOKUP($A18,DataT2[], MATCH(G$1,DataT2[#Headers],0),0), IFERROR(VLOOKUP($A18,DataT3[], MATCH(G$1,DataT3[#Headers],0),0), "No data were found")))</f>
        <v>30.5</v>
      </c>
      <c r="H18" s="56">
        <f>IFERROR(VLOOKUP($A18,DataT1[], MATCH(H$1,DataT1[#Headers],0),0), IFERROR(VLOOKUP($A18,DataT2[], MATCH(H$1,DataT2[#Headers],0),0), IFERROR(VLOOKUP($A18,DataT3[], MATCH(H$1,DataT3[#Headers],0),0), "No data were found")))</f>
        <v>1159</v>
      </c>
    </row>
    <row r="19" spans="1:8" x14ac:dyDescent="0.25">
      <c r="A19" s="2" t="s">
        <v>209</v>
      </c>
      <c r="B19" s="56" t="str">
        <f>IFERROR(VLOOKUP($A19,DataT1[], MATCH(B$1,DataT1[#Headers],0),0), IFERROR(VLOOKUP($A19,DataT2[], MATCH(B$1,DataT2[#Headers],0),0), IFERROR(VLOOKUP($A19,DataT3[], MATCH(B$1,DataT3[#Headers],0),0), "No data were found")))</f>
        <v>Edward</v>
      </c>
      <c r="C19" s="56" t="str">
        <f>IFERROR(VLOOKUP($A19,DataT1[], MATCH(C$1,DataT1[#Headers],0),0), IFERROR(VLOOKUP($A19,DataT2[], MATCH(C$1,DataT2[#Headers],0),0), IFERROR(VLOOKUP($A19,DataT3[], MATCH(C$1,DataT3[#Headers],0),0), "No data were found")))</f>
        <v>Trelly</v>
      </c>
      <c r="D19" s="263">
        <f>IFERROR(VLOOKUP($A19,DataT1[], MATCH(D$1,DataT1[#Headers],0),0), IFERROR(VLOOKUP($A19,DataT2[], MATCH(D$1,DataT2[#Headers],0),0), IFERROR(VLOOKUP($A19,DataT3[], MATCH(D$1,DataT3[#Headers],0),0), "No data were found")))</f>
        <v>34500</v>
      </c>
      <c r="E19" s="56" t="str">
        <f>IFERROR(VLOOKUP($A19,DataT1[], MATCH(E$1,DataT1[#Headers],0),0), IFERROR(VLOOKUP($A19,DataT2[], MATCH(E$1,DataT2[#Headers],0),0), IFERROR(VLOOKUP($A19,DataT3[], MATCH(E$1,DataT3[#Headers],0),0), "No data were found")))</f>
        <v>DR</v>
      </c>
      <c r="F19" s="56">
        <f>IFERROR(VLOOKUP($A19,DataT1[], MATCH(F$1,DataT1[#Headers],0),0), IFERROR(VLOOKUP($A19,DataT2[], MATCH(F$1,DataT2[#Headers],0),0), IFERROR(VLOOKUP($A19,DataT3[], MATCH(F$1,DataT3[#Headers],0),0), "No data were found")))</f>
        <v>40</v>
      </c>
      <c r="G19" s="56">
        <f>IFERROR(VLOOKUP($A19,DataT1[], MATCH(G$1,DataT1[#Headers],0),0), IFERROR(VLOOKUP($A19,DataT2[], MATCH(G$1,DataT2[#Headers],0),0), IFERROR(VLOOKUP($A19,DataT3[], MATCH(G$1,DataT3[#Headers],0),0), "No data were found")))</f>
        <v>23.75</v>
      </c>
      <c r="H19" s="56">
        <f>IFERROR(VLOOKUP($A19,DataT1[], MATCH(H$1,DataT1[#Headers],0),0), IFERROR(VLOOKUP($A19,DataT2[], MATCH(H$1,DataT2[#Headers],0),0), IFERROR(VLOOKUP($A19,DataT3[], MATCH(H$1,DataT3[#Headers],0),0), "No data were found")))</f>
        <v>950</v>
      </c>
    </row>
    <row r="20" spans="1:8" x14ac:dyDescent="0.25">
      <c r="A20" s="2" t="s">
        <v>200</v>
      </c>
      <c r="B20" s="56" t="str">
        <f>IFERROR(VLOOKUP($A20,DataT1[], MATCH(B$1,DataT1[#Headers],0),0), IFERROR(VLOOKUP($A20,DataT2[], MATCH(B$1,DataT2[#Headers],0),0), IFERROR(VLOOKUP($A20,DataT3[], MATCH(B$1,DataT3[#Headers],0),0), "No data were found")))</f>
        <v>Jerry</v>
      </c>
      <c r="C20" s="56" t="str">
        <f>IFERROR(VLOOKUP($A20,DataT1[], MATCH(C$1,DataT1[#Headers],0),0), IFERROR(VLOOKUP($A20,DataT2[], MATCH(C$1,DataT2[#Headers],0),0), IFERROR(VLOOKUP($A20,DataT3[], MATCH(C$1,DataT3[#Headers],0),0), "No data were found")))</f>
        <v>McDonald</v>
      </c>
      <c r="D20" s="263">
        <f>IFERROR(VLOOKUP($A20,DataT1[], MATCH(D$1,DataT1[#Headers],0),0), IFERROR(VLOOKUP($A20,DataT2[], MATCH(D$1,DataT2[#Headers],0),0), IFERROR(VLOOKUP($A20,DataT3[], MATCH(D$1,DataT3[#Headers],0),0), "No data were found")))</f>
        <v>33059</v>
      </c>
      <c r="E20" s="56" t="str">
        <f>IFERROR(VLOOKUP($A20,DataT1[], MATCH(E$1,DataT1[#Headers],0),0), IFERROR(VLOOKUP($A20,DataT2[], MATCH(E$1,DataT2[#Headers],0),0), IFERROR(VLOOKUP($A20,DataT3[], MATCH(E$1,DataT3[#Headers],0),0), "No data were found")))</f>
        <v>DR</v>
      </c>
      <c r="F20" s="56">
        <f>IFERROR(VLOOKUP($A20,DataT1[], MATCH(F$1,DataT1[#Headers],0),0), IFERROR(VLOOKUP($A20,DataT2[], MATCH(F$1,DataT2[#Headers],0),0), IFERROR(VLOOKUP($A20,DataT3[], MATCH(F$1,DataT3[#Headers],0),0), "No data were found")))</f>
        <v>40</v>
      </c>
      <c r="G20" s="56">
        <f>IFERROR(VLOOKUP($A20,DataT1[], MATCH(G$1,DataT1[#Headers],0),0), IFERROR(VLOOKUP($A20,DataT2[], MATCH(G$1,DataT2[#Headers],0),0), IFERROR(VLOOKUP($A20,DataT3[], MATCH(G$1,DataT3[#Headers],0),0), "No data were found")))</f>
        <v>30.5</v>
      </c>
      <c r="H20" s="56">
        <f>IFERROR(VLOOKUP($A20,DataT1[], MATCH(H$1,DataT1[#Headers],0),0), IFERROR(VLOOKUP($A20,DataT2[], MATCH(H$1,DataT2[#Headers],0),0), IFERROR(VLOOKUP($A20,DataT3[], MATCH(H$1,DataT3[#Headers],0),0), "No data were found")))</f>
        <v>1220</v>
      </c>
    </row>
    <row r="21" spans="1:8" x14ac:dyDescent="0.25">
      <c r="A21" s="2" t="s">
        <v>188</v>
      </c>
      <c r="B21" s="56" t="str">
        <f>IFERROR(VLOOKUP($A21,DataT1[], MATCH(B$1,DataT1[#Headers],0),0), IFERROR(VLOOKUP($A21,DataT2[], MATCH(B$1,DataT2[#Headers],0),0), IFERROR(VLOOKUP($A21,DataT3[], MATCH(B$1,DataT3[#Headers],0),0), "No data were found")))</f>
        <v>Paula</v>
      </c>
      <c r="C21" s="56" t="str">
        <f>IFERROR(VLOOKUP($A21,DataT1[], MATCH(C$1,DataT1[#Headers],0),0), IFERROR(VLOOKUP($A21,DataT2[], MATCH(C$1,DataT2[#Headers],0),0), IFERROR(VLOOKUP($A21,DataT3[], MATCH(C$1,DataT3[#Headers],0),0), "No data were found")))</f>
        <v>Robinson</v>
      </c>
      <c r="D21" s="263">
        <f>IFERROR(VLOOKUP($A21,DataT1[], MATCH(D$1,DataT1[#Headers],0),0), IFERROR(VLOOKUP($A21,DataT2[], MATCH(D$1,DataT2[#Headers],0),0), IFERROR(VLOOKUP($A21,DataT3[], MATCH(D$1,DataT3[#Headers],0),0), "No data were found")))</f>
        <v>35038</v>
      </c>
      <c r="E21" s="56">
        <f>IFERROR(VLOOKUP($A21,DataT1[], MATCH(E$1,DataT1[#Headers],0),0), IFERROR(VLOOKUP($A21,DataT2[], MATCH(E$1,DataT2[#Headers],0),0), IFERROR(VLOOKUP($A21,DataT3[], MATCH(E$1,DataT3[#Headers],0),0), "No data were found")))</f>
        <v>0</v>
      </c>
      <c r="F21" s="56">
        <f>IFERROR(VLOOKUP($A21,DataT1[], MATCH(F$1,DataT1[#Headers],0),0), IFERROR(VLOOKUP($A21,DataT2[], MATCH(F$1,DataT2[#Headers],0),0), IFERROR(VLOOKUP($A21,DataT3[], MATCH(F$1,DataT3[#Headers],0),0), "No data were found")))</f>
        <v>29.5</v>
      </c>
      <c r="G21" s="56">
        <f>IFERROR(VLOOKUP($A21,DataT1[], MATCH(G$1,DataT1[#Headers],0),0), IFERROR(VLOOKUP($A21,DataT2[], MATCH(G$1,DataT2[#Headers],0),0), IFERROR(VLOOKUP($A21,DataT3[], MATCH(G$1,DataT3[#Headers],0),0), "No data were found")))</f>
        <v>21.5</v>
      </c>
      <c r="H21" s="56">
        <f>IFERROR(VLOOKUP($A21,DataT1[], MATCH(H$1,DataT1[#Headers],0),0), IFERROR(VLOOKUP($A21,DataT2[], MATCH(H$1,DataT2[#Headers],0),0), IFERROR(VLOOKUP($A21,DataT3[], MATCH(H$1,DataT3[#Headers],0),0), "No data were found")))</f>
        <v>634.25</v>
      </c>
    </row>
    <row r="22" spans="1:8" x14ac:dyDescent="0.25">
      <c r="A22" s="2" t="s">
        <v>174</v>
      </c>
      <c r="B22" s="56" t="str">
        <f>IFERROR(VLOOKUP($A22,DataT1[], MATCH(B$1,DataT1[#Headers],0),0), IFERROR(VLOOKUP($A22,DataT2[], MATCH(B$1,DataT2[#Headers],0),0), IFERROR(VLOOKUP($A22,DataT3[], MATCH(B$1,DataT3[#Headers],0),0), "No data were found")))</f>
        <v>John</v>
      </c>
      <c r="C22" s="56" t="str">
        <f>IFERROR(VLOOKUP($A22,DataT1[], MATCH(C$1,DataT1[#Headers],0),0), IFERROR(VLOOKUP($A22,DataT2[], MATCH(C$1,DataT2[#Headers],0),0), IFERROR(VLOOKUP($A22,DataT3[], MATCH(C$1,DataT3[#Headers],0),0), "No data were found")))</f>
        <v>Jacobs</v>
      </c>
      <c r="D22" s="263">
        <f>IFERROR(VLOOKUP($A22,DataT1[], MATCH(D$1,DataT1[#Headers],0),0), IFERROR(VLOOKUP($A22,DataT2[], MATCH(D$1,DataT2[#Headers],0),0), IFERROR(VLOOKUP($A22,DataT3[], MATCH(D$1,DataT3[#Headers],0),0), "No data were found")))</f>
        <v>34609</v>
      </c>
      <c r="E22" s="56" t="str">
        <f>IFERROR(VLOOKUP($A22,DataT1[], MATCH(E$1,DataT1[#Headers],0),0), IFERROR(VLOOKUP($A22,DataT2[], MATCH(E$1,DataT2[#Headers],0),0), IFERROR(VLOOKUP($A22,DataT3[], MATCH(E$1,DataT3[#Headers],0),0), "No data were found")))</f>
        <v>DR</v>
      </c>
      <c r="F22" s="56">
        <f>IFERROR(VLOOKUP($A22,DataT1[], MATCH(F$1,DataT1[#Headers],0),0), IFERROR(VLOOKUP($A22,DataT2[], MATCH(F$1,DataT2[#Headers],0),0), IFERROR(VLOOKUP($A22,DataT3[], MATCH(F$1,DataT3[#Headers],0),0), "No data were found")))</f>
        <v>40</v>
      </c>
      <c r="G22" s="56">
        <f>IFERROR(VLOOKUP($A22,DataT1[], MATCH(G$1,DataT1[#Headers],0),0), IFERROR(VLOOKUP($A22,DataT2[], MATCH(G$1,DataT2[#Headers],0),0), IFERROR(VLOOKUP($A22,DataT3[], MATCH(G$1,DataT3[#Headers],0),0), "No data were found")))</f>
        <v>21.5</v>
      </c>
      <c r="H22" s="56">
        <f>IFERROR(VLOOKUP($A22,DataT1[], MATCH(H$1,DataT1[#Headers],0),0), IFERROR(VLOOKUP($A22,DataT2[], MATCH(H$1,DataT2[#Headers],0),0), IFERROR(VLOOKUP($A22,DataT3[], MATCH(H$1,DataT3[#Headers],0),0), "No data were found")))</f>
        <v>860</v>
      </c>
    </row>
    <row r="23" spans="1:8" x14ac:dyDescent="0.25">
      <c r="A23" s="2" t="s">
        <v>166</v>
      </c>
      <c r="B23" s="56" t="str">
        <f>IFERROR(VLOOKUP($A23,DataT1[], MATCH(B$1,DataT1[#Headers],0),0), IFERROR(VLOOKUP($A23,DataT2[], MATCH(B$1,DataT2[#Headers],0),0), IFERROR(VLOOKUP($A23,DataT3[], MATCH(B$1,DataT3[#Headers],0),0), "No data were found")))</f>
        <v>Holly</v>
      </c>
      <c r="C23" s="56" t="str">
        <f>IFERROR(VLOOKUP($A23,DataT1[], MATCH(C$1,DataT1[#Headers],0),0), IFERROR(VLOOKUP($A23,DataT2[], MATCH(C$1,DataT2[#Headers],0),0), IFERROR(VLOOKUP($A23,DataT3[], MATCH(C$1,DataT3[#Headers],0),0), "No data were found")))</f>
        <v>Taylor</v>
      </c>
      <c r="D23" s="263">
        <f>IFERROR(VLOOKUP($A23,DataT1[], MATCH(D$1,DataT1[#Headers],0),0), IFERROR(VLOOKUP($A23,DataT2[], MATCH(D$1,DataT2[#Headers],0),0), IFERROR(VLOOKUP($A23,DataT3[], MATCH(D$1,DataT3[#Headers],0),0), "No data were found")))</f>
        <v>33831</v>
      </c>
      <c r="E23" s="56" t="str">
        <f>IFERROR(VLOOKUP($A23,DataT1[], MATCH(E$1,DataT1[#Headers],0),0), IFERROR(VLOOKUP($A23,DataT2[], MATCH(E$1,DataT2[#Headers],0),0), IFERROR(VLOOKUP($A23,DataT3[], MATCH(E$1,DataT3[#Headers],0),0), "No data were found")))</f>
        <v>D</v>
      </c>
      <c r="F23" s="56">
        <f>IFERROR(VLOOKUP($A23,DataT1[], MATCH(F$1,DataT1[#Headers],0),0), IFERROR(VLOOKUP($A23,DataT2[], MATCH(F$1,DataT2[#Headers],0),0), IFERROR(VLOOKUP($A23,DataT3[], MATCH(F$1,DataT3[#Headers],0),0), "No data were found")))</f>
        <v>29.5</v>
      </c>
      <c r="G23" s="56">
        <f>IFERROR(VLOOKUP($A23,DataT1[], MATCH(G$1,DataT1[#Headers],0),0), IFERROR(VLOOKUP($A23,DataT2[], MATCH(G$1,DataT2[#Headers],0),0), IFERROR(VLOOKUP($A23,DataT3[], MATCH(G$1,DataT3[#Headers],0),0), "No data were found")))</f>
        <v>31.75</v>
      </c>
      <c r="H23" s="56">
        <f>IFERROR(VLOOKUP($A23,DataT1[], MATCH(H$1,DataT1[#Headers],0),0), IFERROR(VLOOKUP($A23,DataT2[], MATCH(H$1,DataT2[#Headers],0),0), IFERROR(VLOOKUP($A23,DataT3[], MATCH(H$1,DataT3[#Headers],0),0), "No data were found")))</f>
        <v>936.625</v>
      </c>
    </row>
    <row r="24" spans="1:8" x14ac:dyDescent="0.25">
      <c r="A24" s="2" t="s">
        <v>160</v>
      </c>
      <c r="B24" s="56" t="str">
        <f>IFERROR(VLOOKUP($A24,DataT1[], MATCH(B$1,DataT1[#Headers],0),0), IFERROR(VLOOKUP($A24,DataT2[], MATCH(B$1,DataT2[#Headers],0),0), IFERROR(VLOOKUP($A24,DataT3[], MATCH(B$1,DataT3[#Headers],0),0), "No data were found")))</f>
        <v>Esther</v>
      </c>
      <c r="C24" s="56" t="str">
        <f>IFERROR(VLOOKUP($A24,DataT1[], MATCH(C$1,DataT1[#Headers],0),0), IFERROR(VLOOKUP($A24,DataT2[], MATCH(C$1,DataT2[#Headers],0),0), IFERROR(VLOOKUP($A24,DataT3[], MATCH(C$1,DataT3[#Headers],0),0), "No data were found")))</f>
        <v>Williams</v>
      </c>
      <c r="D24" s="263">
        <f>IFERROR(VLOOKUP($A24,DataT1[], MATCH(D$1,DataT1[#Headers],0),0), IFERROR(VLOOKUP($A24,DataT2[], MATCH(D$1,DataT2[#Headers],0),0), IFERROR(VLOOKUP($A24,DataT3[], MATCH(D$1,DataT3[#Headers],0),0), "No data were found")))</f>
        <v>34679</v>
      </c>
      <c r="E24" s="56" t="str">
        <f>IFERROR(VLOOKUP($A24,DataT1[], MATCH(E$1,DataT1[#Headers],0),0), IFERROR(VLOOKUP($A24,DataT2[], MATCH(E$1,DataT2[#Headers],0),0), IFERROR(VLOOKUP($A24,DataT3[], MATCH(E$1,DataT3[#Headers],0),0), "No data were found")))</f>
        <v>R</v>
      </c>
      <c r="F24" s="56">
        <f>IFERROR(VLOOKUP($A24,DataT1[], MATCH(F$1,DataT1[#Headers],0),0), IFERROR(VLOOKUP($A24,DataT2[], MATCH(F$1,DataT2[#Headers],0),0), IFERROR(VLOOKUP($A24,DataT3[], MATCH(F$1,DataT3[#Headers],0),0), "No data were found")))</f>
        <v>40</v>
      </c>
      <c r="G24" s="56">
        <f>IFERROR(VLOOKUP($A24,DataT1[], MATCH(G$1,DataT1[#Headers],0),0), IFERROR(VLOOKUP($A24,DataT2[], MATCH(G$1,DataT2[#Headers],0),0), IFERROR(VLOOKUP($A24,DataT3[], MATCH(G$1,DataT3[#Headers],0),0), "No data were found")))</f>
        <v>34.5</v>
      </c>
      <c r="H24" s="56">
        <f>IFERROR(VLOOKUP($A24,DataT1[], MATCH(H$1,DataT1[#Headers],0),0), IFERROR(VLOOKUP($A24,DataT2[], MATCH(H$1,DataT2[#Headers],0),0), IFERROR(VLOOKUP($A24,DataT3[], MATCH(H$1,DataT3[#Headers],0),0), "No data were found")))</f>
        <v>1380</v>
      </c>
    </row>
    <row r="25" spans="1:8" x14ac:dyDescent="0.25">
      <c r="A25" s="2" t="s">
        <v>153</v>
      </c>
      <c r="B25" s="56" t="str">
        <f>IFERROR(VLOOKUP($A25,DataT1[], MATCH(B$1,DataT1[#Headers],0),0), IFERROR(VLOOKUP($A25,DataT2[], MATCH(B$1,DataT2[#Headers],0),0), IFERROR(VLOOKUP($A25,DataT3[], MATCH(B$1,DataT3[#Headers],0),0), "No data were found")))</f>
        <v>Marianne</v>
      </c>
      <c r="C25" s="56" t="str">
        <f>IFERROR(VLOOKUP($A25,DataT1[], MATCH(C$1,DataT1[#Headers],0),0), IFERROR(VLOOKUP($A25,DataT2[], MATCH(C$1,DataT2[#Headers],0),0), IFERROR(VLOOKUP($A25,DataT3[], MATCH(C$1,DataT3[#Headers],0),0), "No data were found")))</f>
        <v>Calvin</v>
      </c>
      <c r="D25" s="263">
        <f>IFERROR(VLOOKUP($A25,DataT1[], MATCH(D$1,DataT1[#Headers],0),0), IFERROR(VLOOKUP($A25,DataT2[], MATCH(D$1,DataT2[#Headers],0),0), IFERROR(VLOOKUP($A25,DataT3[], MATCH(D$1,DataT3[#Headers],0),0), "No data were found")))</f>
        <v>34171</v>
      </c>
      <c r="E25" s="56">
        <f>IFERROR(VLOOKUP($A25,DataT1[], MATCH(E$1,DataT1[#Headers],0),0), IFERROR(VLOOKUP($A25,DataT2[], MATCH(E$1,DataT2[#Headers],0),0), IFERROR(VLOOKUP($A25,DataT3[], MATCH(E$1,DataT3[#Headers],0),0), "No data were found")))</f>
        <v>0</v>
      </c>
      <c r="F25" s="56">
        <f>IFERROR(VLOOKUP($A25,DataT1[], MATCH(F$1,DataT1[#Headers],0),0), IFERROR(VLOOKUP($A25,DataT2[], MATCH(F$1,DataT2[#Headers],0),0), IFERROR(VLOOKUP($A25,DataT3[], MATCH(F$1,DataT3[#Headers],0),0), "No data were found")))</f>
        <v>40</v>
      </c>
      <c r="G25" s="56">
        <f>IFERROR(VLOOKUP($A25,DataT1[], MATCH(G$1,DataT1[#Headers],0),0), IFERROR(VLOOKUP($A25,DataT2[], MATCH(G$1,DataT2[#Headers],0),0), IFERROR(VLOOKUP($A25,DataT3[], MATCH(G$1,DataT3[#Headers],0),0), "No data were found")))</f>
        <v>30</v>
      </c>
      <c r="H25" s="56">
        <f>IFERROR(VLOOKUP($A25,DataT1[], MATCH(H$1,DataT1[#Headers],0),0), IFERROR(VLOOKUP($A25,DataT2[], MATCH(H$1,DataT2[#Headers],0),0), IFERROR(VLOOKUP($A25,DataT3[], MATCH(H$1,DataT3[#Headers],0),0), "No data were found")))</f>
        <v>1200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4"/>
  <dimension ref="F1:H20"/>
  <sheetViews>
    <sheetView topLeftCell="E1" zoomScale="120" zoomScaleNormal="120" workbookViewId="0">
      <selection activeCell="J1" sqref="J1"/>
    </sheetView>
  </sheetViews>
  <sheetFormatPr defaultColWidth="8.90625" defaultRowHeight="15" x14ac:dyDescent="0.25"/>
  <cols>
    <col min="1" max="5" width="8.90625" style="90"/>
    <col min="6" max="6" width="15.453125" style="90" bestFit="1" customWidth="1"/>
    <col min="7" max="7" width="13.6328125" style="90" customWidth="1"/>
    <col min="8" max="8" width="10.08984375" style="90" customWidth="1"/>
    <col min="9" max="16384" width="8.90625" style="90"/>
  </cols>
  <sheetData>
    <row r="1" spans="6:8" ht="62.4" x14ac:dyDescent="0.25">
      <c r="F1" s="201" t="s">
        <v>101</v>
      </c>
      <c r="G1" s="201" t="s">
        <v>100</v>
      </c>
      <c r="H1" s="201" t="s">
        <v>99</v>
      </c>
    </row>
    <row r="2" spans="6:8" x14ac:dyDescent="0.25">
      <c r="F2" s="137">
        <v>0</v>
      </c>
      <c r="G2" s="137">
        <v>2650</v>
      </c>
      <c r="H2" s="138">
        <v>0.15</v>
      </c>
    </row>
    <row r="3" spans="6:8" x14ac:dyDescent="0.25">
      <c r="F3" s="137">
        <v>2651</v>
      </c>
      <c r="G3" s="137">
        <v>27300</v>
      </c>
      <c r="H3" s="138">
        <v>0.28000000000000003</v>
      </c>
    </row>
    <row r="4" spans="6:8" x14ac:dyDescent="0.25">
      <c r="F4" s="137">
        <v>27301</v>
      </c>
      <c r="G4" s="137">
        <v>58500</v>
      </c>
      <c r="H4" s="138">
        <v>0.31</v>
      </c>
    </row>
    <row r="5" spans="6:8" x14ac:dyDescent="0.25">
      <c r="F5" s="137">
        <v>58501</v>
      </c>
      <c r="G5" s="137">
        <v>131800</v>
      </c>
      <c r="H5" s="138">
        <v>0.36</v>
      </c>
    </row>
    <row r="6" spans="6:8" x14ac:dyDescent="0.25">
      <c r="F6" s="137">
        <v>131801</v>
      </c>
      <c r="G6" s="137">
        <v>284700</v>
      </c>
      <c r="H6" s="138">
        <v>0.39600000000000002</v>
      </c>
    </row>
    <row r="7" spans="6:8" x14ac:dyDescent="0.25">
      <c r="F7" s="137">
        <v>284701</v>
      </c>
      <c r="G7" s="137"/>
      <c r="H7" s="138">
        <v>0.45250000000000001</v>
      </c>
    </row>
    <row r="8" spans="6:8" ht="15.6" thickBot="1" x14ac:dyDescent="0.3"/>
    <row r="9" spans="6:8" ht="15.6" x14ac:dyDescent="0.3">
      <c r="F9" s="135" t="s">
        <v>98</v>
      </c>
      <c r="G9" s="136">
        <v>56000</v>
      </c>
    </row>
    <row r="10" spans="6:8" ht="16.2" thickBot="1" x14ac:dyDescent="0.35">
      <c r="F10" s="265" t="s">
        <v>97</v>
      </c>
      <c r="G10" s="264">
        <f>VLOOKUP($G$9,$F$1:$H$7, 3,1)</f>
        <v>0.31</v>
      </c>
    </row>
    <row r="12" spans="6:8" ht="15.6" x14ac:dyDescent="0.3">
      <c r="F12" s="266" t="s">
        <v>835</v>
      </c>
      <c r="G12" s="271"/>
    </row>
    <row r="13" spans="6:8" x14ac:dyDescent="0.25">
      <c r="F13" s="267" t="s">
        <v>836</v>
      </c>
      <c r="G13" s="268"/>
    </row>
    <row r="20" spans="6:6" x14ac:dyDescent="0.25">
      <c r="F20" s="90" t="s">
        <v>550</v>
      </c>
    </row>
  </sheetData>
  <customSheetViews>
    <customSheetView guid="{BBE43EB8-AC5B-419E-90E4-72D0C525AF66}">
      <selection activeCell="G10" sqref="G10"/>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
  <dimension ref="A1:U21"/>
  <sheetViews>
    <sheetView topLeftCell="N1" zoomScale="120" zoomScaleNormal="120" workbookViewId="0">
      <selection activeCell="J22" sqref="J22"/>
    </sheetView>
  </sheetViews>
  <sheetFormatPr defaultColWidth="6.08984375" defaultRowHeight="13.8" x14ac:dyDescent="0.25"/>
  <cols>
    <col min="1" max="1" width="6.6328125" style="161" bestFit="1" customWidth="1"/>
    <col min="2" max="2" width="12.08984375" style="160" bestFit="1" customWidth="1"/>
    <col min="3" max="3" width="9.1796875" style="161" customWidth="1"/>
    <col min="4" max="4" width="7.453125" style="161" customWidth="1"/>
    <col min="5" max="5" width="7.1796875" style="161" bestFit="1" customWidth="1"/>
    <col min="6" max="6" width="8.6328125" style="161" customWidth="1"/>
    <col min="7" max="7" width="8.7265625" style="161" bestFit="1" customWidth="1"/>
    <col min="8" max="8" width="8.54296875" style="161" customWidth="1"/>
    <col min="9" max="9" width="6.08984375" style="160"/>
    <col min="10" max="10" width="11.08984375" style="161" customWidth="1"/>
    <col min="11" max="11" width="12.81640625" style="161" customWidth="1"/>
    <col min="12" max="12" width="6.36328125" style="161" customWidth="1"/>
    <col min="13" max="16384" width="6.08984375" style="160"/>
  </cols>
  <sheetData>
    <row r="1" spans="1:21" x14ac:dyDescent="0.25">
      <c r="A1" s="189" t="s">
        <v>81</v>
      </c>
      <c r="B1" s="190" t="s">
        <v>405</v>
      </c>
      <c r="C1" s="189" t="s">
        <v>96</v>
      </c>
      <c r="D1" s="189" t="s">
        <v>95</v>
      </c>
      <c r="E1" s="189" t="s">
        <v>94</v>
      </c>
      <c r="F1" s="189" t="s">
        <v>93</v>
      </c>
      <c r="G1" s="189" t="s">
        <v>92</v>
      </c>
      <c r="H1" s="189" t="s">
        <v>382</v>
      </c>
      <c r="J1" s="425" t="s">
        <v>510</v>
      </c>
      <c r="K1" s="426"/>
      <c r="L1" s="427"/>
    </row>
    <row r="2" spans="1:21" x14ac:dyDescent="0.25">
      <c r="A2" s="163">
        <v>1</v>
      </c>
      <c r="B2" s="164" t="s">
        <v>80</v>
      </c>
      <c r="C2" s="55">
        <v>45</v>
      </c>
      <c r="D2" s="55">
        <v>72</v>
      </c>
      <c r="E2" s="55">
        <v>65</v>
      </c>
      <c r="F2" s="55">
        <v>50</v>
      </c>
      <c r="G2" s="55">
        <v>78</v>
      </c>
      <c r="H2" s="163">
        <f>SUM(C2:G2)</f>
        <v>310</v>
      </c>
      <c r="J2" s="163">
        <v>0</v>
      </c>
      <c r="K2" s="163">
        <v>240</v>
      </c>
      <c r="L2" s="163" t="s">
        <v>4</v>
      </c>
    </row>
    <row r="3" spans="1:21" x14ac:dyDescent="0.25">
      <c r="A3" s="163">
        <v>2</v>
      </c>
      <c r="B3" s="164" t="s">
        <v>79</v>
      </c>
      <c r="C3" s="55">
        <v>75</v>
      </c>
      <c r="D3" s="55">
        <v>67</v>
      </c>
      <c r="E3" s="55">
        <v>89</v>
      </c>
      <c r="F3" s="55">
        <v>34</v>
      </c>
      <c r="G3" s="55">
        <v>58</v>
      </c>
      <c r="H3" s="163">
        <f t="shared" ref="H3:H21" si="0">SUM(C3:G3)</f>
        <v>323</v>
      </c>
      <c r="J3" s="163">
        <v>241</v>
      </c>
      <c r="K3" s="163">
        <v>360</v>
      </c>
      <c r="L3" s="163" t="s">
        <v>120</v>
      </c>
    </row>
    <row r="4" spans="1:21" x14ac:dyDescent="0.25">
      <c r="A4" s="163">
        <v>3</v>
      </c>
      <c r="B4" s="164" t="s">
        <v>78</v>
      </c>
      <c r="C4" s="55">
        <v>87</v>
      </c>
      <c r="D4" s="55">
        <v>65</v>
      </c>
      <c r="E4" s="55">
        <v>56</v>
      </c>
      <c r="F4" s="55">
        <v>56</v>
      </c>
      <c r="G4" s="55">
        <v>65</v>
      </c>
      <c r="H4" s="163">
        <f t="shared" si="0"/>
        <v>329</v>
      </c>
      <c r="J4" s="163">
        <v>361</v>
      </c>
      <c r="K4" s="163">
        <v>420</v>
      </c>
      <c r="L4" s="163" t="s">
        <v>511</v>
      </c>
    </row>
    <row r="5" spans="1:21" x14ac:dyDescent="0.25">
      <c r="A5" s="163">
        <v>4</v>
      </c>
      <c r="B5" s="164" t="s">
        <v>77</v>
      </c>
      <c r="C5" s="55">
        <v>67</v>
      </c>
      <c r="D5" s="55">
        <v>67</v>
      </c>
      <c r="E5" s="55">
        <v>75</v>
      </c>
      <c r="F5" s="55">
        <v>67</v>
      </c>
      <c r="G5" s="55">
        <v>66</v>
      </c>
      <c r="H5" s="163">
        <f t="shared" si="0"/>
        <v>342</v>
      </c>
      <c r="J5" s="163">
        <v>421</v>
      </c>
      <c r="K5" s="163">
        <v>480</v>
      </c>
      <c r="L5" s="163" t="s">
        <v>512</v>
      </c>
    </row>
    <row r="6" spans="1:21" x14ac:dyDescent="0.25">
      <c r="A6" s="163">
        <v>5</v>
      </c>
      <c r="B6" s="164" t="s">
        <v>76</v>
      </c>
      <c r="C6" s="55">
        <v>56</v>
      </c>
      <c r="D6" s="55">
        <v>77</v>
      </c>
      <c r="E6" s="55">
        <v>68</v>
      </c>
      <c r="F6" s="55">
        <v>64</v>
      </c>
      <c r="G6" s="55">
        <v>76</v>
      </c>
      <c r="H6" s="163">
        <f t="shared" si="0"/>
        <v>341</v>
      </c>
      <c r="J6" s="163">
        <v>481</v>
      </c>
      <c r="K6" s="163">
        <v>540</v>
      </c>
      <c r="L6" s="163" t="s">
        <v>513</v>
      </c>
    </row>
    <row r="7" spans="1:21" x14ac:dyDescent="0.25">
      <c r="A7" s="163">
        <v>6</v>
      </c>
      <c r="B7" s="164" t="s">
        <v>75</v>
      </c>
      <c r="C7" s="55">
        <v>68</v>
      </c>
      <c r="D7" s="55">
        <v>78</v>
      </c>
      <c r="E7" s="55">
        <v>97</v>
      </c>
      <c r="F7" s="55">
        <v>56</v>
      </c>
      <c r="G7" s="55">
        <v>89</v>
      </c>
      <c r="H7" s="163">
        <f t="shared" si="0"/>
        <v>388</v>
      </c>
      <c r="J7" s="163">
        <v>541</v>
      </c>
      <c r="K7" s="163">
        <v>600</v>
      </c>
      <c r="L7" s="163" t="s">
        <v>514</v>
      </c>
    </row>
    <row r="8" spans="1:21" x14ac:dyDescent="0.25">
      <c r="A8" s="163">
        <v>7</v>
      </c>
      <c r="B8" s="164" t="s">
        <v>74</v>
      </c>
      <c r="C8" s="55">
        <v>68</v>
      </c>
      <c r="D8" s="55">
        <v>68</v>
      </c>
      <c r="E8" s="55">
        <v>45</v>
      </c>
      <c r="F8" s="55">
        <v>45</v>
      </c>
      <c r="G8" s="55">
        <v>95</v>
      </c>
      <c r="H8" s="163">
        <f t="shared" si="0"/>
        <v>321</v>
      </c>
    </row>
    <row r="9" spans="1:21" x14ac:dyDescent="0.25">
      <c r="A9" s="163">
        <v>8</v>
      </c>
      <c r="B9" s="164" t="s">
        <v>73</v>
      </c>
      <c r="C9" s="55">
        <v>69</v>
      </c>
      <c r="D9" s="55">
        <v>76</v>
      </c>
      <c r="E9" s="55">
        <v>68</v>
      </c>
      <c r="F9" s="55">
        <v>87</v>
      </c>
      <c r="G9" s="55">
        <v>59</v>
      </c>
      <c r="H9" s="163">
        <f t="shared" si="0"/>
        <v>359</v>
      </c>
    </row>
    <row r="10" spans="1:21" x14ac:dyDescent="0.25">
      <c r="A10" s="163">
        <v>9</v>
      </c>
      <c r="B10" s="164" t="s">
        <v>72</v>
      </c>
      <c r="C10" s="55">
        <v>79</v>
      </c>
      <c r="D10" s="55">
        <v>86</v>
      </c>
      <c r="E10" s="55">
        <v>56</v>
      </c>
      <c r="F10" s="55">
        <v>75</v>
      </c>
      <c r="G10" s="55">
        <v>78</v>
      </c>
      <c r="H10" s="163">
        <f t="shared" si="0"/>
        <v>374</v>
      </c>
    </row>
    <row r="11" spans="1:21" ht="17.399999999999999" x14ac:dyDescent="0.25">
      <c r="A11" s="163">
        <v>10</v>
      </c>
      <c r="B11" s="164" t="s">
        <v>71</v>
      </c>
      <c r="C11" s="55">
        <v>89</v>
      </c>
      <c r="D11" s="55">
        <v>67</v>
      </c>
      <c r="E11" s="55">
        <v>77</v>
      </c>
      <c r="F11" s="55">
        <v>76</v>
      </c>
      <c r="G11" s="55">
        <v>77</v>
      </c>
      <c r="H11" s="163">
        <f t="shared" si="0"/>
        <v>386</v>
      </c>
      <c r="K11" s="162" t="s">
        <v>679</v>
      </c>
      <c r="M11" s="431" t="s">
        <v>841</v>
      </c>
      <c r="N11" s="432"/>
      <c r="O11" s="432"/>
      <c r="P11" s="432"/>
      <c r="Q11" s="432"/>
      <c r="R11" s="432"/>
      <c r="S11" s="432"/>
      <c r="T11" s="432"/>
      <c r="U11" s="433"/>
    </row>
    <row r="12" spans="1:21" x14ac:dyDescent="0.25">
      <c r="A12" s="163">
        <v>11</v>
      </c>
      <c r="B12" s="164" t="s">
        <v>91</v>
      </c>
      <c r="C12" s="55">
        <v>45</v>
      </c>
      <c r="D12" s="55">
        <v>72</v>
      </c>
      <c r="E12" s="55">
        <v>65</v>
      </c>
      <c r="F12" s="55">
        <v>50</v>
      </c>
      <c r="G12" s="55">
        <v>78</v>
      </c>
      <c r="H12" s="163">
        <f t="shared" si="0"/>
        <v>310</v>
      </c>
      <c r="J12" s="165" t="s">
        <v>88</v>
      </c>
      <c r="K12" s="166" t="str">
        <f>VLOOKUP($K$13,$J$1:$L$7,3,1)</f>
        <v>D</v>
      </c>
      <c r="L12" s="161" t="s">
        <v>840</v>
      </c>
      <c r="M12" s="434" t="s">
        <v>838</v>
      </c>
      <c r="N12" s="435"/>
      <c r="O12" s="435"/>
      <c r="P12" s="435"/>
      <c r="Q12" s="435"/>
      <c r="R12" s="435"/>
      <c r="S12" s="435"/>
      <c r="T12" s="435"/>
      <c r="U12" s="436"/>
    </row>
    <row r="13" spans="1:21" x14ac:dyDescent="0.25">
      <c r="A13" s="163">
        <v>12</v>
      </c>
      <c r="B13" s="164" t="s">
        <v>90</v>
      </c>
      <c r="C13" s="55">
        <v>75</v>
      </c>
      <c r="D13" s="55">
        <v>67</v>
      </c>
      <c r="E13" s="55">
        <v>89</v>
      </c>
      <c r="F13" s="55">
        <v>34</v>
      </c>
      <c r="G13" s="55">
        <v>58</v>
      </c>
      <c r="H13" s="163">
        <f t="shared" si="0"/>
        <v>323</v>
      </c>
      <c r="J13" s="163" t="s">
        <v>382</v>
      </c>
      <c r="K13" s="163">
        <f>VLOOKUP($J$12,$B$1:$H$21,MATCH($J$13,$B$1:$H$1,0),0)</f>
        <v>342</v>
      </c>
      <c r="L13" s="161" t="s">
        <v>840</v>
      </c>
      <c r="M13" s="437" t="s">
        <v>837</v>
      </c>
      <c r="N13" s="438"/>
      <c r="O13" s="438"/>
      <c r="P13" s="438"/>
      <c r="Q13" s="438"/>
      <c r="R13" s="438"/>
      <c r="S13" s="438"/>
      <c r="T13" s="438"/>
      <c r="U13" s="439"/>
    </row>
    <row r="14" spans="1:21" x14ac:dyDescent="0.25">
      <c r="A14" s="163">
        <v>13</v>
      </c>
      <c r="B14" s="164" t="s">
        <v>89</v>
      </c>
      <c r="C14" s="55">
        <v>87</v>
      </c>
      <c r="D14" s="55">
        <v>65</v>
      </c>
      <c r="E14" s="55">
        <v>56</v>
      </c>
      <c r="F14" s="55">
        <v>56</v>
      </c>
      <c r="G14" s="55">
        <v>65</v>
      </c>
      <c r="H14" s="163">
        <f t="shared" si="0"/>
        <v>329</v>
      </c>
      <c r="J14" s="160"/>
      <c r="K14" s="160"/>
      <c r="M14" s="273"/>
      <c r="U14" s="272"/>
    </row>
    <row r="15" spans="1:21" x14ac:dyDescent="0.25">
      <c r="A15" s="163">
        <v>14</v>
      </c>
      <c r="B15" s="164" t="s">
        <v>88</v>
      </c>
      <c r="C15" s="55">
        <v>67</v>
      </c>
      <c r="D15" s="55">
        <v>67</v>
      </c>
      <c r="E15" s="55">
        <v>75</v>
      </c>
      <c r="F15" s="55">
        <v>67</v>
      </c>
      <c r="G15" s="55">
        <v>66</v>
      </c>
      <c r="H15" s="163">
        <f t="shared" si="0"/>
        <v>342</v>
      </c>
      <c r="J15" s="160"/>
      <c r="K15" s="160"/>
      <c r="M15" s="273"/>
      <c r="U15" s="272"/>
    </row>
    <row r="16" spans="1:21" x14ac:dyDescent="0.25">
      <c r="A16" s="163">
        <v>15</v>
      </c>
      <c r="B16" s="164" t="s">
        <v>87</v>
      </c>
      <c r="C16" s="55">
        <v>56</v>
      </c>
      <c r="D16" s="55">
        <v>77</v>
      </c>
      <c r="E16" s="55">
        <v>68</v>
      </c>
      <c r="F16" s="55">
        <v>64</v>
      </c>
      <c r="G16" s="55">
        <v>76</v>
      </c>
      <c r="H16" s="163">
        <f t="shared" si="0"/>
        <v>341</v>
      </c>
      <c r="K16" s="162" t="s">
        <v>679</v>
      </c>
      <c r="M16" s="273"/>
      <c r="U16" s="272"/>
    </row>
    <row r="17" spans="1:21" x14ac:dyDescent="0.25">
      <c r="A17" s="163">
        <v>16</v>
      </c>
      <c r="B17" s="164" t="s">
        <v>86</v>
      </c>
      <c r="C17" s="55">
        <v>68</v>
      </c>
      <c r="D17" s="55">
        <v>78</v>
      </c>
      <c r="E17" s="55">
        <v>97</v>
      </c>
      <c r="F17" s="55">
        <v>56</v>
      </c>
      <c r="G17" s="55">
        <v>89</v>
      </c>
      <c r="H17" s="163">
        <f t="shared" si="0"/>
        <v>388</v>
      </c>
      <c r="J17" s="165" t="s">
        <v>88</v>
      </c>
      <c r="K17" s="166" t="str">
        <f>VLOOKUP(VLOOKUP($J$17,$B$1:$H$21,7,0),$J$2:$L$7, 3,1)</f>
        <v>D</v>
      </c>
      <c r="L17" s="161" t="s">
        <v>840</v>
      </c>
      <c r="M17" s="428" t="s">
        <v>839</v>
      </c>
      <c r="N17" s="429"/>
      <c r="O17" s="429"/>
      <c r="P17" s="429"/>
      <c r="Q17" s="429"/>
      <c r="R17" s="429"/>
      <c r="S17" s="429"/>
      <c r="T17" s="429"/>
      <c r="U17" s="430"/>
    </row>
    <row r="18" spans="1:21" x14ac:dyDescent="0.25">
      <c r="A18" s="163">
        <v>17</v>
      </c>
      <c r="B18" s="164" t="s">
        <v>85</v>
      </c>
      <c r="C18" s="55">
        <v>68</v>
      </c>
      <c r="D18" s="55">
        <v>68</v>
      </c>
      <c r="E18" s="55">
        <v>45</v>
      </c>
      <c r="F18" s="55">
        <v>45</v>
      </c>
      <c r="G18" s="55">
        <v>95</v>
      </c>
      <c r="H18" s="163">
        <f t="shared" si="0"/>
        <v>321</v>
      </c>
    </row>
    <row r="19" spans="1:21" x14ac:dyDescent="0.25">
      <c r="A19" s="163">
        <v>18</v>
      </c>
      <c r="B19" s="164" t="s">
        <v>84</v>
      </c>
      <c r="C19" s="55">
        <v>69</v>
      </c>
      <c r="D19" s="55">
        <v>76</v>
      </c>
      <c r="E19" s="55" t="s">
        <v>550</v>
      </c>
      <c r="F19" s="55">
        <v>87</v>
      </c>
      <c r="G19" s="55">
        <v>59</v>
      </c>
      <c r="H19" s="163">
        <f t="shared" si="0"/>
        <v>291</v>
      </c>
    </row>
    <row r="20" spans="1:21" x14ac:dyDescent="0.25">
      <c r="A20" s="163">
        <v>19</v>
      </c>
      <c r="B20" s="164" t="s">
        <v>83</v>
      </c>
      <c r="C20" s="55">
        <v>79</v>
      </c>
      <c r="D20" s="55">
        <v>86</v>
      </c>
      <c r="E20" s="55">
        <v>56</v>
      </c>
      <c r="F20" s="55">
        <v>75</v>
      </c>
      <c r="G20" s="55">
        <v>78</v>
      </c>
      <c r="H20" s="163">
        <f t="shared" si="0"/>
        <v>374</v>
      </c>
    </row>
    <row r="21" spans="1:21" x14ac:dyDescent="0.25">
      <c r="A21" s="163">
        <v>20</v>
      </c>
      <c r="B21" s="164" t="s">
        <v>82</v>
      </c>
      <c r="C21" s="55">
        <v>99</v>
      </c>
      <c r="D21" s="55">
        <v>99</v>
      </c>
      <c r="E21" s="55">
        <v>99</v>
      </c>
      <c r="F21" s="55">
        <v>99</v>
      </c>
      <c r="G21" s="55">
        <v>99</v>
      </c>
      <c r="H21" s="163">
        <f t="shared" si="0"/>
        <v>495</v>
      </c>
    </row>
  </sheetData>
  <sheetProtection selectLockedCells="1"/>
  <customSheetViews>
    <customSheetView guid="{BBE43EB8-AC5B-419E-90E4-72D0C525AF66}">
      <pageMargins left="0.7" right="0.7" top="0.75" bottom="0.75" header="0.3" footer="0.3"/>
    </customSheetView>
  </customSheetViews>
  <mergeCells count="5">
    <mergeCell ref="J1:L1"/>
    <mergeCell ref="M17:U17"/>
    <mergeCell ref="M11:U11"/>
    <mergeCell ref="M12:U12"/>
    <mergeCell ref="M13:U13"/>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FB90A-6A54-4619-B79F-FDCF6816B7D2}">
  <dimension ref="A1:E21"/>
  <sheetViews>
    <sheetView topLeftCell="A5" zoomScale="130" zoomScaleNormal="130" workbookViewId="0">
      <selection activeCell="A21" sqref="A21"/>
    </sheetView>
  </sheetViews>
  <sheetFormatPr defaultRowHeight="15" x14ac:dyDescent="0.25"/>
  <cols>
    <col min="1" max="1" width="17.81640625" customWidth="1"/>
    <col min="2" max="2" width="32" customWidth="1"/>
    <col min="3" max="3" width="14.26953125" customWidth="1"/>
    <col min="4" max="4" width="10.90625" customWidth="1"/>
    <col min="5" max="5" width="14.90625" customWidth="1"/>
  </cols>
  <sheetData>
    <row r="1" spans="1:5" ht="15.6" x14ac:dyDescent="0.25">
      <c r="A1" s="53" t="s">
        <v>744</v>
      </c>
      <c r="B1" s="53" t="s">
        <v>742</v>
      </c>
      <c r="C1" s="53" t="s">
        <v>36</v>
      </c>
      <c r="D1" s="53" t="s">
        <v>746</v>
      </c>
      <c r="E1" s="53" t="s">
        <v>743</v>
      </c>
    </row>
    <row r="2" spans="1:5" x14ac:dyDescent="0.25">
      <c r="A2" s="54">
        <v>1</v>
      </c>
      <c r="B2" s="54" t="s">
        <v>745</v>
      </c>
      <c r="C2" s="54" t="s">
        <v>751</v>
      </c>
      <c r="D2" s="54" t="s">
        <v>756</v>
      </c>
      <c r="E2" s="54" t="s">
        <v>760</v>
      </c>
    </row>
    <row r="3" spans="1:5" x14ac:dyDescent="0.25">
      <c r="A3" s="54">
        <v>2</v>
      </c>
      <c r="B3" s="54" t="s">
        <v>747</v>
      </c>
      <c r="C3" s="54" t="s">
        <v>752</v>
      </c>
      <c r="D3" s="54" t="s">
        <v>757</v>
      </c>
      <c r="E3" s="54" t="s">
        <v>761</v>
      </c>
    </row>
    <row r="4" spans="1:5" x14ac:dyDescent="0.25">
      <c r="A4" s="54">
        <v>3</v>
      </c>
      <c r="B4" s="54" t="s">
        <v>748</v>
      </c>
      <c r="C4" s="54" t="s">
        <v>753</v>
      </c>
      <c r="D4" s="54" t="s">
        <v>758</v>
      </c>
      <c r="E4" s="54" t="s">
        <v>760</v>
      </c>
    </row>
    <row r="5" spans="1:5" x14ac:dyDescent="0.25">
      <c r="A5" s="54">
        <v>4</v>
      </c>
      <c r="B5" s="54" t="s">
        <v>749</v>
      </c>
      <c r="C5" s="54" t="s">
        <v>754</v>
      </c>
      <c r="D5" s="54" t="s">
        <v>438</v>
      </c>
      <c r="E5" s="54" t="s">
        <v>762</v>
      </c>
    </row>
    <row r="6" spans="1:5" x14ac:dyDescent="0.25">
      <c r="A6" s="54">
        <v>5</v>
      </c>
      <c r="B6" s="54" t="s">
        <v>750</v>
      </c>
      <c r="C6" s="54" t="s">
        <v>755</v>
      </c>
      <c r="D6" s="54" t="s">
        <v>759</v>
      </c>
      <c r="E6" s="54" t="s">
        <v>763</v>
      </c>
    </row>
    <row r="7" spans="1:5" x14ac:dyDescent="0.25">
      <c r="A7" s="52"/>
      <c r="B7" s="52"/>
      <c r="C7" s="52"/>
      <c r="D7" s="52"/>
      <c r="E7" s="52"/>
    </row>
    <row r="8" spans="1:5" x14ac:dyDescent="0.25">
      <c r="A8" s="52"/>
      <c r="B8" s="52"/>
    </row>
    <row r="9" spans="1:5" ht="15.6" x14ac:dyDescent="0.25">
      <c r="A9" s="52"/>
      <c r="B9" s="95" t="s">
        <v>744</v>
      </c>
      <c r="C9" s="203">
        <v>3</v>
      </c>
      <c r="D9" s="52"/>
    </row>
    <row r="10" spans="1:5" x14ac:dyDescent="0.25">
      <c r="A10" s="52"/>
      <c r="C10" s="52"/>
      <c r="D10" s="52"/>
    </row>
    <row r="11" spans="1:5" ht="15.6" x14ac:dyDescent="0.25">
      <c r="B11" s="95" t="s">
        <v>742</v>
      </c>
      <c r="C11" s="95" t="s">
        <v>746</v>
      </c>
      <c r="D11" s="95" t="s">
        <v>743</v>
      </c>
      <c r="E11" s="95" t="s">
        <v>36</v>
      </c>
    </row>
    <row r="12" spans="1:5" x14ac:dyDescent="0.25">
      <c r="B12" s="132" t="str">
        <f>INDEX($A$2:$E$6,$C$9, MATCH(B$11,$A$1:$E$1,0))</f>
        <v>Dell Lattitude</v>
      </c>
      <c r="C12" s="132" t="str">
        <f t="shared" ref="C12:E12" si="0">INDEX($A$2:$E$6,$C$9, MATCH(C$11,$A$1:$E$1,0))</f>
        <v>Dell</v>
      </c>
      <c r="D12" s="132" t="str">
        <f t="shared" si="0"/>
        <v>India</v>
      </c>
      <c r="E12" s="132" t="str">
        <f t="shared" si="0"/>
        <v>350K</v>
      </c>
    </row>
    <row r="14" spans="1:5" ht="15.6" x14ac:dyDescent="0.3">
      <c r="B14" s="274" t="s">
        <v>841</v>
      </c>
    </row>
    <row r="15" spans="1:5" x14ac:dyDescent="0.25">
      <c r="B15" s="120" t="s">
        <v>846</v>
      </c>
    </row>
    <row r="17" spans="1:5" ht="15.6" x14ac:dyDescent="0.3">
      <c r="B17" s="274" t="s">
        <v>847</v>
      </c>
    </row>
    <row r="18" spans="1:5" x14ac:dyDescent="0.25">
      <c r="B18" s="120" t="s">
        <v>848</v>
      </c>
    </row>
    <row r="20" spans="1:5" ht="15.6" x14ac:dyDescent="0.25">
      <c r="A20" s="95" t="s">
        <v>742</v>
      </c>
      <c r="B20" s="95" t="s">
        <v>744</v>
      </c>
      <c r="C20" s="95" t="s">
        <v>746</v>
      </c>
      <c r="D20" s="95" t="s">
        <v>743</v>
      </c>
      <c r="E20" s="95" t="s">
        <v>36</v>
      </c>
    </row>
    <row r="21" spans="1:5" ht="15.6" x14ac:dyDescent="0.3">
      <c r="A21" s="275" t="s">
        <v>745</v>
      </c>
      <c r="B21" s="132">
        <f>INDEX($A$2:$E$6, MATCH($A$21,$B$2:$B$6,0), MATCH(B$20,$A$1:$E$1,0))</f>
        <v>1</v>
      </c>
      <c r="C21" s="132" t="str">
        <f t="shared" ref="C21:E21" si="1">INDEX($A$2:$E$6, MATCH($A$21,$B$2:$B$6,0), MATCH(C$20,$A$1:$E$1,0))</f>
        <v>Samsung</v>
      </c>
      <c r="D21" s="132" t="str">
        <f t="shared" si="1"/>
        <v>India</v>
      </c>
      <c r="E21" s="132" t="str">
        <f t="shared" si="1"/>
        <v>250K</v>
      </c>
    </row>
  </sheetData>
  <dataValidations count="2">
    <dataValidation type="list" allowBlank="1" showInputMessage="1" showErrorMessage="1" sqref="C9" xr:uid="{D79E0183-70A1-45EA-8A5C-91FEC8387793}">
      <formula1>$A$2:$A$6</formula1>
    </dataValidation>
    <dataValidation type="list" allowBlank="1" showInputMessage="1" showErrorMessage="1" sqref="A21" xr:uid="{F9E1D2D0-9569-4013-93BA-34A1B81BADDB}">
      <formula1>$B$2:$B$6</formula1>
    </dataValidation>
  </dataValidation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2:I43"/>
  <sheetViews>
    <sheetView topLeftCell="C19" zoomScale="120" zoomScaleNormal="120" workbookViewId="0">
      <selection activeCell="I16" sqref="I16"/>
    </sheetView>
  </sheetViews>
  <sheetFormatPr defaultColWidth="8.7265625" defaultRowHeight="15" x14ac:dyDescent="0.25"/>
  <cols>
    <col min="1" max="1" width="13.90625" style="92" customWidth="1"/>
    <col min="2" max="2" width="34.1796875" style="92" bestFit="1" customWidth="1"/>
    <col min="3" max="3" width="28.26953125" style="92" bestFit="1" customWidth="1"/>
    <col min="4" max="4" width="17.6328125" style="92" bestFit="1" customWidth="1"/>
    <col min="5" max="5" width="12.90625" style="92" customWidth="1"/>
    <col min="6" max="6" width="18.54296875" style="92" bestFit="1" customWidth="1"/>
    <col min="7" max="7" width="32" style="92" bestFit="1" customWidth="1"/>
    <col min="8" max="16384" width="8.7265625" style="92"/>
  </cols>
  <sheetData>
    <row r="2" spans="1:9" ht="15.6" x14ac:dyDescent="0.25">
      <c r="A2" s="95" t="s">
        <v>572</v>
      </c>
      <c r="B2" s="95" t="s">
        <v>417</v>
      </c>
      <c r="C2" s="95" t="s">
        <v>418</v>
      </c>
      <c r="D2" s="95" t="s">
        <v>518</v>
      </c>
      <c r="F2" s="95" t="s">
        <v>770</v>
      </c>
      <c r="G2" s="280">
        <f ca="1">NOW()</f>
        <v>45222.655098842595</v>
      </c>
    </row>
    <row r="3" spans="1:9" ht="15.6" x14ac:dyDescent="0.25">
      <c r="A3" s="54">
        <v>5</v>
      </c>
      <c r="B3" s="54">
        <v>6</v>
      </c>
      <c r="C3" s="54">
        <v>2010</v>
      </c>
      <c r="D3" s="94">
        <f>DATE($C3,$B3,$A3)</f>
        <v>40334</v>
      </c>
      <c r="F3" s="95" t="s">
        <v>769</v>
      </c>
      <c r="G3" s="279">
        <f ca="1">TODAY()</f>
        <v>45222</v>
      </c>
    </row>
    <row r="4" spans="1:9" x14ac:dyDescent="0.25">
      <c r="A4" s="54">
        <v>9</v>
      </c>
      <c r="B4" s="54">
        <v>9</v>
      </c>
      <c r="C4" s="54">
        <v>2010</v>
      </c>
      <c r="D4" s="94">
        <f>DATE($C4,$B4,$A4)</f>
        <v>40430</v>
      </c>
      <c r="F4" s="93"/>
      <c r="G4" s="93"/>
    </row>
    <row r="5" spans="1:9" ht="15.6" x14ac:dyDescent="0.25">
      <c r="F5" s="95" t="s">
        <v>418</v>
      </c>
      <c r="G5" s="204">
        <f ca="1">YEAR(G2)</f>
        <v>2023</v>
      </c>
    </row>
    <row r="6" spans="1:9" ht="15.6" x14ac:dyDescent="0.25">
      <c r="F6" s="95" t="s">
        <v>417</v>
      </c>
      <c r="G6" s="204">
        <f ca="1">MONTH(G2)</f>
        <v>10</v>
      </c>
    </row>
    <row r="7" spans="1:9" ht="15.6" x14ac:dyDescent="0.25">
      <c r="A7" s="95" t="s">
        <v>518</v>
      </c>
      <c r="B7" s="95" t="s">
        <v>572</v>
      </c>
      <c r="C7" s="95" t="s">
        <v>417</v>
      </c>
      <c r="D7" s="95" t="s">
        <v>418</v>
      </c>
      <c r="F7" s="95" t="s">
        <v>572</v>
      </c>
      <c r="G7" s="204">
        <f ca="1">DAY(G2)</f>
        <v>23</v>
      </c>
    </row>
    <row r="8" spans="1:9" ht="15.6" x14ac:dyDescent="0.25">
      <c r="A8" s="94">
        <v>41100</v>
      </c>
      <c r="B8" s="54">
        <f>DAY($A8)</f>
        <v>10</v>
      </c>
      <c r="C8" s="54">
        <f>MONTH($A8)</f>
        <v>7</v>
      </c>
      <c r="D8" s="54">
        <f>YEAR($A8)</f>
        <v>2012</v>
      </c>
      <c r="F8" s="95" t="s">
        <v>771</v>
      </c>
      <c r="G8" s="204">
        <f ca="1">HOUR(G2)</f>
        <v>15</v>
      </c>
    </row>
    <row r="9" spans="1:9" ht="15.6" x14ac:dyDescent="0.25">
      <c r="A9" s="94">
        <v>41167</v>
      </c>
      <c r="B9" s="54">
        <f>DAY($A9)</f>
        <v>15</v>
      </c>
      <c r="C9" s="54">
        <f>MONTH($A9)</f>
        <v>9</v>
      </c>
      <c r="D9" s="54">
        <f>YEAR($A9)</f>
        <v>2012</v>
      </c>
      <c r="F9" s="95" t="s">
        <v>772</v>
      </c>
      <c r="G9" s="204">
        <f ca="1">MINUTE(G2)</f>
        <v>43</v>
      </c>
    </row>
    <row r="10" spans="1:9" ht="15.6" x14ac:dyDescent="0.25">
      <c r="A10" s="94">
        <v>26954</v>
      </c>
      <c r="B10" s="54">
        <f>DAY($A10)</f>
        <v>17</v>
      </c>
      <c r="C10" s="54">
        <f>MONTH($A10)</f>
        <v>10</v>
      </c>
      <c r="D10" s="54">
        <f>YEAR($A10)</f>
        <v>1973</v>
      </c>
      <c r="F10" s="95" t="s">
        <v>773</v>
      </c>
      <c r="G10" s="204">
        <f ca="1">SECOND(G2)</f>
        <v>21</v>
      </c>
    </row>
    <row r="12" spans="1:9" ht="15.6" x14ac:dyDescent="0.25">
      <c r="F12" s="95" t="s">
        <v>899</v>
      </c>
      <c r="G12" s="95" t="s">
        <v>418</v>
      </c>
      <c r="H12" s="95" t="s">
        <v>417</v>
      </c>
      <c r="I12" s="95" t="s">
        <v>572</v>
      </c>
    </row>
    <row r="13" spans="1:9" ht="15.6" x14ac:dyDescent="0.25">
      <c r="A13" s="95" t="s">
        <v>849</v>
      </c>
      <c r="B13" s="95" t="s">
        <v>870</v>
      </c>
      <c r="C13" s="95" t="s">
        <v>871</v>
      </c>
      <c r="D13" s="95" t="s">
        <v>909</v>
      </c>
      <c r="F13" s="278">
        <v>36388</v>
      </c>
      <c r="G13" s="204">
        <f ca="1">DATEDIF(F13,TODAY(),"Y")</f>
        <v>24</v>
      </c>
      <c r="H13" s="204">
        <f ca="1">DATEDIF(F13,TODAY(), "YM")</f>
        <v>2</v>
      </c>
      <c r="I13" s="204">
        <f ca="1">DATEDIF(F13,TODAY(),"MD")</f>
        <v>7</v>
      </c>
    </row>
    <row r="14" spans="1:9" ht="15.6" x14ac:dyDescent="0.25">
      <c r="A14" s="204" t="s">
        <v>850</v>
      </c>
      <c r="B14" s="282" t="s">
        <v>863</v>
      </c>
      <c r="C14" s="204"/>
      <c r="D14" s="279">
        <f>DATE(2090,1,26)</f>
        <v>69424</v>
      </c>
      <c r="F14" s="278" t="s">
        <v>382</v>
      </c>
      <c r="G14" s="204" t="str">
        <f ca="1">G13&amp;" Years " &amp; H13&amp;" Months and " &amp; I13&amp;" Days"</f>
        <v>24 Years 2 Months and 7 Days</v>
      </c>
    </row>
    <row r="15" spans="1:9" ht="15.6" x14ac:dyDescent="0.25">
      <c r="A15" s="204" t="s">
        <v>851</v>
      </c>
      <c r="B15" s="204" t="s">
        <v>864</v>
      </c>
      <c r="C15" s="204"/>
      <c r="D15" s="204">
        <f>DAY(D14)</f>
        <v>26</v>
      </c>
      <c r="G15" s="204" t="s">
        <v>900</v>
      </c>
    </row>
    <row r="16" spans="1:9" x14ac:dyDescent="0.25">
      <c r="A16" s="204" t="s">
        <v>852</v>
      </c>
      <c r="B16" s="204" t="s">
        <v>865</v>
      </c>
      <c r="C16" s="204"/>
      <c r="D16" s="204">
        <f>MONTH(D14)</f>
        <v>1</v>
      </c>
    </row>
    <row r="17" spans="1:6" x14ac:dyDescent="0.25">
      <c r="A17" s="204" t="s">
        <v>853</v>
      </c>
      <c r="B17" s="204" t="s">
        <v>866</v>
      </c>
      <c r="C17" s="204"/>
      <c r="D17" s="204">
        <f>YEAR(D14)</f>
        <v>2090</v>
      </c>
    </row>
    <row r="18" spans="1:6" x14ac:dyDescent="0.25">
      <c r="A18" s="204" t="s">
        <v>854</v>
      </c>
      <c r="B18" s="204" t="s">
        <v>867</v>
      </c>
      <c r="C18" s="204"/>
      <c r="D18" s="204"/>
    </row>
    <row r="19" spans="1:6" x14ac:dyDescent="0.25">
      <c r="A19" s="204" t="s">
        <v>855</v>
      </c>
      <c r="B19" s="204" t="s">
        <v>868</v>
      </c>
      <c r="C19" s="204"/>
      <c r="D19" s="204"/>
    </row>
    <row r="20" spans="1:6" x14ac:dyDescent="0.25">
      <c r="A20" s="204" t="s">
        <v>860</v>
      </c>
      <c r="B20" s="204" t="s">
        <v>869</v>
      </c>
      <c r="C20" s="204"/>
      <c r="D20" s="204"/>
    </row>
    <row r="21" spans="1:6" x14ac:dyDescent="0.25">
      <c r="A21" s="204" t="s">
        <v>856</v>
      </c>
      <c r="B21" s="279" t="s">
        <v>861</v>
      </c>
      <c r="C21" s="204"/>
      <c r="D21" s="204"/>
    </row>
    <row r="22" spans="1:6" x14ac:dyDescent="0.25">
      <c r="A22" s="204" t="s">
        <v>857</v>
      </c>
      <c r="B22" s="205" t="s">
        <v>862</v>
      </c>
      <c r="C22" s="287" t="s">
        <v>872</v>
      </c>
      <c r="D22" s="204"/>
    </row>
    <row r="23" spans="1:6" ht="15.6" x14ac:dyDescent="0.25">
      <c r="A23" s="204" t="s">
        <v>858</v>
      </c>
      <c r="B23" s="289" t="s">
        <v>880</v>
      </c>
      <c r="C23" s="288" t="s">
        <v>908</v>
      </c>
      <c r="D23" s="286">
        <f>DATEDIF(E23,F23,"M")</f>
        <v>6</v>
      </c>
      <c r="E23" s="284">
        <v>69424</v>
      </c>
      <c r="F23" s="279">
        <v>69625</v>
      </c>
    </row>
    <row r="24" spans="1:6" ht="15.6" customHeight="1" x14ac:dyDescent="0.25">
      <c r="A24" s="204" t="s">
        <v>859</v>
      </c>
      <c r="B24" s="285" t="s">
        <v>873</v>
      </c>
      <c r="C24" s="276" t="s">
        <v>906</v>
      </c>
      <c r="D24" s="204" t="str">
        <f>TEXT(D14,"MMMM")</f>
        <v>January</v>
      </c>
    </row>
    <row r="25" spans="1:6" ht="15" customHeight="1" x14ac:dyDescent="0.25">
      <c r="A25" s="283"/>
      <c r="C25" s="276" t="s">
        <v>907</v>
      </c>
      <c r="D25" s="204" t="str">
        <f>TEXT(D14,"DDDD")</f>
        <v>Thursday</v>
      </c>
    </row>
    <row r="26" spans="1:6" ht="15" customHeight="1" x14ac:dyDescent="0.25">
      <c r="C26" s="277" t="s">
        <v>911</v>
      </c>
    </row>
    <row r="27" spans="1:6" ht="15" customHeight="1" x14ac:dyDescent="0.25"/>
    <row r="29" spans="1:6" ht="15.6" x14ac:dyDescent="0.25">
      <c r="A29" s="95" t="s">
        <v>874</v>
      </c>
      <c r="B29" s="95" t="s">
        <v>879</v>
      </c>
      <c r="D29" s="95" t="s">
        <v>910</v>
      </c>
      <c r="E29" s="95" t="s">
        <v>903</v>
      </c>
      <c r="F29" s="95" t="s">
        <v>909</v>
      </c>
    </row>
    <row r="30" spans="1:6" ht="15.6" x14ac:dyDescent="0.25">
      <c r="A30" s="204" t="s">
        <v>881</v>
      </c>
      <c r="B30" s="204" t="s">
        <v>894</v>
      </c>
      <c r="D30" s="95" t="s">
        <v>901</v>
      </c>
      <c r="E30" s="204" t="s">
        <v>904</v>
      </c>
      <c r="F30" s="279">
        <v>45218</v>
      </c>
    </row>
    <row r="31" spans="1:6" ht="15.6" x14ac:dyDescent="0.25">
      <c r="A31" s="204" t="s">
        <v>882</v>
      </c>
      <c r="B31" s="204" t="s">
        <v>893</v>
      </c>
      <c r="D31" s="95" t="s">
        <v>902</v>
      </c>
      <c r="E31" s="204" t="s">
        <v>905</v>
      </c>
      <c r="F31" s="281">
        <v>0.72916666666666663</v>
      </c>
    </row>
    <row r="32" spans="1:6" x14ac:dyDescent="0.25">
      <c r="A32" s="204" t="s">
        <v>883</v>
      </c>
      <c r="B32" s="204" t="s">
        <v>875</v>
      </c>
    </row>
    <row r="33" spans="1:2" x14ac:dyDescent="0.25">
      <c r="A33" s="204" t="s">
        <v>884</v>
      </c>
      <c r="B33" s="204" t="s">
        <v>876</v>
      </c>
    </row>
    <row r="34" spans="1:2" x14ac:dyDescent="0.25">
      <c r="A34" s="204" t="s">
        <v>885</v>
      </c>
      <c r="B34" s="204" t="s">
        <v>892</v>
      </c>
    </row>
    <row r="35" spans="1:2" x14ac:dyDescent="0.25">
      <c r="A35" s="204" t="s">
        <v>886</v>
      </c>
      <c r="B35" s="204" t="s">
        <v>877</v>
      </c>
    </row>
    <row r="36" spans="1:2" x14ac:dyDescent="0.25">
      <c r="A36" s="204" t="s">
        <v>887</v>
      </c>
      <c r="B36" s="204" t="s">
        <v>878</v>
      </c>
    </row>
    <row r="37" spans="1:2" x14ac:dyDescent="0.25">
      <c r="A37" s="204" t="s">
        <v>888</v>
      </c>
      <c r="B37" s="204" t="s">
        <v>891</v>
      </c>
    </row>
    <row r="38" spans="1:2" x14ac:dyDescent="0.25">
      <c r="A38" s="204" t="s">
        <v>889</v>
      </c>
      <c r="B38" s="204" t="s">
        <v>771</v>
      </c>
    </row>
    <row r="39" spans="1:2" x14ac:dyDescent="0.25">
      <c r="A39" s="204" t="s">
        <v>885</v>
      </c>
      <c r="B39" s="204" t="s">
        <v>772</v>
      </c>
    </row>
    <row r="40" spans="1:2" x14ac:dyDescent="0.25">
      <c r="A40" s="204" t="s">
        <v>890</v>
      </c>
      <c r="B40" s="204" t="s">
        <v>773</v>
      </c>
    </row>
    <row r="41" spans="1:2" x14ac:dyDescent="0.25">
      <c r="A41" s="204" t="s">
        <v>895</v>
      </c>
      <c r="B41" s="204" t="s">
        <v>418</v>
      </c>
    </row>
    <row r="42" spans="1:2" x14ac:dyDescent="0.25">
      <c r="A42" s="204" t="s">
        <v>896</v>
      </c>
      <c r="B42" s="204" t="s">
        <v>897</v>
      </c>
    </row>
    <row r="43" spans="1:2" x14ac:dyDescent="0.25">
      <c r="A43" s="204" t="s">
        <v>898</v>
      </c>
      <c r="B43" s="204" t="s">
        <v>912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L17"/>
  <sheetViews>
    <sheetView topLeftCell="B1" zoomScale="120" zoomScaleNormal="120" workbookViewId="0">
      <selection activeCell="D7" sqref="D7"/>
    </sheetView>
  </sheetViews>
  <sheetFormatPr defaultColWidth="14.81640625" defaultRowHeight="15" x14ac:dyDescent="0.25"/>
  <cols>
    <col min="1" max="3" width="14.81640625" style="105"/>
    <col min="4" max="4" width="29.08984375" style="105" customWidth="1"/>
    <col min="5" max="5" width="28.54296875" style="105" customWidth="1"/>
    <col min="6" max="16384" width="14.81640625" style="105"/>
  </cols>
  <sheetData>
    <row r="1" spans="1:12" s="108" customFormat="1" ht="16.8" customHeight="1" x14ac:dyDescent="0.25">
      <c r="A1" s="106" t="s">
        <v>375</v>
      </c>
      <c r="B1" s="106" t="s">
        <v>374</v>
      </c>
      <c r="C1" s="107" t="s">
        <v>675</v>
      </c>
      <c r="D1" s="107" t="s">
        <v>677</v>
      </c>
      <c r="E1" s="107" t="s">
        <v>676</v>
      </c>
    </row>
    <row r="2" spans="1:12" x14ac:dyDescent="0.25">
      <c r="A2" s="109" t="s">
        <v>367</v>
      </c>
      <c r="B2" s="109" t="s">
        <v>366</v>
      </c>
      <c r="C2" s="110">
        <v>29577</v>
      </c>
      <c r="D2" s="111">
        <f>DATEDIF($C2,$C$7,"Y")</f>
        <v>32</v>
      </c>
      <c r="E2" s="111">
        <f ca="1">DATEDIF($C2,TODAY(),"Y")</f>
        <v>42</v>
      </c>
    </row>
    <row r="3" spans="1:12" x14ac:dyDescent="0.25">
      <c r="A3" s="109" t="s">
        <v>364</v>
      </c>
      <c r="B3" s="109" t="s">
        <v>363</v>
      </c>
      <c r="C3" s="110">
        <v>30500</v>
      </c>
      <c r="D3" s="111">
        <f t="shared" ref="D3:D6" si="0">DATEDIF($C3,$C$7,"Y")</f>
        <v>29</v>
      </c>
      <c r="E3" s="111">
        <f t="shared" ref="E3:E6" ca="1" si="1">DATEDIF($C3,TODAY(),"Y")</f>
        <v>40</v>
      </c>
    </row>
    <row r="4" spans="1:12" x14ac:dyDescent="0.25">
      <c r="A4" s="109" t="s">
        <v>361</v>
      </c>
      <c r="B4" s="109" t="s">
        <v>183</v>
      </c>
      <c r="C4" s="110">
        <v>32348</v>
      </c>
      <c r="D4" s="111">
        <f t="shared" si="0"/>
        <v>24</v>
      </c>
      <c r="E4" s="111">
        <f t="shared" ca="1" si="1"/>
        <v>35</v>
      </c>
      <c r="L4" s="112"/>
    </row>
    <row r="5" spans="1:12" x14ac:dyDescent="0.25">
      <c r="A5" s="109" t="s">
        <v>359</v>
      </c>
      <c r="B5" s="109" t="s">
        <v>106</v>
      </c>
      <c r="C5" s="110">
        <v>31568</v>
      </c>
      <c r="D5" s="111">
        <f t="shared" si="0"/>
        <v>26</v>
      </c>
      <c r="E5" s="111">
        <f t="shared" ca="1" si="1"/>
        <v>37</v>
      </c>
    </row>
    <row r="6" spans="1:12" x14ac:dyDescent="0.25">
      <c r="A6" s="109" t="s">
        <v>357</v>
      </c>
      <c r="B6" s="109" t="s">
        <v>356</v>
      </c>
      <c r="C6" s="110">
        <v>29747</v>
      </c>
      <c r="D6" s="111">
        <f t="shared" si="0"/>
        <v>31</v>
      </c>
      <c r="E6" s="111">
        <f t="shared" ca="1" si="1"/>
        <v>42</v>
      </c>
    </row>
    <row r="7" spans="1:12" x14ac:dyDescent="0.25">
      <c r="A7" s="113"/>
      <c r="B7" s="106" t="s">
        <v>913</v>
      </c>
      <c r="C7" s="290">
        <v>41364</v>
      </c>
    </row>
    <row r="8" spans="1:12" x14ac:dyDescent="0.25">
      <c r="A8" s="113"/>
      <c r="B8" s="113"/>
      <c r="C8" s="114"/>
    </row>
    <row r="9" spans="1:12" x14ac:dyDescent="0.25">
      <c r="A9" s="113"/>
      <c r="B9" s="113"/>
      <c r="C9" s="114"/>
    </row>
    <row r="10" spans="1:12" x14ac:dyDescent="0.25">
      <c r="A10" s="113"/>
      <c r="B10" s="113"/>
      <c r="C10" s="114"/>
    </row>
    <row r="11" spans="1:12" x14ac:dyDescent="0.25">
      <c r="A11" s="113"/>
      <c r="B11" s="113"/>
      <c r="C11" s="114"/>
    </row>
    <row r="12" spans="1:12" x14ac:dyDescent="0.25">
      <c r="A12" s="113"/>
      <c r="B12" s="113"/>
      <c r="C12" s="114"/>
    </row>
    <row r="13" spans="1:12" x14ac:dyDescent="0.25">
      <c r="A13" s="113"/>
      <c r="B13" s="113"/>
      <c r="C13" s="114"/>
    </row>
    <row r="14" spans="1:12" x14ac:dyDescent="0.25">
      <c r="A14" s="113"/>
      <c r="B14" s="113"/>
      <c r="C14" s="114"/>
    </row>
    <row r="15" spans="1:12" x14ac:dyDescent="0.25">
      <c r="A15" s="113"/>
      <c r="B15" s="113"/>
      <c r="C15" s="114"/>
    </row>
    <row r="16" spans="1:12" x14ac:dyDescent="0.25">
      <c r="A16" s="113"/>
      <c r="B16" s="113"/>
      <c r="C16" s="114"/>
    </row>
    <row r="17" spans="1:3" x14ac:dyDescent="0.25">
      <c r="A17" s="113"/>
      <c r="B17" s="113"/>
      <c r="C17" s="11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3"/>
  <dimension ref="A1:C22"/>
  <sheetViews>
    <sheetView topLeftCell="B1" zoomScale="110" zoomScaleNormal="110" workbookViewId="0">
      <selection activeCell="C24" sqref="C24"/>
    </sheetView>
  </sheetViews>
  <sheetFormatPr defaultRowHeight="15" x14ac:dyDescent="0.25"/>
  <cols>
    <col min="1" max="1" width="18.6328125" bestFit="1" customWidth="1"/>
    <col min="2" max="2" width="16.6328125" style="52" customWidth="1"/>
    <col min="3" max="3" width="51.26953125" bestFit="1" customWidth="1"/>
  </cols>
  <sheetData>
    <row r="1" spans="1:2" ht="15.6" x14ac:dyDescent="0.3">
      <c r="A1" s="119" t="s">
        <v>551</v>
      </c>
      <c r="B1" s="121">
        <v>40909</v>
      </c>
    </row>
    <row r="2" spans="1:2" ht="15.6" x14ac:dyDescent="0.3">
      <c r="A2" s="119" t="s">
        <v>552</v>
      </c>
      <c r="B2" s="122">
        <v>90</v>
      </c>
    </row>
    <row r="4" spans="1:2" ht="15.6" x14ac:dyDescent="0.3">
      <c r="A4" s="440" t="s">
        <v>553</v>
      </c>
      <c r="B4" s="440"/>
    </row>
    <row r="5" spans="1:2" x14ac:dyDescent="0.25">
      <c r="A5" s="120" t="s">
        <v>554</v>
      </c>
      <c r="B5" s="94">
        <v>40934</v>
      </c>
    </row>
    <row r="6" spans="1:2" x14ac:dyDescent="0.25">
      <c r="A6" s="56" t="s">
        <v>555</v>
      </c>
      <c r="B6" s="94">
        <v>40959</v>
      </c>
    </row>
    <row r="7" spans="1:2" x14ac:dyDescent="0.25">
      <c r="A7" s="56" t="s">
        <v>556</v>
      </c>
      <c r="B7" s="94">
        <v>40991</v>
      </c>
    </row>
    <row r="8" spans="1:2" x14ac:dyDescent="0.25">
      <c r="A8" s="56" t="s">
        <v>557</v>
      </c>
      <c r="B8" s="94">
        <v>41005</v>
      </c>
    </row>
    <row r="9" spans="1:2" x14ac:dyDescent="0.25">
      <c r="A9" s="56" t="s">
        <v>558</v>
      </c>
      <c r="B9" s="94">
        <v>41030</v>
      </c>
    </row>
    <row r="10" spans="1:2" x14ac:dyDescent="0.25">
      <c r="A10" s="56" t="s">
        <v>559</v>
      </c>
      <c r="B10" s="94">
        <v>41136</v>
      </c>
    </row>
    <row r="11" spans="1:2" x14ac:dyDescent="0.25">
      <c r="A11" s="56" t="s">
        <v>560</v>
      </c>
      <c r="B11" s="94">
        <v>41150</v>
      </c>
    </row>
    <row r="12" spans="1:2" x14ac:dyDescent="0.25">
      <c r="A12" s="56" t="s">
        <v>561</v>
      </c>
      <c r="B12" s="94">
        <v>41171</v>
      </c>
    </row>
    <row r="13" spans="1:2" x14ac:dyDescent="0.25">
      <c r="A13" s="56" t="s">
        <v>562</v>
      </c>
      <c r="B13" s="94">
        <v>41184</v>
      </c>
    </row>
    <row r="14" spans="1:2" x14ac:dyDescent="0.25">
      <c r="A14" s="56" t="s">
        <v>563</v>
      </c>
      <c r="B14" s="94">
        <v>41197</v>
      </c>
    </row>
    <row r="15" spans="1:2" x14ac:dyDescent="0.25">
      <c r="A15" s="56" t="s">
        <v>564</v>
      </c>
      <c r="B15" s="94">
        <v>41205</v>
      </c>
    </row>
    <row r="16" spans="1:2" x14ac:dyDescent="0.25">
      <c r="A16" s="56" t="s">
        <v>565</v>
      </c>
      <c r="B16" s="94">
        <v>41206</v>
      </c>
    </row>
    <row r="17" spans="1:3" x14ac:dyDescent="0.25">
      <c r="A17" s="56" t="s">
        <v>566</v>
      </c>
      <c r="B17" s="94">
        <v>41214</v>
      </c>
    </row>
    <row r="18" spans="1:3" x14ac:dyDescent="0.25">
      <c r="A18" s="56" t="s">
        <v>567</v>
      </c>
      <c r="B18" s="94">
        <v>41226</v>
      </c>
    </row>
    <row r="19" spans="1:3" x14ac:dyDescent="0.25">
      <c r="A19" s="56" t="s">
        <v>568</v>
      </c>
      <c r="B19" s="94">
        <v>41268</v>
      </c>
    </row>
    <row r="21" spans="1:3" ht="15.6" x14ac:dyDescent="0.3">
      <c r="A21" s="119" t="s">
        <v>569</v>
      </c>
      <c r="B21" s="94">
        <f>WORKDAY.INTL($B$1,$B$2,1,$B$5:$B$19)</f>
        <v>41040</v>
      </c>
      <c r="C21" t="s">
        <v>915</v>
      </c>
    </row>
    <row r="22" spans="1:3" x14ac:dyDescent="0.25">
      <c r="B22" s="94">
        <f>WORKDAY(B1,B2,B5:B19)</f>
        <v>41040</v>
      </c>
      <c r="C22" t="s">
        <v>916</v>
      </c>
    </row>
  </sheetData>
  <mergeCells count="1">
    <mergeCell ref="A4:B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4"/>
  <dimension ref="A1:C22"/>
  <sheetViews>
    <sheetView topLeftCell="B1" zoomScale="110" zoomScaleNormal="110" workbookViewId="0">
      <selection activeCell="B24" sqref="B24"/>
    </sheetView>
  </sheetViews>
  <sheetFormatPr defaultColWidth="8.7265625" defaultRowHeight="15" x14ac:dyDescent="0.25"/>
  <cols>
    <col min="1" max="1" width="19.54296875" style="124" customWidth="1"/>
    <col min="2" max="2" width="14.1796875" style="52" customWidth="1"/>
    <col min="3" max="3" width="59.7265625" style="124" bestFit="1" customWidth="1"/>
    <col min="4" max="16384" width="8.7265625" style="124"/>
  </cols>
  <sheetData>
    <row r="1" spans="1:2" ht="15.6" x14ac:dyDescent="0.25">
      <c r="A1" s="123" t="s">
        <v>551</v>
      </c>
      <c r="B1" s="94">
        <v>40909</v>
      </c>
    </row>
    <row r="2" spans="1:2" ht="15.6" x14ac:dyDescent="0.25">
      <c r="A2" s="123" t="s">
        <v>570</v>
      </c>
      <c r="B2" s="94">
        <v>41059</v>
      </c>
    </row>
    <row r="4" spans="1:2" ht="15.6" x14ac:dyDescent="0.25">
      <c r="A4" s="441" t="s">
        <v>553</v>
      </c>
      <c r="B4" s="441"/>
    </row>
    <row r="5" spans="1:2" x14ac:dyDescent="0.25">
      <c r="A5" s="125" t="s">
        <v>554</v>
      </c>
      <c r="B5" s="94">
        <v>40934</v>
      </c>
    </row>
    <row r="6" spans="1:2" x14ac:dyDescent="0.25">
      <c r="A6" s="125" t="s">
        <v>555</v>
      </c>
      <c r="B6" s="94">
        <v>40959</v>
      </c>
    </row>
    <row r="7" spans="1:2" x14ac:dyDescent="0.25">
      <c r="A7" s="125" t="s">
        <v>556</v>
      </c>
      <c r="B7" s="94">
        <v>40991</v>
      </c>
    </row>
    <row r="8" spans="1:2" x14ac:dyDescent="0.25">
      <c r="A8" s="125" t="s">
        <v>557</v>
      </c>
      <c r="B8" s="94">
        <v>41005</v>
      </c>
    </row>
    <row r="9" spans="1:2" x14ac:dyDescent="0.25">
      <c r="A9" s="125" t="s">
        <v>558</v>
      </c>
      <c r="B9" s="94">
        <v>41030</v>
      </c>
    </row>
    <row r="10" spans="1:2" x14ac:dyDescent="0.25">
      <c r="A10" s="125" t="s">
        <v>559</v>
      </c>
      <c r="B10" s="94">
        <v>41136</v>
      </c>
    </row>
    <row r="11" spans="1:2" x14ac:dyDescent="0.25">
      <c r="A11" s="125" t="s">
        <v>560</v>
      </c>
      <c r="B11" s="94">
        <v>41150</v>
      </c>
    </row>
    <row r="12" spans="1:2" x14ac:dyDescent="0.25">
      <c r="A12" s="125" t="s">
        <v>561</v>
      </c>
      <c r="B12" s="94">
        <v>41171</v>
      </c>
    </row>
    <row r="13" spans="1:2" x14ac:dyDescent="0.25">
      <c r="A13" s="125" t="s">
        <v>562</v>
      </c>
      <c r="B13" s="94">
        <v>41184</v>
      </c>
    </row>
    <row r="14" spans="1:2" x14ac:dyDescent="0.25">
      <c r="A14" s="125" t="s">
        <v>563</v>
      </c>
      <c r="B14" s="94">
        <v>41197</v>
      </c>
    </row>
    <row r="15" spans="1:2" x14ac:dyDescent="0.25">
      <c r="A15" s="125" t="s">
        <v>564</v>
      </c>
      <c r="B15" s="94">
        <v>41205</v>
      </c>
    </row>
    <row r="16" spans="1:2" x14ac:dyDescent="0.25">
      <c r="A16" s="125" t="s">
        <v>565</v>
      </c>
      <c r="B16" s="94">
        <v>41206</v>
      </c>
    </row>
    <row r="17" spans="1:3" x14ac:dyDescent="0.25">
      <c r="A17" s="125" t="s">
        <v>566</v>
      </c>
      <c r="B17" s="94">
        <v>41214</v>
      </c>
    </row>
    <row r="18" spans="1:3" x14ac:dyDescent="0.25">
      <c r="A18" s="125" t="s">
        <v>567</v>
      </c>
      <c r="B18" s="94">
        <v>41226</v>
      </c>
    </row>
    <row r="19" spans="1:3" x14ac:dyDescent="0.25">
      <c r="A19" s="125" t="s">
        <v>568</v>
      </c>
      <c r="B19" s="94">
        <v>41268</v>
      </c>
    </row>
    <row r="22" spans="1:3" ht="15.6" x14ac:dyDescent="0.25">
      <c r="A22" s="123" t="s">
        <v>571</v>
      </c>
      <c r="B22" s="54">
        <f>NETWORKDAYS.INTL(B1,B2,1,B5:B19)</f>
        <v>103</v>
      </c>
      <c r="C22" s="124" t="s">
        <v>914</v>
      </c>
    </row>
  </sheetData>
  <mergeCells count="1">
    <mergeCell ref="A4:B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1D6BC-220D-4EC2-A208-3B39CF313DDC}">
  <dimension ref="A1:N13"/>
  <sheetViews>
    <sheetView topLeftCell="J1" zoomScale="145" zoomScaleNormal="145" workbookViewId="0">
      <selection activeCell="F11" sqref="F11"/>
    </sheetView>
  </sheetViews>
  <sheetFormatPr defaultRowHeight="15" x14ac:dyDescent="0.25"/>
  <cols>
    <col min="1" max="2" width="11.81640625" bestFit="1" customWidth="1"/>
    <col min="3" max="3" width="23.81640625" bestFit="1" customWidth="1"/>
    <col min="4" max="4" width="23.36328125" customWidth="1"/>
    <col min="6" max="6" width="7.6328125" customWidth="1"/>
    <col min="10" max="10" width="10.08984375" customWidth="1"/>
    <col min="14" max="14" width="28.81640625" bestFit="1" customWidth="1"/>
  </cols>
  <sheetData>
    <row r="1" spans="1:14" ht="30" customHeight="1" x14ac:dyDescent="0.25">
      <c r="A1" s="291" t="s">
        <v>917</v>
      </c>
      <c r="B1" s="292" t="s">
        <v>918</v>
      </c>
      <c r="C1" s="292" t="s">
        <v>919</v>
      </c>
      <c r="D1" s="293" t="s">
        <v>922</v>
      </c>
    </row>
    <row r="2" spans="1:14" x14ac:dyDescent="0.25">
      <c r="A2" s="294">
        <f ca="1">RAND()</f>
        <v>0.29949464689607652</v>
      </c>
      <c r="B2" s="294">
        <f ca="1">RAND()*10</f>
        <v>3.168315822806079</v>
      </c>
      <c r="C2" s="294">
        <f ca="1">RANDBETWEEN(50,100)</f>
        <v>61</v>
      </c>
      <c r="D2" s="294">
        <v>77</v>
      </c>
    </row>
    <row r="3" spans="1:14" x14ac:dyDescent="0.25">
      <c r="A3" s="294">
        <f t="shared" ref="A3:A11" ca="1" si="0">RAND()</f>
        <v>8.1434430142022896E-2</v>
      </c>
      <c r="B3" s="294">
        <f t="shared" ref="B3:B11" ca="1" si="1">RAND()*10</f>
        <v>5.1576469876730862</v>
      </c>
      <c r="C3" s="294">
        <f t="shared" ref="C3:C11" ca="1" si="2">RANDBETWEEN(50,100)</f>
        <v>78</v>
      </c>
      <c r="D3" s="294">
        <v>51</v>
      </c>
    </row>
    <row r="4" spans="1:14" ht="15.6" x14ac:dyDescent="0.25">
      <c r="A4" s="294">
        <f t="shared" ca="1" si="0"/>
        <v>6.3055577762834991E-3</v>
      </c>
      <c r="B4" s="294">
        <f t="shared" ca="1" si="1"/>
        <v>6.5011236277358497</v>
      </c>
      <c r="C4" s="294">
        <f t="shared" ca="1" si="2"/>
        <v>97</v>
      </c>
      <c r="D4" s="294">
        <v>98</v>
      </c>
      <c r="F4" s="192" t="s">
        <v>765</v>
      </c>
      <c r="G4" s="191" t="s">
        <v>764</v>
      </c>
      <c r="H4" s="191" t="s">
        <v>95</v>
      </c>
      <c r="I4" s="191" t="s">
        <v>96</v>
      </c>
      <c r="J4" s="191" t="s">
        <v>92</v>
      </c>
      <c r="K4" s="191" t="s">
        <v>93</v>
      </c>
      <c r="L4" s="191" t="s">
        <v>94</v>
      </c>
      <c r="M4" s="53" t="s">
        <v>382</v>
      </c>
      <c r="N4" s="296" t="s">
        <v>924</v>
      </c>
    </row>
    <row r="5" spans="1:14" ht="15.6" x14ac:dyDescent="0.25">
      <c r="A5" s="294">
        <f t="shared" ca="1" si="0"/>
        <v>0.41969089332939358</v>
      </c>
      <c r="B5" s="294">
        <f t="shared" ca="1" si="1"/>
        <v>4.0203475505842761</v>
      </c>
      <c r="C5" s="294">
        <f t="shared" ca="1" si="2"/>
        <v>65</v>
      </c>
      <c r="D5" s="294">
        <v>67</v>
      </c>
      <c r="F5" s="191">
        <f>RANK($M5,$M$5:$M$9)</f>
        <v>3</v>
      </c>
      <c r="G5" s="54" t="s">
        <v>513</v>
      </c>
      <c r="H5" s="54">
        <v>86</v>
      </c>
      <c r="I5" s="54">
        <v>91</v>
      </c>
      <c r="J5" s="54">
        <v>56</v>
      </c>
      <c r="K5" s="54">
        <v>65</v>
      </c>
      <c r="L5" s="54">
        <v>51</v>
      </c>
      <c r="M5" s="54">
        <f t="shared" ref="M5:M9" si="3">SUM(H5:L5)</f>
        <v>349</v>
      </c>
    </row>
    <row r="6" spans="1:14" ht="15.6" x14ac:dyDescent="0.25">
      <c r="A6" s="294">
        <f t="shared" ca="1" si="0"/>
        <v>0.72136324340461322</v>
      </c>
      <c r="B6" s="294">
        <f t="shared" ca="1" si="1"/>
        <v>5.0017516099170116</v>
      </c>
      <c r="C6" s="294">
        <f t="shared" ca="1" si="2"/>
        <v>71</v>
      </c>
      <c r="D6" s="294">
        <v>54</v>
      </c>
      <c r="F6" s="191">
        <f t="shared" ref="F6:F9" si="4">RANK($M6,$M$5:$M$9)</f>
        <v>1</v>
      </c>
      <c r="G6" s="54" t="s">
        <v>512</v>
      </c>
      <c r="H6" s="54">
        <v>88</v>
      </c>
      <c r="I6" s="54">
        <v>72</v>
      </c>
      <c r="J6" s="54">
        <v>92</v>
      </c>
      <c r="K6" s="54">
        <v>73</v>
      </c>
      <c r="L6" s="54">
        <v>50</v>
      </c>
      <c r="M6" s="54">
        <f t="shared" si="3"/>
        <v>375</v>
      </c>
    </row>
    <row r="7" spans="1:14" ht="15.6" x14ac:dyDescent="0.25">
      <c r="A7" s="294">
        <f t="shared" ca="1" si="0"/>
        <v>0.8417019851731754</v>
      </c>
      <c r="B7" s="294">
        <f t="shared" ca="1" si="1"/>
        <v>2.4665442871542065</v>
      </c>
      <c r="C7" s="294">
        <f t="shared" ca="1" si="2"/>
        <v>77</v>
      </c>
      <c r="D7" s="294">
        <v>64</v>
      </c>
      <c r="F7" s="191">
        <f t="shared" si="4"/>
        <v>4</v>
      </c>
      <c r="G7" s="54" t="s">
        <v>511</v>
      </c>
      <c r="H7" s="54">
        <v>88</v>
      </c>
      <c r="I7" s="54">
        <v>67</v>
      </c>
      <c r="J7" s="54">
        <v>46</v>
      </c>
      <c r="K7" s="54">
        <v>69</v>
      </c>
      <c r="L7" s="54">
        <v>43</v>
      </c>
      <c r="M7" s="54">
        <f t="shared" si="3"/>
        <v>313</v>
      </c>
    </row>
    <row r="8" spans="1:14" ht="15.6" x14ac:dyDescent="0.25">
      <c r="A8" s="294">
        <f t="shared" ca="1" si="0"/>
        <v>0.33801168364784628</v>
      </c>
      <c r="B8" s="294">
        <f t="shared" ca="1" si="1"/>
        <v>6.1577527804598953</v>
      </c>
      <c r="C8" s="294">
        <f t="shared" ca="1" si="2"/>
        <v>56</v>
      </c>
      <c r="D8" s="294">
        <v>75</v>
      </c>
      <c r="F8" s="191">
        <f t="shared" si="4"/>
        <v>5</v>
      </c>
      <c r="G8" s="54" t="s">
        <v>120</v>
      </c>
      <c r="H8" s="54">
        <v>93</v>
      </c>
      <c r="I8" s="54">
        <v>59</v>
      </c>
      <c r="J8" s="54">
        <v>49</v>
      </c>
      <c r="K8" s="54">
        <v>56</v>
      </c>
      <c r="L8" s="54">
        <v>49</v>
      </c>
      <c r="M8" s="54">
        <f t="shared" si="3"/>
        <v>306</v>
      </c>
    </row>
    <row r="9" spans="1:14" ht="15.6" x14ac:dyDescent="0.25">
      <c r="A9" s="294">
        <f t="shared" ca="1" si="0"/>
        <v>0.76616079305008755</v>
      </c>
      <c r="B9" s="294">
        <f t="shared" ca="1" si="1"/>
        <v>6.5670107782560407</v>
      </c>
      <c r="C9" s="294">
        <f t="shared" ca="1" si="2"/>
        <v>98</v>
      </c>
      <c r="D9" s="294">
        <v>55</v>
      </c>
      <c r="F9" s="191">
        <f t="shared" si="4"/>
        <v>2</v>
      </c>
      <c r="G9" s="54" t="s">
        <v>768</v>
      </c>
      <c r="H9" s="54">
        <v>68</v>
      </c>
      <c r="I9" s="54">
        <v>71</v>
      </c>
      <c r="J9" s="54">
        <v>61</v>
      </c>
      <c r="K9" s="54">
        <v>62</v>
      </c>
      <c r="L9" s="54">
        <v>98</v>
      </c>
      <c r="M9" s="54">
        <f t="shared" si="3"/>
        <v>360</v>
      </c>
    </row>
    <row r="10" spans="1:14" x14ac:dyDescent="0.25">
      <c r="A10" s="294">
        <f t="shared" ca="1" si="0"/>
        <v>0.72139196922709592</v>
      </c>
      <c r="B10" s="294">
        <f t="shared" ca="1" si="1"/>
        <v>8.0359070022761987</v>
      </c>
      <c r="C10" s="294">
        <f t="shared" ca="1" si="2"/>
        <v>79</v>
      </c>
      <c r="D10" s="294">
        <v>71</v>
      </c>
      <c r="G10" t="s">
        <v>923</v>
      </c>
    </row>
    <row r="11" spans="1:14" x14ac:dyDescent="0.25">
      <c r="A11" s="294">
        <f t="shared" ca="1" si="0"/>
        <v>0.92287514539383542</v>
      </c>
      <c r="B11" s="294">
        <f t="shared" ca="1" si="1"/>
        <v>5.6292158885402586</v>
      </c>
      <c r="C11" s="294">
        <f t="shared" ca="1" si="2"/>
        <v>84</v>
      </c>
      <c r="D11" s="294">
        <v>57</v>
      </c>
      <c r="F11" s="52"/>
    </row>
    <row r="12" spans="1:14" ht="15.6" x14ac:dyDescent="0.3">
      <c r="A12" s="442" t="s">
        <v>920</v>
      </c>
      <c r="B12" s="442"/>
      <c r="C12" s="442"/>
      <c r="D12" s="295"/>
    </row>
    <row r="13" spans="1:14" ht="15.6" x14ac:dyDescent="0.3">
      <c r="A13" s="56" t="s">
        <v>921</v>
      </c>
      <c r="B13" s="56"/>
      <c r="C13" s="56"/>
      <c r="D13" s="295"/>
    </row>
  </sheetData>
  <mergeCells count="1">
    <mergeCell ref="A12:C12"/>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BEC6E-6CB1-4ACD-937C-E34EEB9AB938}">
  <sheetPr codeName="Sheet30"/>
  <dimension ref="A1:E11"/>
  <sheetViews>
    <sheetView zoomScale="130" zoomScaleNormal="130" workbookViewId="0">
      <selection activeCell="D10" sqref="D10"/>
    </sheetView>
  </sheetViews>
  <sheetFormatPr defaultRowHeight="15" x14ac:dyDescent="0.25"/>
  <cols>
    <col min="1" max="1" width="13.6328125" style="30" customWidth="1"/>
    <col min="4" max="4" width="14.81640625" customWidth="1"/>
  </cols>
  <sheetData>
    <row r="1" spans="1:5" x14ac:dyDescent="0.25">
      <c r="A1" s="26" t="s">
        <v>680</v>
      </c>
    </row>
    <row r="2" spans="1:5" x14ac:dyDescent="0.25">
      <c r="A2" s="27"/>
      <c r="D2" s="25" t="s">
        <v>682</v>
      </c>
      <c r="E2" s="25" t="b">
        <f>ISBLANK(A2)</f>
        <v>1</v>
      </c>
    </row>
    <row r="3" spans="1:5" x14ac:dyDescent="0.25">
      <c r="A3" s="27" t="e">
        <f>1/0</f>
        <v>#DIV/0!</v>
      </c>
      <c r="D3" s="25" t="s">
        <v>683</v>
      </c>
      <c r="E3" s="25" t="b">
        <f>ISERROR(A3)</f>
        <v>1</v>
      </c>
    </row>
    <row r="4" spans="1:5" x14ac:dyDescent="0.25">
      <c r="A4" s="27" t="e">
        <f>#N/A</f>
        <v>#N/A</v>
      </c>
      <c r="D4" s="25" t="s">
        <v>684</v>
      </c>
      <c r="E4" s="25" t="b">
        <f>ISNA(A4)</f>
        <v>1</v>
      </c>
    </row>
    <row r="5" spans="1:5" x14ac:dyDescent="0.25">
      <c r="A5" s="27">
        <v>20</v>
      </c>
      <c r="D5" s="25" t="s">
        <v>685</v>
      </c>
      <c r="E5" s="25" t="b">
        <f>ISNUMBER(A5)</f>
        <v>1</v>
      </c>
    </row>
    <row r="6" spans="1:5" x14ac:dyDescent="0.25">
      <c r="A6" s="27">
        <v>3</v>
      </c>
      <c r="D6" s="25" t="s">
        <v>686</v>
      </c>
      <c r="E6" s="25" t="b">
        <f>ISEVEN(A6)</f>
        <v>0</v>
      </c>
    </row>
    <row r="7" spans="1:5" x14ac:dyDescent="0.25">
      <c r="A7" s="27" t="s">
        <v>681</v>
      </c>
      <c r="D7" s="25" t="s">
        <v>687</v>
      </c>
      <c r="E7" s="25" t="b">
        <f>ISODD(A6)</f>
        <v>1</v>
      </c>
    </row>
    <row r="8" spans="1:5" x14ac:dyDescent="0.25">
      <c r="A8" s="28"/>
      <c r="D8" s="25" t="s">
        <v>688</v>
      </c>
      <c r="E8" s="25" t="b">
        <f>ISTEXT(A7)</f>
        <v>1</v>
      </c>
    </row>
    <row r="9" spans="1:5" x14ac:dyDescent="0.25">
      <c r="A9" s="28"/>
    </row>
    <row r="10" spans="1:5" x14ac:dyDescent="0.25">
      <c r="A10" s="28"/>
    </row>
    <row r="11" spans="1:5" x14ac:dyDescent="0.25">
      <c r="A11" s="29"/>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dimension ref="A1:R95"/>
  <sheetViews>
    <sheetView topLeftCell="N1" zoomScale="120" zoomScaleNormal="120" workbookViewId="0">
      <selection activeCell="S1" sqref="S1"/>
    </sheetView>
  </sheetViews>
  <sheetFormatPr defaultColWidth="8.7265625" defaultRowHeight="15" x14ac:dyDescent="0.25"/>
  <cols>
    <col min="3" max="3" width="10.6328125" customWidth="1"/>
    <col min="4" max="4" width="26.453125" bestFit="1" customWidth="1"/>
    <col min="6" max="6" width="11.90625" customWidth="1"/>
    <col min="9" max="10" width="12.453125" customWidth="1"/>
    <col min="11" max="11" width="23" bestFit="1" customWidth="1"/>
    <col min="12" max="12" width="12.7265625" customWidth="1"/>
    <col min="13" max="13" width="8.90625" bestFit="1" customWidth="1"/>
    <col min="14" max="14" width="9.54296875" bestFit="1" customWidth="1"/>
    <col min="16" max="16" width="10.54296875" bestFit="1" customWidth="1"/>
    <col min="17" max="17" width="12.6328125" bestFit="1" customWidth="1"/>
    <col min="18" max="18" width="19.6328125" bestFit="1" customWidth="1"/>
  </cols>
  <sheetData>
    <row r="1" spans="1:18" s="50" customFormat="1" ht="21" x14ac:dyDescent="0.4">
      <c r="A1" s="179" t="s">
        <v>377</v>
      </c>
      <c r="B1" s="179" t="s">
        <v>376</v>
      </c>
      <c r="C1" s="179" t="s">
        <v>375</v>
      </c>
      <c r="D1" s="178" t="s">
        <v>925</v>
      </c>
      <c r="E1" s="179" t="s">
        <v>374</v>
      </c>
      <c r="F1" s="179" t="s">
        <v>373</v>
      </c>
      <c r="G1" s="179" t="s">
        <v>372</v>
      </c>
      <c r="H1" s="179" t="s">
        <v>371</v>
      </c>
      <c r="I1" s="180" t="s">
        <v>370</v>
      </c>
      <c r="J1" s="180" t="s">
        <v>369</v>
      </c>
      <c r="K1" s="297" t="s">
        <v>926</v>
      </c>
      <c r="L1" s="298" t="s">
        <v>927</v>
      </c>
      <c r="M1" s="298" t="s">
        <v>928</v>
      </c>
      <c r="N1" s="298" t="s">
        <v>929</v>
      </c>
      <c r="O1" s="298" t="s">
        <v>933</v>
      </c>
      <c r="P1" s="298" t="s">
        <v>930</v>
      </c>
      <c r="Q1" s="298" t="s">
        <v>931</v>
      </c>
      <c r="R1" s="298" t="s">
        <v>932</v>
      </c>
    </row>
    <row r="2" spans="1:18" x14ac:dyDescent="0.25">
      <c r="A2" s="115">
        <v>1</v>
      </c>
      <c r="B2" s="115" t="s">
        <v>368</v>
      </c>
      <c r="C2" s="115" t="s">
        <v>573</v>
      </c>
      <c r="D2" s="115" t="str">
        <f>CLEAN($C2)</f>
        <v>Sara</v>
      </c>
      <c r="E2" s="115" t="s">
        <v>366</v>
      </c>
      <c r="F2" s="116">
        <v>34690</v>
      </c>
      <c r="G2" s="115" t="s">
        <v>109</v>
      </c>
      <c r="H2" s="117">
        <v>35.5</v>
      </c>
      <c r="I2" s="118">
        <v>45</v>
      </c>
      <c r="J2" s="118">
        <f t="shared" ref="J2:J65" si="0">H2*I2</f>
        <v>1597.5</v>
      </c>
      <c r="L2" s="118" t="str">
        <f>LOWER($D2)</f>
        <v>sara</v>
      </c>
      <c r="M2" s="118" t="str">
        <f>UPPER($D2)</f>
        <v>SARA</v>
      </c>
      <c r="N2" s="118" t="str">
        <f>PROPER($D2)</f>
        <v>Sara</v>
      </c>
      <c r="O2" s="118" t="str">
        <f>TRIM($D2)</f>
        <v>Sara</v>
      </c>
      <c r="P2" s="118" t="str">
        <f>REPLACE($J2,1,0,"")</f>
        <v>1597.5</v>
      </c>
      <c r="Q2" s="118" t="str">
        <f>SUBSTITUTE($J2,"$","")</f>
        <v>1597.5</v>
      </c>
      <c r="R2" s="118" t="str">
        <f>_xlfn.CONCAT($O2," ",$E2)</f>
        <v>Sara Kling</v>
      </c>
    </row>
    <row r="3" spans="1:18" x14ac:dyDescent="0.25">
      <c r="A3" s="115">
        <v>2</v>
      </c>
      <c r="B3" s="115" t="s">
        <v>365</v>
      </c>
      <c r="C3" s="115" t="s">
        <v>574</v>
      </c>
      <c r="D3" s="115" t="str">
        <f t="shared" ref="D3:D66" si="1">CLEAN($C3)</f>
        <v>Sean</v>
      </c>
      <c r="E3" s="115" t="s">
        <v>363</v>
      </c>
      <c r="F3" s="116">
        <v>34153</v>
      </c>
      <c r="G3" s="115" t="s">
        <v>120</v>
      </c>
      <c r="H3" s="117">
        <v>35.5</v>
      </c>
      <c r="I3" s="118">
        <v>28.3</v>
      </c>
      <c r="J3" s="118">
        <f t="shared" si="0"/>
        <v>1004.65</v>
      </c>
      <c r="L3" s="118" t="str">
        <f t="shared" ref="L3:L66" si="2">LOWER($D3)</f>
        <v>sean</v>
      </c>
      <c r="M3" s="118" t="str">
        <f t="shared" ref="M3:M66" si="3">UPPER($D3)</f>
        <v>SEAN</v>
      </c>
      <c r="N3" s="118" t="str">
        <f t="shared" ref="N3:N66" si="4">PROPER($D3)</f>
        <v>Sean</v>
      </c>
      <c r="O3" s="118" t="str">
        <f t="shared" ref="O3:O66" si="5">TRIM($D3)</f>
        <v>Sean</v>
      </c>
      <c r="P3" s="118" t="str">
        <f t="shared" ref="P3:P66" si="6">REPLACE($J3,1,0,"")</f>
        <v>1004.65</v>
      </c>
      <c r="Q3" s="118" t="str">
        <f t="shared" ref="Q3:Q66" si="7">SUBSTITUTE($J3,"$","")</f>
        <v>1004.65</v>
      </c>
      <c r="R3" s="118" t="str">
        <f t="shared" ref="R3:R66" si="8">_xlfn.CONCAT($O3," ",$E3)</f>
        <v>Sean Willis</v>
      </c>
    </row>
    <row r="4" spans="1:18" x14ac:dyDescent="0.25">
      <c r="A4" s="115">
        <v>3</v>
      </c>
      <c r="B4" s="115" t="s">
        <v>362</v>
      </c>
      <c r="C4" s="115" t="s">
        <v>575</v>
      </c>
      <c r="D4" s="115" t="str">
        <f t="shared" si="1"/>
        <v>Colleen</v>
      </c>
      <c r="E4" s="115" t="s">
        <v>183</v>
      </c>
      <c r="F4" s="116">
        <v>36000</v>
      </c>
      <c r="G4" s="115" t="s">
        <v>124</v>
      </c>
      <c r="H4" s="117">
        <v>42</v>
      </c>
      <c r="I4" s="118">
        <v>31.75</v>
      </c>
      <c r="J4" s="118">
        <f t="shared" si="0"/>
        <v>1333.5</v>
      </c>
      <c r="L4" s="118" t="str">
        <f t="shared" si="2"/>
        <v>colleen</v>
      </c>
      <c r="M4" s="118" t="str">
        <f t="shared" si="3"/>
        <v>COLLEEN</v>
      </c>
      <c r="N4" s="118" t="str">
        <f t="shared" si="4"/>
        <v>Colleen</v>
      </c>
      <c r="O4" s="118" t="str">
        <f t="shared" si="5"/>
        <v>Colleen</v>
      </c>
      <c r="P4" s="118" t="str">
        <f t="shared" si="6"/>
        <v>1333.5</v>
      </c>
      <c r="Q4" s="118" t="str">
        <f t="shared" si="7"/>
        <v>1333.5</v>
      </c>
      <c r="R4" s="118" t="str">
        <f t="shared" si="8"/>
        <v>Colleen Abel</v>
      </c>
    </row>
    <row r="5" spans="1:18" x14ac:dyDescent="0.25">
      <c r="A5" s="115">
        <v>4</v>
      </c>
      <c r="B5" s="115" t="s">
        <v>360</v>
      </c>
      <c r="C5" s="115" t="s">
        <v>576</v>
      </c>
      <c r="D5" s="115" t="str">
        <f t="shared" si="1"/>
        <v>Teri</v>
      </c>
      <c r="E5" s="115" t="s">
        <v>106</v>
      </c>
      <c r="F5" s="116">
        <v>35221</v>
      </c>
      <c r="G5" s="115" t="s">
        <v>105</v>
      </c>
      <c r="H5" s="117">
        <v>40</v>
      </c>
      <c r="I5" s="118">
        <v>23.75</v>
      </c>
      <c r="J5" s="118">
        <f t="shared" si="0"/>
        <v>950</v>
      </c>
      <c r="L5" s="118" t="str">
        <f t="shared" si="2"/>
        <v>teri</v>
      </c>
      <c r="M5" s="118" t="str">
        <f t="shared" si="3"/>
        <v>TERI</v>
      </c>
      <c r="N5" s="118" t="str">
        <f t="shared" si="4"/>
        <v>Teri</v>
      </c>
      <c r="O5" s="118" t="str">
        <f t="shared" si="5"/>
        <v>Teri</v>
      </c>
      <c r="P5" s="118" t="str">
        <f t="shared" si="6"/>
        <v>950</v>
      </c>
      <c r="Q5" s="118" t="str">
        <f t="shared" si="7"/>
        <v>950</v>
      </c>
      <c r="R5" s="118" t="str">
        <f t="shared" si="8"/>
        <v>Teri Binga</v>
      </c>
    </row>
    <row r="6" spans="1:18" x14ac:dyDescent="0.25">
      <c r="A6" s="115">
        <v>5</v>
      </c>
      <c r="B6" s="115" t="s">
        <v>358</v>
      </c>
      <c r="C6" s="115" t="s">
        <v>577</v>
      </c>
      <c r="D6" s="115" t="str">
        <f t="shared" si="1"/>
        <v>Frank</v>
      </c>
      <c r="E6" s="115" t="s">
        <v>356</v>
      </c>
      <c r="F6" s="116">
        <v>33399</v>
      </c>
      <c r="G6" s="115" t="s">
        <v>124</v>
      </c>
      <c r="H6" s="117">
        <v>40</v>
      </c>
      <c r="I6" s="118">
        <v>27.6</v>
      </c>
      <c r="J6" s="118">
        <f t="shared" si="0"/>
        <v>1104</v>
      </c>
      <c r="L6" s="118" t="str">
        <f t="shared" si="2"/>
        <v>frank</v>
      </c>
      <c r="M6" s="118" t="str">
        <f t="shared" si="3"/>
        <v>FRANK</v>
      </c>
      <c r="N6" s="118" t="str">
        <f t="shared" si="4"/>
        <v>Frank</v>
      </c>
      <c r="O6" s="118" t="str">
        <f t="shared" si="5"/>
        <v>Frank</v>
      </c>
      <c r="P6" s="118" t="str">
        <f t="shared" si="6"/>
        <v>1104</v>
      </c>
      <c r="Q6" s="118" t="str">
        <f t="shared" si="7"/>
        <v>1104</v>
      </c>
      <c r="R6" s="118" t="str">
        <f t="shared" si="8"/>
        <v>Frank Culbert</v>
      </c>
    </row>
    <row r="7" spans="1:18" x14ac:dyDescent="0.25">
      <c r="A7" s="115">
        <v>6</v>
      </c>
      <c r="B7" s="115" t="s">
        <v>355</v>
      </c>
      <c r="C7" s="115" t="s">
        <v>578</v>
      </c>
      <c r="D7" s="115" t="str">
        <f t="shared" si="1"/>
        <v>Kristen</v>
      </c>
      <c r="E7" s="115" t="s">
        <v>353</v>
      </c>
      <c r="F7" s="116">
        <v>34853</v>
      </c>
      <c r="G7" s="115" t="s">
        <v>120</v>
      </c>
      <c r="H7" s="117">
        <v>35</v>
      </c>
      <c r="I7" s="118">
        <v>39</v>
      </c>
      <c r="J7" s="118">
        <f t="shared" si="0"/>
        <v>1365</v>
      </c>
      <c r="L7" s="118" t="str">
        <f t="shared" si="2"/>
        <v>kristen</v>
      </c>
      <c r="M7" s="118" t="str">
        <f t="shared" si="3"/>
        <v>KRISTEN</v>
      </c>
      <c r="N7" s="118" t="str">
        <f t="shared" si="4"/>
        <v>Kristen</v>
      </c>
      <c r="O7" s="118" t="str">
        <f t="shared" si="5"/>
        <v>Kristen</v>
      </c>
      <c r="P7" s="118" t="str">
        <f t="shared" si="6"/>
        <v>1365</v>
      </c>
      <c r="Q7" s="118" t="str">
        <f t="shared" si="7"/>
        <v>1365</v>
      </c>
      <c r="R7" s="118" t="str">
        <f t="shared" si="8"/>
        <v>Kristen DeVinney</v>
      </c>
    </row>
    <row r="8" spans="1:18" x14ac:dyDescent="0.25">
      <c r="A8" s="115">
        <v>7</v>
      </c>
      <c r="B8" s="115" t="s">
        <v>352</v>
      </c>
      <c r="C8" s="115" t="s">
        <v>579</v>
      </c>
      <c r="D8" s="115" t="str">
        <f t="shared" si="1"/>
        <v>Theresa</v>
      </c>
      <c r="E8" s="115" t="s">
        <v>351</v>
      </c>
      <c r="F8" s="116">
        <v>35485</v>
      </c>
      <c r="G8" s="115" t="s">
        <v>105</v>
      </c>
      <c r="H8" s="117">
        <v>35</v>
      </c>
      <c r="I8" s="118">
        <v>27.1</v>
      </c>
      <c r="J8" s="118">
        <f t="shared" si="0"/>
        <v>948.5</v>
      </c>
      <c r="L8" s="118" t="str">
        <f t="shared" si="2"/>
        <v>theresa</v>
      </c>
      <c r="M8" s="118" t="str">
        <f t="shared" si="3"/>
        <v>THERESA</v>
      </c>
      <c r="N8" s="118" t="str">
        <f t="shared" si="4"/>
        <v>Theresa</v>
      </c>
      <c r="O8" s="118" t="str">
        <f t="shared" si="5"/>
        <v>Theresa</v>
      </c>
      <c r="P8" s="118" t="str">
        <f t="shared" si="6"/>
        <v>948.5</v>
      </c>
      <c r="Q8" s="118" t="str">
        <f t="shared" si="7"/>
        <v>948.5</v>
      </c>
      <c r="R8" s="118" t="str">
        <f t="shared" si="8"/>
        <v>Theresa Califano</v>
      </c>
    </row>
    <row r="9" spans="1:18" x14ac:dyDescent="0.25">
      <c r="A9" s="115">
        <v>8</v>
      </c>
      <c r="B9" s="115" t="s">
        <v>350</v>
      </c>
      <c r="C9" s="115" t="s">
        <v>580</v>
      </c>
      <c r="D9" s="115" t="str">
        <f t="shared" si="1"/>
        <v>Barry</v>
      </c>
      <c r="E9" s="115" t="s">
        <v>348</v>
      </c>
      <c r="F9" s="116">
        <v>33341</v>
      </c>
      <c r="G9" s="115" t="s">
        <v>120</v>
      </c>
      <c r="H9" s="117">
        <v>40</v>
      </c>
      <c r="I9" s="118">
        <v>48</v>
      </c>
      <c r="J9" s="118">
        <f t="shared" si="0"/>
        <v>1920</v>
      </c>
      <c r="L9" s="118" t="str">
        <f t="shared" si="2"/>
        <v>barry</v>
      </c>
      <c r="M9" s="118" t="str">
        <f t="shared" si="3"/>
        <v>BARRY</v>
      </c>
      <c r="N9" s="118" t="str">
        <f t="shared" si="4"/>
        <v>Barry</v>
      </c>
      <c r="O9" s="118" t="str">
        <f t="shared" si="5"/>
        <v>Barry</v>
      </c>
      <c r="P9" s="118" t="str">
        <f t="shared" si="6"/>
        <v>1920</v>
      </c>
      <c r="Q9" s="118" t="str">
        <f t="shared" si="7"/>
        <v>1920</v>
      </c>
      <c r="R9" s="118" t="str">
        <f t="shared" si="8"/>
        <v>Barry Bally</v>
      </c>
    </row>
    <row r="10" spans="1:18" x14ac:dyDescent="0.25">
      <c r="A10" s="115">
        <v>9</v>
      </c>
      <c r="B10" s="115" t="s">
        <v>347</v>
      </c>
      <c r="C10" s="115" t="s">
        <v>581</v>
      </c>
      <c r="D10" s="115" t="str">
        <f t="shared" si="1"/>
        <v>Cheryl</v>
      </c>
      <c r="E10" s="115" t="s">
        <v>345</v>
      </c>
      <c r="F10" s="116">
        <v>35825</v>
      </c>
      <c r="G10" s="115" t="s">
        <v>113</v>
      </c>
      <c r="H10" s="117">
        <v>35.5</v>
      </c>
      <c r="I10" s="118">
        <v>28.3</v>
      </c>
      <c r="J10" s="118">
        <f t="shared" si="0"/>
        <v>1004.65</v>
      </c>
      <c r="L10" s="118" t="str">
        <f t="shared" si="2"/>
        <v>cheryl</v>
      </c>
      <c r="M10" s="118" t="str">
        <f t="shared" si="3"/>
        <v>CHERYL</v>
      </c>
      <c r="N10" s="118" t="str">
        <f t="shared" si="4"/>
        <v>Cheryl</v>
      </c>
      <c r="O10" s="118" t="str">
        <f t="shared" si="5"/>
        <v>Cheryl</v>
      </c>
      <c r="P10" s="118" t="str">
        <f t="shared" si="6"/>
        <v>1004.65</v>
      </c>
      <c r="Q10" s="118" t="str">
        <f t="shared" si="7"/>
        <v>1004.65</v>
      </c>
      <c r="R10" s="118" t="str">
        <f t="shared" si="8"/>
        <v>Cheryl Halal</v>
      </c>
    </row>
    <row r="11" spans="1:18" x14ac:dyDescent="0.25">
      <c r="A11" s="115">
        <v>10</v>
      </c>
      <c r="B11" s="115" t="s">
        <v>344</v>
      </c>
      <c r="C11" s="115" t="s">
        <v>582</v>
      </c>
      <c r="D11" s="115" t="str">
        <f t="shared" si="1"/>
        <v>Harry</v>
      </c>
      <c r="E11" s="115" t="s">
        <v>342</v>
      </c>
      <c r="F11" s="116">
        <v>36157</v>
      </c>
      <c r="G11" s="115"/>
      <c r="H11" s="117">
        <v>40</v>
      </c>
      <c r="I11" s="118">
        <v>36.5</v>
      </c>
      <c r="J11" s="118">
        <f t="shared" si="0"/>
        <v>1460</v>
      </c>
      <c r="L11" s="118" t="str">
        <f t="shared" si="2"/>
        <v>harry</v>
      </c>
      <c r="M11" s="118" t="str">
        <f t="shared" si="3"/>
        <v>HARRY</v>
      </c>
      <c r="N11" s="118" t="str">
        <f t="shared" si="4"/>
        <v>Harry</v>
      </c>
      <c r="O11" s="118" t="str">
        <f t="shared" si="5"/>
        <v>Harry</v>
      </c>
      <c r="P11" s="118" t="str">
        <f t="shared" si="6"/>
        <v>1460</v>
      </c>
      <c r="Q11" s="118" t="str">
        <f t="shared" si="7"/>
        <v>1460</v>
      </c>
      <c r="R11" s="118" t="str">
        <f t="shared" si="8"/>
        <v>Harry Swayne</v>
      </c>
    </row>
    <row r="12" spans="1:18" x14ac:dyDescent="0.25">
      <c r="A12" s="115">
        <v>11</v>
      </c>
      <c r="B12" s="115" t="s">
        <v>341</v>
      </c>
      <c r="C12" s="115" t="s">
        <v>583</v>
      </c>
      <c r="D12" s="115" t="str">
        <f t="shared" si="1"/>
        <v>Shing</v>
      </c>
      <c r="E12" s="115" t="s">
        <v>339</v>
      </c>
      <c r="F12" s="116">
        <v>33822</v>
      </c>
      <c r="G12" s="115" t="s">
        <v>109</v>
      </c>
      <c r="H12" s="117">
        <v>35.5</v>
      </c>
      <c r="I12" s="118">
        <v>28.3</v>
      </c>
      <c r="J12" s="118">
        <f t="shared" si="0"/>
        <v>1004.65</v>
      </c>
      <c r="L12" s="118" t="str">
        <f t="shared" si="2"/>
        <v>shing</v>
      </c>
      <c r="M12" s="118" t="str">
        <f t="shared" si="3"/>
        <v>SHING</v>
      </c>
      <c r="N12" s="118" t="str">
        <f t="shared" si="4"/>
        <v>Shing</v>
      </c>
      <c r="O12" s="118" t="str">
        <f t="shared" si="5"/>
        <v>Shing</v>
      </c>
      <c r="P12" s="118" t="str">
        <f t="shared" si="6"/>
        <v>1004.65</v>
      </c>
      <c r="Q12" s="118" t="str">
        <f t="shared" si="7"/>
        <v>1004.65</v>
      </c>
      <c r="R12" s="118" t="str">
        <f t="shared" si="8"/>
        <v>Shing Chen</v>
      </c>
    </row>
    <row r="13" spans="1:18" x14ac:dyDescent="0.25">
      <c r="A13" s="115">
        <v>12</v>
      </c>
      <c r="B13" s="115" t="s">
        <v>338</v>
      </c>
      <c r="C13" s="115" t="s">
        <v>584</v>
      </c>
      <c r="D13" s="115" t="str">
        <f t="shared" si="1"/>
        <v>Seth</v>
      </c>
      <c r="E13" s="115" t="s">
        <v>336</v>
      </c>
      <c r="F13" s="116">
        <v>35888</v>
      </c>
      <c r="G13" s="115" t="s">
        <v>124</v>
      </c>
      <c r="H13" s="117">
        <v>32</v>
      </c>
      <c r="I13" s="118">
        <v>20.5</v>
      </c>
      <c r="J13" s="118">
        <f t="shared" si="0"/>
        <v>656</v>
      </c>
      <c r="L13" s="118" t="str">
        <f t="shared" si="2"/>
        <v>seth</v>
      </c>
      <c r="M13" s="118" t="str">
        <f t="shared" si="3"/>
        <v>SETH</v>
      </c>
      <c r="N13" s="118" t="str">
        <f t="shared" si="4"/>
        <v>Seth</v>
      </c>
      <c r="O13" s="118" t="str">
        <f t="shared" si="5"/>
        <v>Seth</v>
      </c>
      <c r="P13" s="118" t="str">
        <f t="shared" si="6"/>
        <v>656</v>
      </c>
      <c r="Q13" s="118" t="str">
        <f t="shared" si="7"/>
        <v>656</v>
      </c>
      <c r="R13" s="118" t="str">
        <f t="shared" si="8"/>
        <v>Seth Rose</v>
      </c>
    </row>
    <row r="14" spans="1:18" x14ac:dyDescent="0.25">
      <c r="A14" s="115">
        <v>13</v>
      </c>
      <c r="B14" s="115" t="s">
        <v>335</v>
      </c>
      <c r="C14" s="115" t="s">
        <v>585</v>
      </c>
      <c r="D14" s="115" t="str">
        <f t="shared" si="1"/>
        <v>Bob</v>
      </c>
      <c r="E14" s="115" t="s">
        <v>333</v>
      </c>
      <c r="F14" s="116">
        <v>33992</v>
      </c>
      <c r="G14" s="115" t="s">
        <v>550</v>
      </c>
      <c r="H14" s="117">
        <v>35.5</v>
      </c>
      <c r="I14" s="118">
        <v>50</v>
      </c>
      <c r="J14" s="118">
        <f t="shared" si="0"/>
        <v>1775</v>
      </c>
      <c r="L14" s="118" t="str">
        <f t="shared" si="2"/>
        <v>bob</v>
      </c>
      <c r="M14" s="118" t="str">
        <f t="shared" si="3"/>
        <v>BOB</v>
      </c>
      <c r="N14" s="118" t="str">
        <f t="shared" si="4"/>
        <v>Bob</v>
      </c>
      <c r="O14" s="118" t="str">
        <f t="shared" si="5"/>
        <v>Bob</v>
      </c>
      <c r="P14" s="118" t="str">
        <f t="shared" si="6"/>
        <v>1775</v>
      </c>
      <c r="Q14" s="118" t="str">
        <f t="shared" si="7"/>
        <v>1775</v>
      </c>
      <c r="R14" s="118" t="str">
        <f t="shared" si="8"/>
        <v>Bob Ambrose</v>
      </c>
    </row>
    <row r="15" spans="1:18" x14ac:dyDescent="0.25">
      <c r="A15" s="115">
        <v>14</v>
      </c>
      <c r="B15" s="115" t="s">
        <v>332</v>
      </c>
      <c r="C15" s="115" t="s">
        <v>586</v>
      </c>
      <c r="D15" s="115" t="str">
        <f t="shared" si="1"/>
        <v>Chris</v>
      </c>
      <c r="E15" s="115" t="s">
        <v>331</v>
      </c>
      <c r="F15" s="116">
        <v>35195</v>
      </c>
      <c r="G15" s="115" t="s">
        <v>128</v>
      </c>
      <c r="H15" s="117">
        <v>40</v>
      </c>
      <c r="I15" s="118">
        <v>22.22</v>
      </c>
      <c r="J15" s="118">
        <f t="shared" si="0"/>
        <v>888.8</v>
      </c>
      <c r="L15" s="118" t="str">
        <f t="shared" si="2"/>
        <v>chris</v>
      </c>
      <c r="M15" s="118" t="str">
        <f t="shared" si="3"/>
        <v>CHRIS</v>
      </c>
      <c r="N15" s="118" t="str">
        <f t="shared" si="4"/>
        <v>Chris</v>
      </c>
      <c r="O15" s="118" t="str">
        <f t="shared" si="5"/>
        <v>Chris</v>
      </c>
      <c r="P15" s="118" t="str">
        <f t="shared" si="6"/>
        <v>888.8</v>
      </c>
      <c r="Q15" s="118" t="str">
        <f t="shared" si="7"/>
        <v>888.8</v>
      </c>
      <c r="R15" s="118" t="str">
        <f t="shared" si="8"/>
        <v>Chris Hume</v>
      </c>
    </row>
    <row r="16" spans="1:18" x14ac:dyDescent="0.25">
      <c r="A16" s="115">
        <v>15</v>
      </c>
      <c r="B16" s="115" t="s">
        <v>330</v>
      </c>
      <c r="C16" s="115" t="s">
        <v>587</v>
      </c>
      <c r="D16" s="115" t="str">
        <f t="shared" si="1"/>
        <v>Robert</v>
      </c>
      <c r="E16" s="115" t="s">
        <v>329</v>
      </c>
      <c r="F16" s="116">
        <v>34858</v>
      </c>
      <c r="G16" s="115" t="s">
        <v>128</v>
      </c>
      <c r="H16" s="117">
        <v>40</v>
      </c>
      <c r="I16" s="118">
        <v>27.6</v>
      </c>
      <c r="J16" s="118">
        <f t="shared" si="0"/>
        <v>1104</v>
      </c>
      <c r="L16" s="118" t="str">
        <f t="shared" si="2"/>
        <v>robert</v>
      </c>
      <c r="M16" s="118" t="str">
        <f t="shared" si="3"/>
        <v>ROBERT</v>
      </c>
      <c r="N16" s="118" t="str">
        <f t="shared" si="4"/>
        <v>Robert</v>
      </c>
      <c r="O16" s="118" t="str">
        <f t="shared" si="5"/>
        <v>Robert</v>
      </c>
      <c r="P16" s="118" t="str">
        <f t="shared" si="6"/>
        <v>1104</v>
      </c>
      <c r="Q16" s="118" t="str">
        <f t="shared" si="7"/>
        <v>1104</v>
      </c>
      <c r="R16" s="118" t="str">
        <f t="shared" si="8"/>
        <v>Robert Murray</v>
      </c>
    </row>
    <row r="17" spans="1:18" x14ac:dyDescent="0.25">
      <c r="A17" s="115">
        <v>16</v>
      </c>
      <c r="B17" s="115" t="s">
        <v>328</v>
      </c>
      <c r="C17" s="115" t="s">
        <v>588</v>
      </c>
      <c r="D17" s="115" t="str">
        <f t="shared" si="1"/>
        <v>James</v>
      </c>
      <c r="E17" s="115" t="s">
        <v>327</v>
      </c>
      <c r="F17" s="116">
        <v>34616</v>
      </c>
      <c r="G17" s="115" t="s">
        <v>128</v>
      </c>
      <c r="H17" s="117">
        <v>35.5</v>
      </c>
      <c r="I17" s="118">
        <v>55</v>
      </c>
      <c r="J17" s="118">
        <f t="shared" si="0"/>
        <v>1952.5</v>
      </c>
      <c r="L17" s="118" t="str">
        <f t="shared" si="2"/>
        <v>james</v>
      </c>
      <c r="M17" s="118" t="str">
        <f t="shared" si="3"/>
        <v>JAMES</v>
      </c>
      <c r="N17" s="118" t="str">
        <f t="shared" si="4"/>
        <v>James</v>
      </c>
      <c r="O17" s="118" t="str">
        <f t="shared" si="5"/>
        <v>James</v>
      </c>
      <c r="P17" s="118" t="str">
        <f t="shared" si="6"/>
        <v>1952.5</v>
      </c>
      <c r="Q17" s="118" t="str">
        <f t="shared" si="7"/>
        <v>1952.5</v>
      </c>
      <c r="R17" s="118" t="str">
        <f t="shared" si="8"/>
        <v>James Rich</v>
      </c>
    </row>
    <row r="18" spans="1:18" x14ac:dyDescent="0.25">
      <c r="A18" s="115">
        <v>17</v>
      </c>
      <c r="B18" s="115" t="s">
        <v>326</v>
      </c>
      <c r="C18" s="115" t="s">
        <v>589</v>
      </c>
      <c r="D18" s="115" t="str">
        <f t="shared" si="1"/>
        <v>George</v>
      </c>
      <c r="E18" s="115" t="s">
        <v>325</v>
      </c>
      <c r="F18" s="116">
        <v>34094</v>
      </c>
      <c r="G18" s="115" t="s">
        <v>154</v>
      </c>
      <c r="H18" s="117">
        <v>40</v>
      </c>
      <c r="I18" s="118">
        <v>37</v>
      </c>
      <c r="J18" s="118">
        <f t="shared" si="0"/>
        <v>1480</v>
      </c>
      <c r="L18" s="118" t="str">
        <f t="shared" si="2"/>
        <v>george</v>
      </c>
      <c r="M18" s="118" t="str">
        <f t="shared" si="3"/>
        <v>GEORGE</v>
      </c>
      <c r="N18" s="118" t="str">
        <f t="shared" si="4"/>
        <v>George</v>
      </c>
      <c r="O18" s="118" t="str">
        <f t="shared" si="5"/>
        <v>George</v>
      </c>
      <c r="P18" s="118" t="str">
        <f t="shared" si="6"/>
        <v>1480</v>
      </c>
      <c r="Q18" s="118" t="str">
        <f t="shared" si="7"/>
        <v>1480</v>
      </c>
      <c r="R18" s="118" t="str">
        <f t="shared" si="8"/>
        <v>George Gorski</v>
      </c>
    </row>
    <row r="19" spans="1:18" x14ac:dyDescent="0.25">
      <c r="A19" s="115">
        <v>18</v>
      </c>
      <c r="B19" s="115" t="s">
        <v>324</v>
      </c>
      <c r="C19" s="115" t="s">
        <v>590</v>
      </c>
      <c r="D19" s="115" t="str">
        <f t="shared" si="1"/>
        <v>Paul</v>
      </c>
      <c r="E19" s="115" t="s">
        <v>323</v>
      </c>
      <c r="F19" s="116">
        <v>35050</v>
      </c>
      <c r="G19" s="115" t="s">
        <v>154</v>
      </c>
      <c r="H19" s="117">
        <v>40</v>
      </c>
      <c r="I19" s="118">
        <v>37</v>
      </c>
      <c r="J19" s="118">
        <f t="shared" si="0"/>
        <v>1480</v>
      </c>
      <c r="L19" s="118" t="str">
        <f t="shared" si="2"/>
        <v>paul</v>
      </c>
      <c r="M19" s="118" t="str">
        <f t="shared" si="3"/>
        <v>PAUL</v>
      </c>
      <c r="N19" s="118" t="str">
        <f t="shared" si="4"/>
        <v>Paul</v>
      </c>
      <c r="O19" s="118" t="str">
        <f t="shared" si="5"/>
        <v>Paul</v>
      </c>
      <c r="P19" s="118" t="str">
        <f t="shared" si="6"/>
        <v>1480</v>
      </c>
      <c r="Q19" s="118" t="str">
        <f t="shared" si="7"/>
        <v>1480</v>
      </c>
      <c r="R19" s="118" t="str">
        <f t="shared" si="8"/>
        <v>Paul Hoffman</v>
      </c>
    </row>
    <row r="20" spans="1:18" x14ac:dyDescent="0.25">
      <c r="A20" s="115">
        <v>19</v>
      </c>
      <c r="B20" s="115" t="s">
        <v>322</v>
      </c>
      <c r="C20" s="115" t="s">
        <v>591</v>
      </c>
      <c r="D20" s="115" t="str">
        <f t="shared" si="1"/>
        <v>Dean</v>
      </c>
      <c r="E20" s="115" t="s">
        <v>320</v>
      </c>
      <c r="F20" s="116">
        <v>34871</v>
      </c>
      <c r="G20" s="115" t="s">
        <v>105</v>
      </c>
      <c r="H20" s="117">
        <v>40</v>
      </c>
      <c r="I20" s="118">
        <v>30</v>
      </c>
      <c r="J20" s="118">
        <f t="shared" si="0"/>
        <v>1200</v>
      </c>
      <c r="L20" s="118" t="str">
        <f t="shared" si="2"/>
        <v>dean</v>
      </c>
      <c r="M20" s="118" t="str">
        <f t="shared" si="3"/>
        <v>DEAN</v>
      </c>
      <c r="N20" s="118" t="str">
        <f t="shared" si="4"/>
        <v>Dean</v>
      </c>
      <c r="O20" s="118" t="str">
        <f t="shared" si="5"/>
        <v>Dean</v>
      </c>
      <c r="P20" s="118" t="str">
        <f t="shared" si="6"/>
        <v>1200</v>
      </c>
      <c r="Q20" s="118" t="str">
        <f t="shared" si="7"/>
        <v>1200</v>
      </c>
      <c r="R20" s="118" t="str">
        <f t="shared" si="8"/>
        <v>Dean Kramer</v>
      </c>
    </row>
    <row r="21" spans="1:18" x14ac:dyDescent="0.25">
      <c r="A21" s="115">
        <v>20</v>
      </c>
      <c r="B21" s="115" t="s">
        <v>319</v>
      </c>
      <c r="C21" s="115" t="s">
        <v>592</v>
      </c>
      <c r="D21" s="115" t="str">
        <f t="shared" si="1"/>
        <v>Carol</v>
      </c>
      <c r="E21" s="115" t="s">
        <v>318</v>
      </c>
      <c r="F21" s="116">
        <v>34534</v>
      </c>
      <c r="G21" s="115"/>
      <c r="H21" s="117">
        <v>35.5</v>
      </c>
      <c r="I21" s="118">
        <v>27.5</v>
      </c>
      <c r="J21" s="118">
        <f t="shared" si="0"/>
        <v>976.25</v>
      </c>
      <c r="L21" s="118" t="str">
        <f t="shared" si="2"/>
        <v>carol</v>
      </c>
      <c r="M21" s="118" t="str">
        <f t="shared" si="3"/>
        <v>CAROL</v>
      </c>
      <c r="N21" s="118" t="str">
        <f t="shared" si="4"/>
        <v>Carol</v>
      </c>
      <c r="O21" s="118" t="str">
        <f t="shared" si="5"/>
        <v>Carol</v>
      </c>
      <c r="P21" s="118" t="str">
        <f t="shared" si="6"/>
        <v>976.25</v>
      </c>
      <c r="Q21" s="118" t="str">
        <f t="shared" si="7"/>
        <v>976.25</v>
      </c>
      <c r="R21" s="118" t="str">
        <f t="shared" si="8"/>
        <v>Carol Hill</v>
      </c>
    </row>
    <row r="22" spans="1:18" x14ac:dyDescent="0.25">
      <c r="A22" s="115">
        <v>21</v>
      </c>
      <c r="B22" s="115" t="s">
        <v>317</v>
      </c>
      <c r="C22" s="115" t="s">
        <v>593</v>
      </c>
      <c r="D22" s="115" t="str">
        <f t="shared" si="1"/>
        <v>Julia</v>
      </c>
      <c r="E22" s="115" t="s">
        <v>132</v>
      </c>
      <c r="F22" s="116">
        <v>33649</v>
      </c>
      <c r="G22" s="115" t="s">
        <v>105</v>
      </c>
      <c r="H22" s="117">
        <v>25</v>
      </c>
      <c r="I22" s="118">
        <v>23.52</v>
      </c>
      <c r="J22" s="118">
        <f t="shared" si="0"/>
        <v>588</v>
      </c>
      <c r="L22" s="118" t="str">
        <f t="shared" si="2"/>
        <v>julia</v>
      </c>
      <c r="M22" s="118" t="str">
        <f t="shared" si="3"/>
        <v>JULIA</v>
      </c>
      <c r="N22" s="118" t="str">
        <f t="shared" si="4"/>
        <v>Julia</v>
      </c>
      <c r="O22" s="118" t="str">
        <f t="shared" si="5"/>
        <v>Julia</v>
      </c>
      <c r="P22" s="118" t="str">
        <f t="shared" si="6"/>
        <v>588</v>
      </c>
      <c r="Q22" s="118" t="str">
        <f t="shared" si="7"/>
        <v>588</v>
      </c>
      <c r="R22" s="118" t="str">
        <f t="shared" si="8"/>
        <v>Julia Smith</v>
      </c>
    </row>
    <row r="23" spans="1:18" x14ac:dyDescent="0.25">
      <c r="A23" s="115">
        <v>22</v>
      </c>
      <c r="B23" s="115" t="s">
        <v>315</v>
      </c>
      <c r="C23" s="115" t="s">
        <v>594</v>
      </c>
      <c r="D23" s="115" t="str">
        <f t="shared" si="1"/>
        <v>Jacqueline</v>
      </c>
      <c r="E23" s="115" t="s">
        <v>313</v>
      </c>
      <c r="F23" s="116">
        <v>33634</v>
      </c>
      <c r="G23" s="115" t="s">
        <v>154</v>
      </c>
      <c r="H23" s="117">
        <v>40</v>
      </c>
      <c r="I23" s="118">
        <v>23.75</v>
      </c>
      <c r="J23" s="118">
        <f t="shared" si="0"/>
        <v>950</v>
      </c>
      <c r="L23" s="118" t="str">
        <f t="shared" si="2"/>
        <v>jacqueline</v>
      </c>
      <c r="M23" s="118" t="str">
        <f t="shared" si="3"/>
        <v>JACQUELINE</v>
      </c>
      <c r="N23" s="118" t="str">
        <f t="shared" si="4"/>
        <v>Jacqueline</v>
      </c>
      <c r="O23" s="118" t="str">
        <f t="shared" si="5"/>
        <v>Jacqueline</v>
      </c>
      <c r="P23" s="118" t="str">
        <f t="shared" si="6"/>
        <v>950</v>
      </c>
      <c r="Q23" s="118" t="str">
        <f t="shared" si="7"/>
        <v>950</v>
      </c>
      <c r="R23" s="118" t="str">
        <f t="shared" si="8"/>
        <v>Jacqueline Banks</v>
      </c>
    </row>
    <row r="24" spans="1:18" x14ac:dyDescent="0.25">
      <c r="A24" s="115">
        <v>23</v>
      </c>
      <c r="B24" s="115" t="s">
        <v>312</v>
      </c>
      <c r="C24" s="115" t="s">
        <v>595</v>
      </c>
      <c r="D24" s="115" t="str">
        <f t="shared" si="1"/>
        <v>Jeffrey</v>
      </c>
      <c r="E24" s="115" t="s">
        <v>310</v>
      </c>
      <c r="F24" s="116">
        <v>32573</v>
      </c>
      <c r="G24" s="115" t="s">
        <v>109</v>
      </c>
      <c r="H24" s="117">
        <v>40</v>
      </c>
      <c r="I24" s="118">
        <v>60</v>
      </c>
      <c r="J24" s="118">
        <f t="shared" si="0"/>
        <v>2400</v>
      </c>
      <c r="L24" s="118" t="str">
        <f t="shared" si="2"/>
        <v>jeffrey</v>
      </c>
      <c r="M24" s="118" t="str">
        <f t="shared" si="3"/>
        <v>JEFFREY</v>
      </c>
      <c r="N24" s="118" t="str">
        <f t="shared" si="4"/>
        <v>Jeffrey</v>
      </c>
      <c r="O24" s="118" t="str">
        <f t="shared" si="5"/>
        <v>Jeffrey</v>
      </c>
      <c r="P24" s="118" t="str">
        <f t="shared" si="6"/>
        <v>2400</v>
      </c>
      <c r="Q24" s="118" t="str">
        <f t="shared" si="7"/>
        <v>2400</v>
      </c>
      <c r="R24" s="118" t="str">
        <f t="shared" si="8"/>
        <v>Jeffrey Strong</v>
      </c>
    </row>
    <row r="25" spans="1:18" x14ac:dyDescent="0.25">
      <c r="A25" s="115">
        <v>24</v>
      </c>
      <c r="B25" s="115" t="s">
        <v>309</v>
      </c>
      <c r="C25" s="115" t="s">
        <v>596</v>
      </c>
      <c r="D25" s="115" t="str">
        <f t="shared" si="1"/>
        <v>Jeri Lynn</v>
      </c>
      <c r="E25" s="115" t="s">
        <v>307</v>
      </c>
      <c r="F25" s="116">
        <v>33700</v>
      </c>
      <c r="G25" s="115"/>
      <c r="H25" s="117">
        <v>40</v>
      </c>
      <c r="I25" s="118">
        <v>52</v>
      </c>
      <c r="J25" s="118">
        <f t="shared" si="0"/>
        <v>2080</v>
      </c>
      <c r="L25" s="118" t="str">
        <f t="shared" si="2"/>
        <v>jeri lynn</v>
      </c>
      <c r="M25" s="118" t="str">
        <f t="shared" si="3"/>
        <v>JERI LYNN</v>
      </c>
      <c r="N25" s="118" t="str">
        <f t="shared" si="4"/>
        <v>Jeri Lynn</v>
      </c>
      <c r="O25" s="118" t="str">
        <f t="shared" si="5"/>
        <v>Jeri Lynn</v>
      </c>
      <c r="P25" s="118" t="str">
        <f t="shared" si="6"/>
        <v>2080</v>
      </c>
      <c r="Q25" s="118" t="str">
        <f t="shared" si="7"/>
        <v>2080</v>
      </c>
      <c r="R25" s="118" t="str">
        <f t="shared" si="8"/>
        <v>Jeri Lynn MacFall</v>
      </c>
    </row>
    <row r="26" spans="1:18" x14ac:dyDescent="0.25">
      <c r="A26" s="115">
        <v>25</v>
      </c>
      <c r="B26" s="115" t="s">
        <v>306</v>
      </c>
      <c r="C26" s="115" t="s">
        <v>597</v>
      </c>
      <c r="D26" s="115" t="str">
        <f t="shared" si="1"/>
        <v>Sung</v>
      </c>
      <c r="E26" s="115" t="s">
        <v>178</v>
      </c>
      <c r="F26" s="116">
        <v>35747</v>
      </c>
      <c r="G26" s="115" t="s">
        <v>124</v>
      </c>
      <c r="H26" s="117">
        <v>40</v>
      </c>
      <c r="I26" s="118">
        <v>30.5</v>
      </c>
      <c r="J26" s="118">
        <f t="shared" si="0"/>
        <v>1220</v>
      </c>
      <c r="L26" s="118" t="str">
        <f t="shared" si="2"/>
        <v>sung</v>
      </c>
      <c r="M26" s="118" t="str">
        <f t="shared" si="3"/>
        <v>SUNG</v>
      </c>
      <c r="N26" s="118" t="str">
        <f t="shared" si="4"/>
        <v>Sung</v>
      </c>
      <c r="O26" s="118" t="str">
        <f t="shared" si="5"/>
        <v>Sung</v>
      </c>
      <c r="P26" s="118" t="str">
        <f t="shared" si="6"/>
        <v>1220</v>
      </c>
      <c r="Q26" s="118" t="str">
        <f t="shared" si="7"/>
        <v>1220</v>
      </c>
      <c r="R26" s="118" t="str">
        <f t="shared" si="8"/>
        <v>Sung Kim</v>
      </c>
    </row>
    <row r="27" spans="1:18" x14ac:dyDescent="0.25">
      <c r="A27" s="115">
        <v>26</v>
      </c>
      <c r="B27" s="115" t="s">
        <v>304</v>
      </c>
      <c r="C27" s="115" t="s">
        <v>598</v>
      </c>
      <c r="D27" s="115" t="str">
        <f t="shared" si="1"/>
        <v>Theodore</v>
      </c>
      <c r="E27" s="115" t="s">
        <v>302</v>
      </c>
      <c r="F27" s="116">
        <v>36374</v>
      </c>
      <c r="G27" s="115" t="s">
        <v>124</v>
      </c>
      <c r="H27" s="117">
        <v>32</v>
      </c>
      <c r="I27" s="118">
        <v>20.5</v>
      </c>
      <c r="J27" s="118">
        <f t="shared" si="0"/>
        <v>656</v>
      </c>
      <c r="L27" s="118" t="str">
        <f t="shared" si="2"/>
        <v>theodore</v>
      </c>
      <c r="M27" s="118" t="str">
        <f t="shared" si="3"/>
        <v>THEODORE</v>
      </c>
      <c r="N27" s="118" t="str">
        <f t="shared" si="4"/>
        <v>Theodore</v>
      </c>
      <c r="O27" s="118" t="str">
        <f t="shared" si="5"/>
        <v>Theodore</v>
      </c>
      <c r="P27" s="118" t="str">
        <f t="shared" si="6"/>
        <v>656</v>
      </c>
      <c r="Q27" s="118" t="str">
        <f t="shared" si="7"/>
        <v>656</v>
      </c>
      <c r="R27" s="118" t="str">
        <f t="shared" si="8"/>
        <v>Theodore Ness</v>
      </c>
    </row>
    <row r="28" spans="1:18" x14ac:dyDescent="0.25">
      <c r="A28" s="115">
        <v>27</v>
      </c>
      <c r="B28" s="115" t="s">
        <v>301</v>
      </c>
      <c r="C28" s="115" t="s">
        <v>599</v>
      </c>
      <c r="D28" s="115" t="str">
        <f t="shared" si="1"/>
        <v>Brad</v>
      </c>
      <c r="E28" s="115" t="s">
        <v>299</v>
      </c>
      <c r="F28" s="116">
        <v>34279</v>
      </c>
      <c r="G28" s="115" t="s">
        <v>154</v>
      </c>
      <c r="H28" s="117">
        <v>40</v>
      </c>
      <c r="I28" s="118">
        <v>34.5</v>
      </c>
      <c r="J28" s="118">
        <f t="shared" si="0"/>
        <v>1380</v>
      </c>
      <c r="L28" s="118" t="str">
        <f t="shared" si="2"/>
        <v>brad</v>
      </c>
      <c r="M28" s="118" t="str">
        <f t="shared" si="3"/>
        <v>BRAD</v>
      </c>
      <c r="N28" s="118" t="str">
        <f t="shared" si="4"/>
        <v>Brad</v>
      </c>
      <c r="O28" s="118" t="str">
        <f t="shared" si="5"/>
        <v>Brad</v>
      </c>
      <c r="P28" s="118" t="str">
        <f t="shared" si="6"/>
        <v>1380</v>
      </c>
      <c r="Q28" s="118" t="str">
        <f t="shared" si="7"/>
        <v>1380</v>
      </c>
      <c r="R28" s="118" t="str">
        <f t="shared" si="8"/>
        <v>Brad Hinkelman</v>
      </c>
    </row>
    <row r="29" spans="1:18" x14ac:dyDescent="0.25">
      <c r="A29" s="115">
        <v>28</v>
      </c>
      <c r="B29" s="115" t="s">
        <v>298</v>
      </c>
      <c r="C29" s="115" t="s">
        <v>600</v>
      </c>
      <c r="D29" s="115" t="str">
        <f t="shared" si="1"/>
        <v>Robert</v>
      </c>
      <c r="E29" s="115" t="s">
        <v>296</v>
      </c>
      <c r="F29" s="116">
        <v>33497</v>
      </c>
      <c r="G29" s="115" t="s">
        <v>124</v>
      </c>
      <c r="H29" s="117">
        <v>40</v>
      </c>
      <c r="I29" s="118">
        <v>45</v>
      </c>
      <c r="J29" s="118">
        <f t="shared" si="0"/>
        <v>1800</v>
      </c>
      <c r="L29" s="118" t="str">
        <f t="shared" si="2"/>
        <v>robert</v>
      </c>
      <c r="M29" s="118" t="str">
        <f t="shared" si="3"/>
        <v>ROBERT</v>
      </c>
      <c r="N29" s="118" t="str">
        <f t="shared" si="4"/>
        <v>Robert</v>
      </c>
      <c r="O29" s="118" t="str">
        <f t="shared" si="5"/>
        <v>Robert</v>
      </c>
      <c r="P29" s="118" t="str">
        <f t="shared" si="6"/>
        <v>1800</v>
      </c>
      <c r="Q29" s="118" t="str">
        <f t="shared" si="7"/>
        <v>1800</v>
      </c>
      <c r="R29" s="118" t="str">
        <f t="shared" si="8"/>
        <v>Robert Cuffaro</v>
      </c>
    </row>
    <row r="30" spans="1:18" x14ac:dyDescent="0.25">
      <c r="A30" s="115">
        <v>29</v>
      </c>
      <c r="B30" s="115" t="s">
        <v>295</v>
      </c>
      <c r="C30" s="115" t="s">
        <v>601</v>
      </c>
      <c r="D30" s="115" t="str">
        <f t="shared" si="1"/>
        <v>Donald</v>
      </c>
      <c r="E30" s="115" t="s">
        <v>293</v>
      </c>
      <c r="F30" s="116">
        <v>33831</v>
      </c>
      <c r="G30" s="115" t="s">
        <v>154</v>
      </c>
      <c r="H30" s="117">
        <v>32</v>
      </c>
      <c r="I30" s="118">
        <v>20.5</v>
      </c>
      <c r="J30" s="118">
        <f t="shared" si="0"/>
        <v>656</v>
      </c>
      <c r="L30" s="118" t="str">
        <f t="shared" si="2"/>
        <v>donald</v>
      </c>
      <c r="M30" s="118" t="str">
        <f t="shared" si="3"/>
        <v>DONALD</v>
      </c>
      <c r="N30" s="118" t="str">
        <f t="shared" si="4"/>
        <v>Donald</v>
      </c>
      <c r="O30" s="118" t="str">
        <f t="shared" si="5"/>
        <v>Donald</v>
      </c>
      <c r="P30" s="118" t="str">
        <f t="shared" si="6"/>
        <v>656</v>
      </c>
      <c r="Q30" s="118" t="str">
        <f t="shared" si="7"/>
        <v>656</v>
      </c>
      <c r="R30" s="118" t="str">
        <f t="shared" si="8"/>
        <v>Donald Reese</v>
      </c>
    </row>
    <row r="31" spans="1:18" x14ac:dyDescent="0.25">
      <c r="A31" s="115">
        <v>30</v>
      </c>
      <c r="B31" s="115" t="s">
        <v>292</v>
      </c>
      <c r="C31" s="115" t="s">
        <v>602</v>
      </c>
      <c r="D31" s="115" t="str">
        <f t="shared" si="1"/>
        <v>Joanne</v>
      </c>
      <c r="E31" s="115" t="s">
        <v>290</v>
      </c>
      <c r="F31" s="116">
        <v>33837</v>
      </c>
      <c r="G31" s="115" t="s">
        <v>154</v>
      </c>
      <c r="H31" s="117">
        <v>40</v>
      </c>
      <c r="I31" s="118">
        <v>36.5</v>
      </c>
      <c r="J31" s="118">
        <f t="shared" si="0"/>
        <v>1460</v>
      </c>
      <c r="L31" s="118" t="str">
        <f t="shared" si="2"/>
        <v>joanne</v>
      </c>
      <c r="M31" s="118" t="str">
        <f t="shared" si="3"/>
        <v>JOANNE</v>
      </c>
      <c r="N31" s="118" t="str">
        <f t="shared" si="4"/>
        <v>Joanne</v>
      </c>
      <c r="O31" s="118" t="str">
        <f t="shared" si="5"/>
        <v>Joanne</v>
      </c>
      <c r="P31" s="118" t="str">
        <f t="shared" si="6"/>
        <v>1460</v>
      </c>
      <c r="Q31" s="118" t="str">
        <f t="shared" si="7"/>
        <v>1460</v>
      </c>
      <c r="R31" s="118" t="str">
        <f t="shared" si="8"/>
        <v>Joanne Parker</v>
      </c>
    </row>
    <row r="32" spans="1:18" x14ac:dyDescent="0.25">
      <c r="A32" s="115">
        <v>31</v>
      </c>
      <c r="B32" s="115" t="s">
        <v>289</v>
      </c>
      <c r="C32" s="115" t="s">
        <v>603</v>
      </c>
      <c r="D32" s="115" t="str">
        <f t="shared" si="1"/>
        <v>Susan</v>
      </c>
      <c r="E32" s="115" t="s">
        <v>287</v>
      </c>
      <c r="F32" s="116">
        <v>35775</v>
      </c>
      <c r="G32" s="115" t="s">
        <v>109</v>
      </c>
      <c r="H32" s="117">
        <v>25</v>
      </c>
      <c r="I32" s="118">
        <v>23.52</v>
      </c>
      <c r="J32" s="118">
        <f t="shared" si="0"/>
        <v>588</v>
      </c>
      <c r="L32" s="118" t="str">
        <f t="shared" si="2"/>
        <v>susan</v>
      </c>
      <c r="M32" s="118" t="str">
        <f t="shared" si="3"/>
        <v>SUSAN</v>
      </c>
      <c r="N32" s="118" t="str">
        <f t="shared" si="4"/>
        <v>Susan</v>
      </c>
      <c r="O32" s="118" t="str">
        <f t="shared" si="5"/>
        <v>Susan</v>
      </c>
      <c r="P32" s="118" t="str">
        <f t="shared" si="6"/>
        <v>588</v>
      </c>
      <c r="Q32" s="118" t="str">
        <f t="shared" si="7"/>
        <v>588</v>
      </c>
      <c r="R32" s="118" t="str">
        <f t="shared" si="8"/>
        <v>Susan Drake</v>
      </c>
    </row>
    <row r="33" spans="1:18" x14ac:dyDescent="0.25">
      <c r="A33" s="115">
        <v>32</v>
      </c>
      <c r="B33" s="115" t="s">
        <v>286</v>
      </c>
      <c r="C33" s="115" t="s">
        <v>604</v>
      </c>
      <c r="D33" s="115" t="str">
        <f t="shared" si="1"/>
        <v>James</v>
      </c>
      <c r="E33" s="115" t="s">
        <v>183</v>
      </c>
      <c r="F33" s="116">
        <v>36194</v>
      </c>
      <c r="G33" s="115"/>
      <c r="H33" s="117">
        <v>35</v>
      </c>
      <c r="I33" s="118">
        <v>27.1</v>
      </c>
      <c r="J33" s="118">
        <f t="shared" si="0"/>
        <v>948.5</v>
      </c>
      <c r="L33" s="118" t="str">
        <f t="shared" si="2"/>
        <v>james</v>
      </c>
      <c r="M33" s="118" t="str">
        <f t="shared" si="3"/>
        <v>JAMES</v>
      </c>
      <c r="N33" s="118" t="str">
        <f t="shared" si="4"/>
        <v>James</v>
      </c>
      <c r="O33" s="118" t="str">
        <f t="shared" si="5"/>
        <v>James</v>
      </c>
      <c r="P33" s="118" t="str">
        <f t="shared" si="6"/>
        <v>948.5</v>
      </c>
      <c r="Q33" s="118" t="str">
        <f t="shared" si="7"/>
        <v>948.5</v>
      </c>
      <c r="R33" s="118" t="str">
        <f t="shared" si="8"/>
        <v>James Abel</v>
      </c>
    </row>
    <row r="34" spans="1:18" x14ac:dyDescent="0.25">
      <c r="A34" s="115">
        <v>33</v>
      </c>
      <c r="B34" s="115" t="s">
        <v>284</v>
      </c>
      <c r="C34" s="115" t="s">
        <v>605</v>
      </c>
      <c r="D34" s="115" t="str">
        <f t="shared" si="1"/>
        <v>Laura</v>
      </c>
      <c r="E34" s="115" t="s">
        <v>282</v>
      </c>
      <c r="F34" s="116">
        <v>36017</v>
      </c>
      <c r="G34" s="115" t="s">
        <v>105</v>
      </c>
      <c r="H34" s="117">
        <v>35</v>
      </c>
      <c r="I34" s="118">
        <v>50</v>
      </c>
      <c r="J34" s="118">
        <f t="shared" si="0"/>
        <v>1750</v>
      </c>
      <c r="L34" s="118" t="str">
        <f t="shared" si="2"/>
        <v>laura</v>
      </c>
      <c r="M34" s="118" t="str">
        <f t="shared" si="3"/>
        <v>LAURA</v>
      </c>
      <c r="N34" s="118" t="str">
        <f t="shared" si="4"/>
        <v>Laura</v>
      </c>
      <c r="O34" s="118" t="str">
        <f t="shared" si="5"/>
        <v>Laura</v>
      </c>
      <c r="P34" s="118" t="str">
        <f t="shared" si="6"/>
        <v>1750</v>
      </c>
      <c r="Q34" s="118" t="str">
        <f t="shared" si="7"/>
        <v>1750</v>
      </c>
      <c r="R34" s="118" t="str">
        <f t="shared" si="8"/>
        <v>Laura Reagan</v>
      </c>
    </row>
    <row r="35" spans="1:18" x14ac:dyDescent="0.25">
      <c r="A35" s="115">
        <v>34</v>
      </c>
      <c r="B35" s="115" t="s">
        <v>281</v>
      </c>
      <c r="C35" s="115" t="s">
        <v>606</v>
      </c>
      <c r="D35" s="115" t="str">
        <f t="shared" si="1"/>
        <v>Brian</v>
      </c>
      <c r="E35" s="115" t="s">
        <v>132</v>
      </c>
      <c r="F35" s="116">
        <v>35372</v>
      </c>
      <c r="G35" s="115" t="s">
        <v>120</v>
      </c>
      <c r="H35" s="117">
        <v>40</v>
      </c>
      <c r="I35" s="118">
        <v>34.5</v>
      </c>
      <c r="J35" s="118">
        <f t="shared" si="0"/>
        <v>1380</v>
      </c>
      <c r="L35" s="118" t="str">
        <f t="shared" si="2"/>
        <v>brian</v>
      </c>
      <c r="M35" s="118" t="str">
        <f t="shared" si="3"/>
        <v>BRIAN</v>
      </c>
      <c r="N35" s="118" t="str">
        <f t="shared" si="4"/>
        <v>Brian</v>
      </c>
      <c r="O35" s="118" t="str">
        <f t="shared" si="5"/>
        <v>Brian</v>
      </c>
      <c r="P35" s="118" t="str">
        <f t="shared" si="6"/>
        <v>1380</v>
      </c>
      <c r="Q35" s="118" t="str">
        <f t="shared" si="7"/>
        <v>1380</v>
      </c>
      <c r="R35" s="118" t="str">
        <f t="shared" si="8"/>
        <v>Brian Smith</v>
      </c>
    </row>
    <row r="36" spans="1:18" x14ac:dyDescent="0.25">
      <c r="A36" s="115">
        <v>35</v>
      </c>
      <c r="B36" s="115" t="s">
        <v>279</v>
      </c>
      <c r="C36" s="115" t="s">
        <v>607</v>
      </c>
      <c r="D36" s="115" t="str">
        <f t="shared" si="1"/>
        <v>Mary</v>
      </c>
      <c r="E36" s="115" t="s">
        <v>278</v>
      </c>
      <c r="F36" s="116">
        <v>35026</v>
      </c>
      <c r="G36" s="115" t="s">
        <v>120</v>
      </c>
      <c r="H36" s="117">
        <v>35.5</v>
      </c>
      <c r="I36" s="118">
        <v>55</v>
      </c>
      <c r="J36" s="118">
        <f t="shared" si="0"/>
        <v>1952.5</v>
      </c>
      <c r="L36" s="118" t="str">
        <f t="shared" si="2"/>
        <v>mary</v>
      </c>
      <c r="M36" s="118" t="str">
        <f t="shared" si="3"/>
        <v>MARY</v>
      </c>
      <c r="N36" s="118" t="str">
        <f t="shared" si="4"/>
        <v>Mary</v>
      </c>
      <c r="O36" s="118" t="str">
        <f t="shared" si="5"/>
        <v>Mary</v>
      </c>
      <c r="P36" s="118" t="str">
        <f t="shared" si="6"/>
        <v>1952.5</v>
      </c>
      <c r="Q36" s="118" t="str">
        <f t="shared" si="7"/>
        <v>1952.5</v>
      </c>
      <c r="R36" s="118" t="str">
        <f t="shared" si="8"/>
        <v>Mary Barber</v>
      </c>
    </row>
    <row r="37" spans="1:18" x14ac:dyDescent="0.25">
      <c r="A37" s="115">
        <v>36</v>
      </c>
      <c r="B37" s="115" t="s">
        <v>277</v>
      </c>
      <c r="C37" s="115" t="s">
        <v>608</v>
      </c>
      <c r="D37" s="115" t="str">
        <f t="shared" si="1"/>
        <v>Peter</v>
      </c>
      <c r="E37" s="115" t="s">
        <v>275</v>
      </c>
      <c r="F37" s="116">
        <v>34483</v>
      </c>
      <c r="G37" s="115"/>
      <c r="H37" s="117">
        <v>40</v>
      </c>
      <c r="I37" s="118">
        <v>23.75</v>
      </c>
      <c r="J37" s="118">
        <f t="shared" si="0"/>
        <v>950</v>
      </c>
      <c r="L37" s="118" t="str">
        <f t="shared" si="2"/>
        <v>peter</v>
      </c>
      <c r="M37" s="118" t="str">
        <f t="shared" si="3"/>
        <v>PETER</v>
      </c>
      <c r="N37" s="118" t="str">
        <f t="shared" si="4"/>
        <v>Peter</v>
      </c>
      <c r="O37" s="118" t="str">
        <f t="shared" si="5"/>
        <v>Peter</v>
      </c>
      <c r="P37" s="118" t="str">
        <f t="shared" si="6"/>
        <v>950</v>
      </c>
      <c r="Q37" s="118" t="str">
        <f t="shared" si="7"/>
        <v>950</v>
      </c>
      <c r="R37" s="118" t="str">
        <f t="shared" si="8"/>
        <v>Peter Allen</v>
      </c>
    </row>
    <row r="38" spans="1:18" x14ac:dyDescent="0.25">
      <c r="A38" s="115">
        <v>37</v>
      </c>
      <c r="B38" s="115" t="s">
        <v>274</v>
      </c>
      <c r="C38" s="115" t="s">
        <v>609</v>
      </c>
      <c r="D38" s="115" t="str">
        <f t="shared" si="1"/>
        <v>Mary</v>
      </c>
      <c r="E38" s="115" t="s">
        <v>272</v>
      </c>
      <c r="F38" s="116">
        <v>34949</v>
      </c>
      <c r="G38" s="115" t="s">
        <v>154</v>
      </c>
      <c r="H38" s="117">
        <v>29.5</v>
      </c>
      <c r="I38" s="118">
        <v>21.5</v>
      </c>
      <c r="J38" s="118">
        <f t="shared" si="0"/>
        <v>634.25</v>
      </c>
      <c r="L38" s="118" t="str">
        <f t="shared" si="2"/>
        <v>mary</v>
      </c>
      <c r="M38" s="118" t="str">
        <f t="shared" si="3"/>
        <v>MARY</v>
      </c>
      <c r="N38" s="118" t="str">
        <f t="shared" si="4"/>
        <v>Mary</v>
      </c>
      <c r="O38" s="118" t="str">
        <f t="shared" si="5"/>
        <v>Mary</v>
      </c>
      <c r="P38" s="118" t="str">
        <f t="shared" si="6"/>
        <v>634.25</v>
      </c>
      <c r="Q38" s="118" t="str">
        <f t="shared" si="7"/>
        <v>634.25</v>
      </c>
      <c r="R38" s="118" t="str">
        <f t="shared" si="8"/>
        <v>Mary Altman</v>
      </c>
    </row>
    <row r="39" spans="1:18" x14ac:dyDescent="0.25">
      <c r="A39" s="115">
        <v>38</v>
      </c>
      <c r="B39" s="115" t="s">
        <v>271</v>
      </c>
      <c r="C39" s="115" t="s">
        <v>610</v>
      </c>
      <c r="D39" s="115" t="str">
        <f t="shared" si="1"/>
        <v>Fred</v>
      </c>
      <c r="E39" s="115" t="s">
        <v>269</v>
      </c>
      <c r="F39" s="116">
        <v>33404</v>
      </c>
      <c r="G39" s="115" t="s">
        <v>120</v>
      </c>
      <c r="H39" s="117">
        <v>38</v>
      </c>
      <c r="I39" s="118">
        <v>30.5</v>
      </c>
      <c r="J39" s="118">
        <f t="shared" si="0"/>
        <v>1159</v>
      </c>
      <c r="L39" s="118" t="str">
        <f t="shared" si="2"/>
        <v>fred</v>
      </c>
      <c r="M39" s="118" t="str">
        <f t="shared" si="3"/>
        <v>FRED</v>
      </c>
      <c r="N39" s="118" t="str">
        <f t="shared" si="4"/>
        <v>Fred</v>
      </c>
      <c r="O39" s="118" t="str">
        <f t="shared" si="5"/>
        <v>Fred</v>
      </c>
      <c r="P39" s="118" t="str">
        <f t="shared" si="6"/>
        <v>1159</v>
      </c>
      <c r="Q39" s="118" t="str">
        <f t="shared" si="7"/>
        <v>1159</v>
      </c>
      <c r="R39" s="118" t="str">
        <f t="shared" si="8"/>
        <v>Fred Mallory</v>
      </c>
    </row>
    <row r="40" spans="1:18" x14ac:dyDescent="0.25">
      <c r="A40" s="115">
        <v>39</v>
      </c>
      <c r="B40" s="115" t="s">
        <v>268</v>
      </c>
      <c r="C40" s="115" t="s">
        <v>611</v>
      </c>
      <c r="D40" s="115" t="str">
        <f t="shared" si="1"/>
        <v>Molly</v>
      </c>
      <c r="E40" s="115" t="s">
        <v>266</v>
      </c>
      <c r="F40" s="116">
        <v>35655</v>
      </c>
      <c r="G40" s="115" t="s">
        <v>128</v>
      </c>
      <c r="H40" s="117">
        <v>40</v>
      </c>
      <c r="I40" s="118">
        <v>37</v>
      </c>
      <c r="J40" s="118">
        <f t="shared" si="0"/>
        <v>1480</v>
      </c>
      <c r="L40" s="118" t="str">
        <f t="shared" si="2"/>
        <v>molly</v>
      </c>
      <c r="M40" s="118" t="str">
        <f t="shared" si="3"/>
        <v>MOLLY</v>
      </c>
      <c r="N40" s="118" t="str">
        <f t="shared" si="4"/>
        <v>Molly</v>
      </c>
      <c r="O40" s="118" t="str">
        <f t="shared" si="5"/>
        <v>Molly</v>
      </c>
      <c r="P40" s="118" t="str">
        <f t="shared" si="6"/>
        <v>1480</v>
      </c>
      <c r="Q40" s="118" t="str">
        <f t="shared" si="7"/>
        <v>1480</v>
      </c>
      <c r="R40" s="118" t="str">
        <f t="shared" si="8"/>
        <v>Molly Steadman</v>
      </c>
    </row>
    <row r="41" spans="1:18" x14ac:dyDescent="0.25">
      <c r="A41" s="115">
        <v>40</v>
      </c>
      <c r="B41" s="115" t="s">
        <v>265</v>
      </c>
      <c r="C41" s="115" t="s">
        <v>612</v>
      </c>
      <c r="D41" s="115" t="str">
        <f t="shared" si="1"/>
        <v>Greg</v>
      </c>
      <c r="E41" s="115" t="s">
        <v>264</v>
      </c>
      <c r="F41" s="116">
        <v>35005</v>
      </c>
      <c r="G41" s="115"/>
      <c r="H41" s="117">
        <v>38</v>
      </c>
      <c r="I41" s="118">
        <v>30.5</v>
      </c>
      <c r="J41" s="118">
        <f t="shared" si="0"/>
        <v>1159</v>
      </c>
      <c r="L41" s="118" t="str">
        <f t="shared" si="2"/>
        <v>greg</v>
      </c>
      <c r="M41" s="118" t="str">
        <f t="shared" si="3"/>
        <v>GREG</v>
      </c>
      <c r="N41" s="118" t="str">
        <f t="shared" si="4"/>
        <v>Greg</v>
      </c>
      <c r="O41" s="118" t="str">
        <f t="shared" si="5"/>
        <v>Greg</v>
      </c>
      <c r="P41" s="118" t="str">
        <f t="shared" si="6"/>
        <v>1159</v>
      </c>
      <c r="Q41" s="118" t="str">
        <f t="shared" si="7"/>
        <v>1159</v>
      </c>
      <c r="R41" s="118" t="str">
        <f t="shared" si="8"/>
        <v>Greg Connors</v>
      </c>
    </row>
    <row r="42" spans="1:18" x14ac:dyDescent="0.25">
      <c r="A42" s="115">
        <v>41</v>
      </c>
      <c r="B42" s="115" t="s">
        <v>263</v>
      </c>
      <c r="C42" s="115" t="s">
        <v>613</v>
      </c>
      <c r="D42" s="115" t="str">
        <f t="shared" si="1"/>
        <v>Kathy</v>
      </c>
      <c r="E42" s="115" t="s">
        <v>261</v>
      </c>
      <c r="F42" s="116">
        <v>34471</v>
      </c>
      <c r="G42" s="115" t="s">
        <v>113</v>
      </c>
      <c r="H42" s="117">
        <v>40</v>
      </c>
      <c r="I42" s="118">
        <v>23.22</v>
      </c>
      <c r="J42" s="118">
        <f t="shared" si="0"/>
        <v>928.8</v>
      </c>
      <c r="L42" s="118" t="str">
        <f t="shared" si="2"/>
        <v>kathy</v>
      </c>
      <c r="M42" s="118" t="str">
        <f t="shared" si="3"/>
        <v>KATHY</v>
      </c>
      <c r="N42" s="118" t="str">
        <f t="shared" si="4"/>
        <v>Kathy</v>
      </c>
      <c r="O42" s="118" t="str">
        <f t="shared" si="5"/>
        <v>Kathy</v>
      </c>
      <c r="P42" s="118" t="str">
        <f t="shared" si="6"/>
        <v>928.8</v>
      </c>
      <c r="Q42" s="118" t="str">
        <f t="shared" si="7"/>
        <v>928.8</v>
      </c>
      <c r="R42" s="118" t="str">
        <f t="shared" si="8"/>
        <v>Kathy Mayron</v>
      </c>
    </row>
    <row r="43" spans="1:18" x14ac:dyDescent="0.25">
      <c r="A43" s="115">
        <v>42</v>
      </c>
      <c r="B43" s="115" t="s">
        <v>260</v>
      </c>
      <c r="C43" s="115" t="s">
        <v>614</v>
      </c>
      <c r="D43" s="115" t="str">
        <f t="shared" si="1"/>
        <v>Bill</v>
      </c>
      <c r="E43" s="115" t="s">
        <v>259</v>
      </c>
      <c r="F43" s="116">
        <v>32883</v>
      </c>
      <c r="G43" s="115"/>
      <c r="H43" s="117">
        <v>40</v>
      </c>
      <c r="I43" s="118">
        <v>45</v>
      </c>
      <c r="J43" s="118">
        <f t="shared" si="0"/>
        <v>1800</v>
      </c>
      <c r="L43" s="118" t="str">
        <f t="shared" si="2"/>
        <v>bill</v>
      </c>
      <c r="M43" s="118" t="str">
        <f t="shared" si="3"/>
        <v>BILL</v>
      </c>
      <c r="N43" s="118" t="str">
        <f t="shared" si="4"/>
        <v>Bill</v>
      </c>
      <c r="O43" s="118" t="str">
        <f t="shared" si="5"/>
        <v>Bill</v>
      </c>
      <c r="P43" s="118" t="str">
        <f t="shared" si="6"/>
        <v>1800</v>
      </c>
      <c r="Q43" s="118" t="str">
        <f t="shared" si="7"/>
        <v>1800</v>
      </c>
      <c r="R43" s="118" t="str">
        <f t="shared" si="8"/>
        <v>Bill Simpson</v>
      </c>
    </row>
    <row r="44" spans="1:18" x14ac:dyDescent="0.25">
      <c r="A44" s="115">
        <v>43</v>
      </c>
      <c r="B44" s="115" t="s">
        <v>258</v>
      </c>
      <c r="C44" s="115" t="s">
        <v>615</v>
      </c>
      <c r="D44" s="115" t="str">
        <f t="shared" si="1"/>
        <v>Michael</v>
      </c>
      <c r="E44" s="115" t="s">
        <v>257</v>
      </c>
      <c r="F44" s="116">
        <v>34414</v>
      </c>
      <c r="G44" s="115" t="s">
        <v>128</v>
      </c>
      <c r="H44" s="117">
        <v>35</v>
      </c>
      <c r="I44" s="118">
        <v>39</v>
      </c>
      <c r="J44" s="118">
        <f t="shared" si="0"/>
        <v>1365</v>
      </c>
      <c r="L44" s="118" t="str">
        <f t="shared" si="2"/>
        <v>michael</v>
      </c>
      <c r="M44" s="118" t="str">
        <f t="shared" si="3"/>
        <v>MICHAEL</v>
      </c>
      <c r="N44" s="118" t="str">
        <f t="shared" si="4"/>
        <v>Michael</v>
      </c>
      <c r="O44" s="118" t="str">
        <f t="shared" si="5"/>
        <v>Michael</v>
      </c>
      <c r="P44" s="118" t="str">
        <f t="shared" si="6"/>
        <v>1365</v>
      </c>
      <c r="Q44" s="118" t="str">
        <f t="shared" si="7"/>
        <v>1365</v>
      </c>
      <c r="R44" s="118" t="str">
        <f t="shared" si="8"/>
        <v>Michael Richardson</v>
      </c>
    </row>
    <row r="45" spans="1:18" x14ac:dyDescent="0.25">
      <c r="A45" s="115">
        <v>44</v>
      </c>
      <c r="B45" s="115" t="s">
        <v>256</v>
      </c>
      <c r="C45" s="115" t="s">
        <v>616</v>
      </c>
      <c r="D45" s="115" t="str">
        <f t="shared" si="1"/>
        <v>Melanie</v>
      </c>
      <c r="E45" s="115" t="s">
        <v>254</v>
      </c>
      <c r="F45" s="116">
        <v>34671</v>
      </c>
      <c r="G45" s="115" t="s">
        <v>113</v>
      </c>
      <c r="H45" s="117">
        <v>15.5</v>
      </c>
      <c r="I45" s="118">
        <v>21.5</v>
      </c>
      <c r="J45" s="118">
        <f t="shared" si="0"/>
        <v>333.25</v>
      </c>
      <c r="L45" s="118" t="str">
        <f t="shared" si="2"/>
        <v>melanie</v>
      </c>
      <c r="M45" s="118" t="str">
        <f t="shared" si="3"/>
        <v>MELANIE</v>
      </c>
      <c r="N45" s="118" t="str">
        <f t="shared" si="4"/>
        <v>Melanie</v>
      </c>
      <c r="O45" s="118" t="str">
        <f t="shared" si="5"/>
        <v>Melanie</v>
      </c>
      <c r="P45" s="118" t="str">
        <f t="shared" si="6"/>
        <v>333.25</v>
      </c>
      <c r="Q45" s="118" t="str">
        <f t="shared" si="7"/>
        <v>333.25</v>
      </c>
      <c r="R45" s="118" t="str">
        <f t="shared" si="8"/>
        <v>Melanie Bowers</v>
      </c>
    </row>
    <row r="46" spans="1:18" x14ac:dyDescent="0.25">
      <c r="A46" s="115">
        <v>45</v>
      </c>
      <c r="B46" s="115" t="s">
        <v>253</v>
      </c>
      <c r="C46" s="115" t="s">
        <v>617</v>
      </c>
      <c r="D46" s="115" t="str">
        <f t="shared" si="1"/>
        <v>Kyle</v>
      </c>
      <c r="E46" s="115" t="s">
        <v>251</v>
      </c>
      <c r="F46" s="116">
        <v>33883</v>
      </c>
      <c r="G46" s="115" t="s">
        <v>154</v>
      </c>
      <c r="H46" s="117">
        <v>40</v>
      </c>
      <c r="I46" s="118">
        <v>37</v>
      </c>
      <c r="J46" s="118">
        <f t="shared" si="0"/>
        <v>1480</v>
      </c>
      <c r="L46" s="118" t="str">
        <f t="shared" si="2"/>
        <v>kyle</v>
      </c>
      <c r="M46" s="118" t="str">
        <f t="shared" si="3"/>
        <v>KYLE</v>
      </c>
      <c r="N46" s="118" t="str">
        <f t="shared" si="4"/>
        <v>Kyle</v>
      </c>
      <c r="O46" s="118" t="str">
        <f t="shared" si="5"/>
        <v>Kyle</v>
      </c>
      <c r="P46" s="118" t="str">
        <f t="shared" si="6"/>
        <v>1480</v>
      </c>
      <c r="Q46" s="118" t="str">
        <f t="shared" si="7"/>
        <v>1480</v>
      </c>
      <c r="R46" s="118" t="str">
        <f t="shared" si="8"/>
        <v>Kyle Earnhart</v>
      </c>
    </row>
    <row r="47" spans="1:18" x14ac:dyDescent="0.25">
      <c r="A47" s="115">
        <v>46</v>
      </c>
      <c r="B47" s="115" t="s">
        <v>250</v>
      </c>
      <c r="C47" s="115" t="s">
        <v>618</v>
      </c>
      <c r="D47" s="115" t="str">
        <f t="shared" si="1"/>
        <v>Lance</v>
      </c>
      <c r="E47" s="115" t="s">
        <v>248</v>
      </c>
      <c r="F47" s="116">
        <v>35427</v>
      </c>
      <c r="G47" s="115" t="s">
        <v>124</v>
      </c>
      <c r="H47" s="117">
        <v>32</v>
      </c>
      <c r="I47" s="118">
        <v>20.5</v>
      </c>
      <c r="J47" s="118">
        <f t="shared" si="0"/>
        <v>656</v>
      </c>
      <c r="L47" s="118" t="str">
        <f t="shared" si="2"/>
        <v>lance</v>
      </c>
      <c r="M47" s="118" t="str">
        <f t="shared" si="3"/>
        <v>LANCE</v>
      </c>
      <c r="N47" s="118" t="str">
        <f t="shared" si="4"/>
        <v>Lance</v>
      </c>
      <c r="O47" s="118" t="str">
        <f t="shared" si="5"/>
        <v>Lance</v>
      </c>
      <c r="P47" s="118" t="str">
        <f t="shared" si="6"/>
        <v>656</v>
      </c>
      <c r="Q47" s="118" t="str">
        <f t="shared" si="7"/>
        <v>656</v>
      </c>
      <c r="R47" s="118" t="str">
        <f t="shared" si="8"/>
        <v>Lance Davies</v>
      </c>
    </row>
    <row r="48" spans="1:18" x14ac:dyDescent="0.25">
      <c r="A48" s="115">
        <v>47</v>
      </c>
      <c r="B48" s="115" t="s">
        <v>247</v>
      </c>
      <c r="C48" s="115" t="s">
        <v>619</v>
      </c>
      <c r="D48" s="115" t="str">
        <f t="shared" si="1"/>
        <v>Anne</v>
      </c>
      <c r="E48" s="115" t="s">
        <v>245</v>
      </c>
      <c r="F48" s="116">
        <v>34428</v>
      </c>
      <c r="G48" s="115" t="s">
        <v>105</v>
      </c>
      <c r="H48" s="117">
        <v>25</v>
      </c>
      <c r="I48" s="118">
        <v>23.52</v>
      </c>
      <c r="J48" s="118">
        <f t="shared" si="0"/>
        <v>588</v>
      </c>
      <c r="L48" s="118" t="str">
        <f t="shared" si="2"/>
        <v>anne</v>
      </c>
      <c r="M48" s="118" t="str">
        <f t="shared" si="3"/>
        <v>ANNE</v>
      </c>
      <c r="N48" s="118" t="str">
        <f t="shared" si="4"/>
        <v>Anne</v>
      </c>
      <c r="O48" s="118" t="str">
        <f t="shared" si="5"/>
        <v>Anne</v>
      </c>
      <c r="P48" s="118" t="str">
        <f t="shared" si="6"/>
        <v>588</v>
      </c>
      <c r="Q48" s="118" t="str">
        <f t="shared" si="7"/>
        <v>588</v>
      </c>
      <c r="R48" s="118" t="str">
        <f t="shared" si="8"/>
        <v>Anne Davidson</v>
      </c>
    </row>
    <row r="49" spans="1:18" x14ac:dyDescent="0.25">
      <c r="A49" s="115">
        <v>48</v>
      </c>
      <c r="B49" s="115" t="s">
        <v>244</v>
      </c>
      <c r="C49" s="115" t="s">
        <v>620</v>
      </c>
      <c r="D49" s="115" t="str">
        <f t="shared" si="1"/>
        <v>Doug</v>
      </c>
      <c r="E49" s="115" t="s">
        <v>242</v>
      </c>
      <c r="F49" s="116">
        <v>34843</v>
      </c>
      <c r="G49" s="115" t="s">
        <v>109</v>
      </c>
      <c r="H49" s="117">
        <v>38</v>
      </c>
      <c r="I49" s="118">
        <v>55</v>
      </c>
      <c r="J49" s="118">
        <f t="shared" si="0"/>
        <v>2090</v>
      </c>
      <c r="L49" s="118" t="str">
        <f t="shared" si="2"/>
        <v>doug</v>
      </c>
      <c r="M49" s="118" t="str">
        <f t="shared" si="3"/>
        <v>DOUG</v>
      </c>
      <c r="N49" s="118" t="str">
        <f t="shared" si="4"/>
        <v>Doug</v>
      </c>
      <c r="O49" s="118" t="str">
        <f t="shared" si="5"/>
        <v>Doug</v>
      </c>
      <c r="P49" s="118" t="str">
        <f t="shared" si="6"/>
        <v>2090</v>
      </c>
      <c r="Q49" s="118" t="str">
        <f t="shared" si="7"/>
        <v>2090</v>
      </c>
      <c r="R49" s="118" t="str">
        <f t="shared" si="8"/>
        <v>Doug Briscoll</v>
      </c>
    </row>
    <row r="50" spans="1:18" x14ac:dyDescent="0.25">
      <c r="A50" s="115">
        <v>49</v>
      </c>
      <c r="B50" s="115" t="s">
        <v>241</v>
      </c>
      <c r="C50" s="115" t="s">
        <v>621</v>
      </c>
      <c r="D50" s="115" t="str">
        <f t="shared" si="1"/>
        <v>George</v>
      </c>
      <c r="E50" s="115" t="s">
        <v>239</v>
      </c>
      <c r="F50" s="116">
        <v>35034</v>
      </c>
      <c r="G50" s="115" t="s">
        <v>124</v>
      </c>
      <c r="H50" s="117">
        <v>35.5</v>
      </c>
      <c r="I50" s="118">
        <v>27.5</v>
      </c>
      <c r="J50" s="118">
        <f t="shared" si="0"/>
        <v>976.25</v>
      </c>
      <c r="L50" s="118" t="str">
        <f t="shared" si="2"/>
        <v>george</v>
      </c>
      <c r="M50" s="118" t="str">
        <f t="shared" si="3"/>
        <v>GEORGE</v>
      </c>
      <c r="N50" s="118" t="str">
        <f t="shared" si="4"/>
        <v>George</v>
      </c>
      <c r="O50" s="118" t="str">
        <f t="shared" si="5"/>
        <v>George</v>
      </c>
      <c r="P50" s="118" t="str">
        <f t="shared" si="6"/>
        <v>976.25</v>
      </c>
      <c r="Q50" s="118" t="str">
        <f t="shared" si="7"/>
        <v>976.25</v>
      </c>
      <c r="R50" s="118" t="str">
        <f t="shared" si="8"/>
        <v>George Feldsott</v>
      </c>
    </row>
    <row r="51" spans="1:18" x14ac:dyDescent="0.25">
      <c r="A51" s="115">
        <v>50</v>
      </c>
      <c r="B51" s="115" t="s">
        <v>238</v>
      </c>
      <c r="C51" s="115" t="s">
        <v>622</v>
      </c>
      <c r="D51" s="115" t="str">
        <f t="shared" si="1"/>
        <v>Steve</v>
      </c>
      <c r="E51" s="115" t="s">
        <v>236</v>
      </c>
      <c r="F51" s="116">
        <v>34610</v>
      </c>
      <c r="G51" s="115" t="s">
        <v>109</v>
      </c>
      <c r="H51" s="117">
        <v>40</v>
      </c>
      <c r="I51" s="118">
        <v>36.5</v>
      </c>
      <c r="J51" s="118">
        <f t="shared" si="0"/>
        <v>1460</v>
      </c>
      <c r="L51" s="118" t="str">
        <f t="shared" si="2"/>
        <v>steve</v>
      </c>
      <c r="M51" s="118" t="str">
        <f t="shared" si="3"/>
        <v>STEVE</v>
      </c>
      <c r="N51" s="118" t="str">
        <f t="shared" si="4"/>
        <v>Steve</v>
      </c>
      <c r="O51" s="118" t="str">
        <f t="shared" si="5"/>
        <v>Steve</v>
      </c>
      <c r="P51" s="118" t="str">
        <f t="shared" si="6"/>
        <v>1460</v>
      </c>
      <c r="Q51" s="118" t="str">
        <f t="shared" si="7"/>
        <v>1460</v>
      </c>
      <c r="R51" s="118" t="str">
        <f t="shared" si="8"/>
        <v>Steve Singer</v>
      </c>
    </row>
    <row r="52" spans="1:18" x14ac:dyDescent="0.25">
      <c r="A52" s="115">
        <v>51</v>
      </c>
      <c r="B52" s="115" t="s">
        <v>235</v>
      </c>
      <c r="C52" s="115" t="s">
        <v>623</v>
      </c>
      <c r="D52" s="115" t="str">
        <f t="shared" si="1"/>
        <v>Carol</v>
      </c>
      <c r="E52" s="115" t="s">
        <v>233</v>
      </c>
      <c r="F52" s="116">
        <v>33704</v>
      </c>
      <c r="G52" s="115"/>
      <c r="H52" s="117">
        <v>38</v>
      </c>
      <c r="I52" s="118">
        <v>30.5</v>
      </c>
      <c r="J52" s="118">
        <f t="shared" si="0"/>
        <v>1159</v>
      </c>
      <c r="L52" s="118" t="str">
        <f t="shared" si="2"/>
        <v>carol</v>
      </c>
      <c r="M52" s="118" t="str">
        <f t="shared" si="3"/>
        <v>CAROL</v>
      </c>
      <c r="N52" s="118" t="str">
        <f t="shared" si="4"/>
        <v>Carol</v>
      </c>
      <c r="O52" s="118" t="str">
        <f t="shared" si="5"/>
        <v>Carol</v>
      </c>
      <c r="P52" s="118" t="str">
        <f t="shared" si="6"/>
        <v>1159</v>
      </c>
      <c r="Q52" s="118" t="str">
        <f t="shared" si="7"/>
        <v>1159</v>
      </c>
      <c r="R52" s="118" t="str">
        <f t="shared" si="8"/>
        <v>Carol Tucker</v>
      </c>
    </row>
    <row r="53" spans="1:18" x14ac:dyDescent="0.25">
      <c r="A53" s="115">
        <v>52</v>
      </c>
      <c r="B53" s="115" t="s">
        <v>232</v>
      </c>
      <c r="C53" s="115" t="s">
        <v>624</v>
      </c>
      <c r="D53" s="115" t="str">
        <f t="shared" si="1"/>
        <v>Henry</v>
      </c>
      <c r="E53" s="115" t="s">
        <v>230</v>
      </c>
      <c r="F53" s="116">
        <v>34998</v>
      </c>
      <c r="G53" s="115" t="s">
        <v>105</v>
      </c>
      <c r="H53" s="117">
        <v>40</v>
      </c>
      <c r="I53" s="118">
        <v>36.5</v>
      </c>
      <c r="J53" s="118">
        <f t="shared" si="0"/>
        <v>1460</v>
      </c>
      <c r="L53" s="118" t="str">
        <f t="shared" si="2"/>
        <v>henry</v>
      </c>
      <c r="M53" s="118" t="str">
        <f t="shared" si="3"/>
        <v>HENRY</v>
      </c>
      <c r="N53" s="118" t="str">
        <f t="shared" si="4"/>
        <v>Henry</v>
      </c>
      <c r="O53" s="118" t="str">
        <f t="shared" si="5"/>
        <v>Henry</v>
      </c>
      <c r="P53" s="118" t="str">
        <f t="shared" si="6"/>
        <v>1460</v>
      </c>
      <c r="Q53" s="118" t="str">
        <f t="shared" si="7"/>
        <v>1460</v>
      </c>
      <c r="R53" s="118" t="str">
        <f t="shared" si="8"/>
        <v>Henry Paterson</v>
      </c>
    </row>
    <row r="54" spans="1:18" x14ac:dyDescent="0.25">
      <c r="A54" s="115">
        <v>53</v>
      </c>
      <c r="B54" s="115" t="s">
        <v>229</v>
      </c>
      <c r="C54" s="115" t="s">
        <v>625</v>
      </c>
      <c r="D54" s="115" t="str">
        <f t="shared" si="1"/>
        <v>Brooks</v>
      </c>
      <c r="E54" s="115" t="s">
        <v>227</v>
      </c>
      <c r="F54" s="116">
        <v>34347</v>
      </c>
      <c r="G54" s="115" t="s">
        <v>105</v>
      </c>
      <c r="H54" s="117">
        <v>35</v>
      </c>
      <c r="I54" s="118">
        <v>39</v>
      </c>
      <c r="J54" s="118">
        <f t="shared" si="0"/>
        <v>1365</v>
      </c>
      <c r="L54" s="118" t="str">
        <f t="shared" si="2"/>
        <v>brooks</v>
      </c>
      <c r="M54" s="118" t="str">
        <f t="shared" si="3"/>
        <v>BROOKS</v>
      </c>
      <c r="N54" s="118" t="str">
        <f t="shared" si="4"/>
        <v>Brooks</v>
      </c>
      <c r="O54" s="118" t="str">
        <f t="shared" si="5"/>
        <v>Brooks</v>
      </c>
      <c r="P54" s="118" t="str">
        <f t="shared" si="6"/>
        <v>1365</v>
      </c>
      <c r="Q54" s="118" t="str">
        <f t="shared" si="7"/>
        <v>1365</v>
      </c>
      <c r="R54" s="118" t="str">
        <f t="shared" si="8"/>
        <v>Brooks Hillen</v>
      </c>
    </row>
    <row r="55" spans="1:18" x14ac:dyDescent="0.25">
      <c r="A55" s="115">
        <v>54</v>
      </c>
      <c r="B55" s="115" t="s">
        <v>226</v>
      </c>
      <c r="C55" s="115" t="s">
        <v>626</v>
      </c>
      <c r="D55" s="115" t="str">
        <f t="shared" si="1"/>
        <v>Dominick</v>
      </c>
      <c r="E55" s="115" t="s">
        <v>224</v>
      </c>
      <c r="F55" s="116">
        <v>34615</v>
      </c>
      <c r="G55" s="115"/>
      <c r="H55" s="117">
        <v>40</v>
      </c>
      <c r="I55" s="118">
        <v>36.5</v>
      </c>
      <c r="J55" s="118">
        <f t="shared" si="0"/>
        <v>1460</v>
      </c>
      <c r="L55" s="118" t="str">
        <f t="shared" si="2"/>
        <v>dominick</v>
      </c>
      <c r="M55" s="118" t="str">
        <f t="shared" si="3"/>
        <v>DOMINICK</v>
      </c>
      <c r="N55" s="118" t="str">
        <f t="shared" si="4"/>
        <v>Dominick</v>
      </c>
      <c r="O55" s="118" t="str">
        <f t="shared" si="5"/>
        <v>Dominick</v>
      </c>
      <c r="P55" s="118" t="str">
        <f t="shared" si="6"/>
        <v>1460</v>
      </c>
      <c r="Q55" s="118" t="str">
        <f t="shared" si="7"/>
        <v>1460</v>
      </c>
      <c r="R55" s="118" t="str">
        <f t="shared" si="8"/>
        <v>Dominick Mazza</v>
      </c>
    </row>
    <row r="56" spans="1:18" x14ac:dyDescent="0.25">
      <c r="A56" s="115">
        <v>55</v>
      </c>
      <c r="B56" s="115" t="s">
        <v>223</v>
      </c>
      <c r="C56" s="115" t="s">
        <v>627</v>
      </c>
      <c r="D56" s="115" t="str">
        <f t="shared" si="1"/>
        <v>Jennifer</v>
      </c>
      <c r="E56" s="115" t="s">
        <v>221</v>
      </c>
      <c r="F56" s="116">
        <v>35221</v>
      </c>
      <c r="G56" s="115"/>
      <c r="H56" s="117">
        <v>25</v>
      </c>
      <c r="I56" s="118">
        <v>23.52</v>
      </c>
      <c r="J56" s="118">
        <f t="shared" si="0"/>
        <v>588</v>
      </c>
      <c r="L56" s="118" t="str">
        <f t="shared" si="2"/>
        <v>jennifer</v>
      </c>
      <c r="M56" s="118" t="str">
        <f t="shared" si="3"/>
        <v>JENNIFER</v>
      </c>
      <c r="N56" s="118" t="str">
        <f t="shared" si="4"/>
        <v>Jennifer</v>
      </c>
      <c r="O56" s="118" t="str">
        <f t="shared" si="5"/>
        <v>Jennifer</v>
      </c>
      <c r="P56" s="118" t="str">
        <f t="shared" si="6"/>
        <v>588</v>
      </c>
      <c r="Q56" s="118" t="str">
        <f t="shared" si="7"/>
        <v>588</v>
      </c>
      <c r="R56" s="118" t="str">
        <f t="shared" si="8"/>
        <v>Jennifer Snyder</v>
      </c>
    </row>
    <row r="57" spans="1:18" x14ac:dyDescent="0.25">
      <c r="A57" s="115">
        <v>56</v>
      </c>
      <c r="B57" s="115" t="s">
        <v>220</v>
      </c>
      <c r="C57" s="115" t="s">
        <v>628</v>
      </c>
      <c r="D57" s="115" t="str">
        <f t="shared" si="1"/>
        <v>Joshua</v>
      </c>
      <c r="E57" s="115" t="s">
        <v>218</v>
      </c>
      <c r="F57" s="116">
        <v>36181</v>
      </c>
      <c r="G57" s="115" t="s">
        <v>124</v>
      </c>
      <c r="H57" s="117">
        <v>40</v>
      </c>
      <c r="I57" s="118">
        <v>36.5</v>
      </c>
      <c r="J57" s="118">
        <f t="shared" si="0"/>
        <v>1460</v>
      </c>
      <c r="L57" s="118" t="str">
        <f t="shared" si="2"/>
        <v>joshua</v>
      </c>
      <c r="M57" s="118" t="str">
        <f t="shared" si="3"/>
        <v>JOSHUA</v>
      </c>
      <c r="N57" s="118" t="str">
        <f t="shared" si="4"/>
        <v>Joshua</v>
      </c>
      <c r="O57" s="118" t="str">
        <f t="shared" si="5"/>
        <v>Joshua</v>
      </c>
      <c r="P57" s="118" t="str">
        <f t="shared" si="6"/>
        <v>1460</v>
      </c>
      <c r="Q57" s="118" t="str">
        <f t="shared" si="7"/>
        <v>1460</v>
      </c>
      <c r="R57" s="118" t="str">
        <f t="shared" si="8"/>
        <v>Joshua Maccaluso</v>
      </c>
    </row>
    <row r="58" spans="1:18" x14ac:dyDescent="0.25">
      <c r="A58" s="115">
        <v>57</v>
      </c>
      <c r="B58" s="115" t="s">
        <v>217</v>
      </c>
      <c r="C58" s="115" t="s">
        <v>629</v>
      </c>
      <c r="D58" s="115" t="str">
        <f t="shared" si="1"/>
        <v>Bill</v>
      </c>
      <c r="E58" s="115" t="s">
        <v>215</v>
      </c>
      <c r="F58" s="116">
        <v>32732</v>
      </c>
      <c r="G58" s="115" t="s">
        <v>109</v>
      </c>
      <c r="H58" s="117">
        <v>38</v>
      </c>
      <c r="I58" s="118">
        <v>30.5</v>
      </c>
      <c r="J58" s="118">
        <f t="shared" si="0"/>
        <v>1159</v>
      </c>
      <c r="L58" s="118" t="str">
        <f t="shared" si="2"/>
        <v>bill</v>
      </c>
      <c r="M58" s="118" t="str">
        <f t="shared" si="3"/>
        <v>BILL</v>
      </c>
      <c r="N58" s="118" t="str">
        <f t="shared" si="4"/>
        <v>Bill</v>
      </c>
      <c r="O58" s="118" t="str">
        <f t="shared" si="5"/>
        <v>Bill</v>
      </c>
      <c r="P58" s="118" t="str">
        <f t="shared" si="6"/>
        <v>1159</v>
      </c>
      <c r="Q58" s="118" t="str">
        <f t="shared" si="7"/>
        <v>1159</v>
      </c>
      <c r="R58" s="118" t="str">
        <f t="shared" si="8"/>
        <v>Bill Wheeler</v>
      </c>
    </row>
    <row r="59" spans="1:18" x14ac:dyDescent="0.25">
      <c r="A59" s="115">
        <v>58</v>
      </c>
      <c r="B59" s="115" t="s">
        <v>214</v>
      </c>
      <c r="C59" s="115" t="s">
        <v>630</v>
      </c>
      <c r="D59" s="115" t="str">
        <f t="shared" si="1"/>
        <v>Todd</v>
      </c>
      <c r="E59" s="115" t="s">
        <v>212</v>
      </c>
      <c r="F59" s="116">
        <v>35755</v>
      </c>
      <c r="G59" s="115" t="s">
        <v>113</v>
      </c>
      <c r="H59" s="117">
        <v>40</v>
      </c>
      <c r="I59" s="118">
        <v>27.6</v>
      </c>
      <c r="J59" s="118">
        <f t="shared" si="0"/>
        <v>1104</v>
      </c>
      <c r="L59" s="118" t="str">
        <f t="shared" si="2"/>
        <v>todd</v>
      </c>
      <c r="M59" s="118" t="str">
        <f t="shared" si="3"/>
        <v>TODD</v>
      </c>
      <c r="N59" s="118" t="str">
        <f t="shared" si="4"/>
        <v>Todd</v>
      </c>
      <c r="O59" s="118" t="str">
        <f t="shared" si="5"/>
        <v>Todd</v>
      </c>
      <c r="P59" s="118" t="str">
        <f t="shared" si="6"/>
        <v>1104</v>
      </c>
      <c r="Q59" s="118" t="str">
        <f t="shared" si="7"/>
        <v>1104</v>
      </c>
      <c r="R59" s="118" t="str">
        <f t="shared" si="8"/>
        <v>Todd Masters</v>
      </c>
    </row>
    <row r="60" spans="1:18" x14ac:dyDescent="0.25">
      <c r="A60" s="115">
        <v>59</v>
      </c>
      <c r="B60" s="115" t="s">
        <v>211</v>
      </c>
      <c r="C60" s="115" t="s">
        <v>631</v>
      </c>
      <c r="D60" s="115" t="str">
        <f t="shared" si="1"/>
        <v>Karina</v>
      </c>
      <c r="E60" s="115" t="s">
        <v>183</v>
      </c>
      <c r="F60" s="116">
        <v>34709</v>
      </c>
      <c r="G60" s="115" t="s">
        <v>128</v>
      </c>
      <c r="H60" s="117">
        <v>42</v>
      </c>
      <c r="I60" s="118">
        <v>45</v>
      </c>
      <c r="J60" s="118">
        <f t="shared" si="0"/>
        <v>1890</v>
      </c>
      <c r="L60" s="118" t="str">
        <f t="shared" si="2"/>
        <v>karina</v>
      </c>
      <c r="M60" s="118" t="str">
        <f t="shared" si="3"/>
        <v>KARINA</v>
      </c>
      <c r="N60" s="118" t="str">
        <f t="shared" si="4"/>
        <v>Karina</v>
      </c>
      <c r="O60" s="118" t="str">
        <f t="shared" si="5"/>
        <v>Karina</v>
      </c>
      <c r="P60" s="118" t="str">
        <f t="shared" si="6"/>
        <v>1890</v>
      </c>
      <c r="Q60" s="118" t="str">
        <f t="shared" si="7"/>
        <v>1890</v>
      </c>
      <c r="R60" s="118" t="str">
        <f t="shared" si="8"/>
        <v>Karina Abel</v>
      </c>
    </row>
    <row r="61" spans="1:18" x14ac:dyDescent="0.25">
      <c r="A61" s="115">
        <v>60</v>
      </c>
      <c r="B61" s="115" t="s">
        <v>209</v>
      </c>
      <c r="C61" s="115" t="s">
        <v>632</v>
      </c>
      <c r="D61" s="115" t="str">
        <f t="shared" si="1"/>
        <v>Edward</v>
      </c>
      <c r="E61" s="115" t="s">
        <v>207</v>
      </c>
      <c r="F61" s="116">
        <v>34500</v>
      </c>
      <c r="G61" s="115" t="s">
        <v>113</v>
      </c>
      <c r="H61" s="117">
        <v>40</v>
      </c>
      <c r="I61" s="118">
        <v>23.75</v>
      </c>
      <c r="J61" s="118">
        <f t="shared" si="0"/>
        <v>950</v>
      </c>
      <c r="L61" s="118" t="str">
        <f t="shared" si="2"/>
        <v>edward</v>
      </c>
      <c r="M61" s="118" t="str">
        <f t="shared" si="3"/>
        <v>EDWARD</v>
      </c>
      <c r="N61" s="118" t="str">
        <f t="shared" si="4"/>
        <v>Edward</v>
      </c>
      <c r="O61" s="118" t="str">
        <f t="shared" si="5"/>
        <v>Edward</v>
      </c>
      <c r="P61" s="118" t="str">
        <f t="shared" si="6"/>
        <v>950</v>
      </c>
      <c r="Q61" s="118" t="str">
        <f t="shared" si="7"/>
        <v>950</v>
      </c>
      <c r="R61" s="118" t="str">
        <f t="shared" si="8"/>
        <v>Edward Trelly</v>
      </c>
    </row>
    <row r="62" spans="1:18" x14ac:dyDescent="0.25">
      <c r="A62" s="115">
        <v>61</v>
      </c>
      <c r="B62" s="115" t="s">
        <v>206</v>
      </c>
      <c r="C62" s="115" t="s">
        <v>633</v>
      </c>
      <c r="D62" s="115" t="str">
        <f t="shared" si="1"/>
        <v>Christina</v>
      </c>
      <c r="E62" s="115" t="s">
        <v>204</v>
      </c>
      <c r="F62" s="116">
        <v>34846</v>
      </c>
      <c r="G62" s="115" t="s">
        <v>105</v>
      </c>
      <c r="H62" s="117">
        <v>25</v>
      </c>
      <c r="I62" s="118">
        <v>23.52</v>
      </c>
      <c r="J62" s="118">
        <f t="shared" si="0"/>
        <v>588</v>
      </c>
      <c r="L62" s="118" t="str">
        <f t="shared" si="2"/>
        <v>christina</v>
      </c>
      <c r="M62" s="118" t="str">
        <f t="shared" si="3"/>
        <v>CHRISTINA</v>
      </c>
      <c r="N62" s="118" t="str">
        <f t="shared" si="4"/>
        <v>Christina</v>
      </c>
      <c r="O62" s="118" t="str">
        <f t="shared" si="5"/>
        <v>Christina</v>
      </c>
      <c r="P62" s="118" t="str">
        <f t="shared" si="6"/>
        <v>588</v>
      </c>
      <c r="Q62" s="118" t="str">
        <f t="shared" si="7"/>
        <v>588</v>
      </c>
      <c r="R62" s="118" t="str">
        <f t="shared" si="8"/>
        <v>Christina Lillie</v>
      </c>
    </row>
    <row r="63" spans="1:18" x14ac:dyDescent="0.25">
      <c r="A63" s="115">
        <v>62</v>
      </c>
      <c r="B63" s="115" t="s">
        <v>203</v>
      </c>
      <c r="C63" s="115" t="s">
        <v>634</v>
      </c>
      <c r="D63" s="115" t="str">
        <f t="shared" si="1"/>
        <v>Michael</v>
      </c>
      <c r="E63" s="115" t="s">
        <v>201</v>
      </c>
      <c r="F63" s="116">
        <v>35545</v>
      </c>
      <c r="G63" s="115"/>
      <c r="H63" s="117">
        <v>15.5</v>
      </c>
      <c r="I63" s="118">
        <v>21.5</v>
      </c>
      <c r="J63" s="118">
        <f t="shared" si="0"/>
        <v>333.25</v>
      </c>
      <c r="L63" s="118" t="str">
        <f t="shared" si="2"/>
        <v>michael</v>
      </c>
      <c r="M63" s="118" t="str">
        <f t="shared" si="3"/>
        <v>MICHAEL</v>
      </c>
      <c r="N63" s="118" t="str">
        <f t="shared" si="4"/>
        <v>Michael</v>
      </c>
      <c r="O63" s="118" t="str">
        <f t="shared" si="5"/>
        <v>Michael</v>
      </c>
      <c r="P63" s="118" t="str">
        <f t="shared" si="6"/>
        <v>333.25</v>
      </c>
      <c r="Q63" s="118" t="str">
        <f t="shared" si="7"/>
        <v>333.25</v>
      </c>
      <c r="R63" s="118" t="str">
        <f t="shared" si="8"/>
        <v>Michael Lewis</v>
      </c>
    </row>
    <row r="64" spans="1:18" x14ac:dyDescent="0.25">
      <c r="A64" s="115">
        <v>63</v>
      </c>
      <c r="B64" s="115" t="s">
        <v>200</v>
      </c>
      <c r="C64" s="115" t="s">
        <v>635</v>
      </c>
      <c r="D64" s="115" t="str">
        <f t="shared" si="1"/>
        <v>Jerry</v>
      </c>
      <c r="E64" s="115" t="s">
        <v>198</v>
      </c>
      <c r="F64" s="116">
        <v>33059</v>
      </c>
      <c r="G64" s="115" t="s">
        <v>113</v>
      </c>
      <c r="H64" s="117">
        <v>40</v>
      </c>
      <c r="I64" s="118">
        <v>30.5</v>
      </c>
      <c r="J64" s="118">
        <f t="shared" si="0"/>
        <v>1220</v>
      </c>
      <c r="L64" s="118" t="str">
        <f t="shared" si="2"/>
        <v>jerry</v>
      </c>
      <c r="M64" s="118" t="str">
        <f t="shared" si="3"/>
        <v>JERRY</v>
      </c>
      <c r="N64" s="118" t="str">
        <f t="shared" si="4"/>
        <v>Jerry</v>
      </c>
      <c r="O64" s="118" t="str">
        <f t="shared" si="5"/>
        <v>Jerry</v>
      </c>
      <c r="P64" s="118" t="str">
        <f t="shared" si="6"/>
        <v>1220</v>
      </c>
      <c r="Q64" s="118" t="str">
        <f t="shared" si="7"/>
        <v>1220</v>
      </c>
      <c r="R64" s="118" t="str">
        <f t="shared" si="8"/>
        <v>Jerry McDonald</v>
      </c>
    </row>
    <row r="65" spans="1:18" x14ac:dyDescent="0.25">
      <c r="A65" s="115">
        <v>64</v>
      </c>
      <c r="B65" s="115" t="s">
        <v>197</v>
      </c>
      <c r="C65" s="115" t="s">
        <v>636</v>
      </c>
      <c r="D65" s="115" t="str">
        <f t="shared" si="1"/>
        <v>Lynne</v>
      </c>
      <c r="E65" s="115" t="s">
        <v>195</v>
      </c>
      <c r="F65" s="116">
        <v>35390</v>
      </c>
      <c r="G65" s="115" t="s">
        <v>109</v>
      </c>
      <c r="H65" s="117">
        <v>35</v>
      </c>
      <c r="I65" s="118">
        <v>27.1</v>
      </c>
      <c r="J65" s="118">
        <f t="shared" si="0"/>
        <v>948.5</v>
      </c>
      <c r="L65" s="118" t="str">
        <f t="shared" si="2"/>
        <v>lynne</v>
      </c>
      <c r="M65" s="118" t="str">
        <f t="shared" si="3"/>
        <v>LYNNE</v>
      </c>
      <c r="N65" s="118" t="str">
        <f t="shared" si="4"/>
        <v>Lynne</v>
      </c>
      <c r="O65" s="118" t="str">
        <f t="shared" si="5"/>
        <v>Lynne</v>
      </c>
      <c r="P65" s="118" t="str">
        <f t="shared" si="6"/>
        <v>948.5</v>
      </c>
      <c r="Q65" s="118" t="str">
        <f t="shared" si="7"/>
        <v>948.5</v>
      </c>
      <c r="R65" s="118" t="str">
        <f t="shared" si="8"/>
        <v>Lynne Simmons</v>
      </c>
    </row>
    <row r="66" spans="1:18" x14ac:dyDescent="0.25">
      <c r="A66" s="115">
        <v>65</v>
      </c>
      <c r="B66" s="115" t="s">
        <v>194</v>
      </c>
      <c r="C66" s="115" t="s">
        <v>637</v>
      </c>
      <c r="D66" s="115" t="str">
        <f t="shared" si="1"/>
        <v>Lindsey</v>
      </c>
      <c r="E66" s="115" t="s">
        <v>192</v>
      </c>
      <c r="F66" s="116">
        <v>34364</v>
      </c>
      <c r="G66" s="115" t="s">
        <v>113</v>
      </c>
      <c r="H66" s="117">
        <v>35</v>
      </c>
      <c r="I66" s="118">
        <v>39</v>
      </c>
      <c r="J66" s="118">
        <f t="shared" ref="J66:J95" si="9">H66*I66</f>
        <v>1365</v>
      </c>
      <c r="L66" s="118" t="str">
        <f t="shared" si="2"/>
        <v>lindsey</v>
      </c>
      <c r="M66" s="118" t="str">
        <f t="shared" si="3"/>
        <v>LINDSEY</v>
      </c>
      <c r="N66" s="118" t="str">
        <f t="shared" si="4"/>
        <v>Lindsey</v>
      </c>
      <c r="O66" s="118" t="str">
        <f t="shared" si="5"/>
        <v>Lindsey</v>
      </c>
      <c r="P66" s="118" t="str">
        <f t="shared" si="6"/>
        <v>1365</v>
      </c>
      <c r="Q66" s="118" t="str">
        <f t="shared" si="7"/>
        <v>1365</v>
      </c>
      <c r="R66" s="118" t="str">
        <f t="shared" si="8"/>
        <v>Lindsey Winger</v>
      </c>
    </row>
    <row r="67" spans="1:18" x14ac:dyDescent="0.25">
      <c r="A67" s="115">
        <v>66</v>
      </c>
      <c r="B67" s="115" t="s">
        <v>191</v>
      </c>
      <c r="C67" s="115" t="s">
        <v>638</v>
      </c>
      <c r="D67" s="115" t="str">
        <f t="shared" ref="D67:D95" si="10">CLEAN($C67)</f>
        <v>Chris</v>
      </c>
      <c r="E67" s="115" t="s">
        <v>189</v>
      </c>
      <c r="F67" s="116">
        <v>33688</v>
      </c>
      <c r="G67" s="115" t="s">
        <v>120</v>
      </c>
      <c r="H67" s="117">
        <v>35.5</v>
      </c>
      <c r="I67" s="118">
        <v>28.3</v>
      </c>
      <c r="J67" s="118">
        <f t="shared" si="9"/>
        <v>1004.65</v>
      </c>
      <c r="L67" s="118" t="str">
        <f t="shared" ref="L67:L95" si="11">LOWER($D67)</f>
        <v>chris</v>
      </c>
      <c r="M67" s="118" t="str">
        <f t="shared" ref="M67:M95" si="12">UPPER($D67)</f>
        <v>CHRIS</v>
      </c>
      <c r="N67" s="118" t="str">
        <f t="shared" ref="N67:N95" si="13">PROPER($D67)</f>
        <v>Chris</v>
      </c>
      <c r="O67" s="118" t="str">
        <f t="shared" ref="O67:O95" si="14">TRIM($D67)</f>
        <v>Chris</v>
      </c>
      <c r="P67" s="118" t="str">
        <f t="shared" ref="P67:P95" si="15">REPLACE($J67,1,0,"")</f>
        <v>1004.65</v>
      </c>
      <c r="Q67" s="118" t="str">
        <f t="shared" ref="Q67:Q95" si="16">SUBSTITUTE($J67,"$","")</f>
        <v>1004.65</v>
      </c>
      <c r="R67" s="118" t="str">
        <f t="shared" ref="R67:R95" si="17">_xlfn.CONCAT($O67," ",$E67)</f>
        <v>Chris Reed</v>
      </c>
    </row>
    <row r="68" spans="1:18" x14ac:dyDescent="0.25">
      <c r="A68" s="115">
        <v>67</v>
      </c>
      <c r="B68" s="115" t="s">
        <v>188</v>
      </c>
      <c r="C68" s="115" t="s">
        <v>639</v>
      </c>
      <c r="D68" s="115" t="str">
        <f t="shared" si="10"/>
        <v>Paula</v>
      </c>
      <c r="E68" s="115" t="s">
        <v>186</v>
      </c>
      <c r="F68" s="116">
        <v>35038</v>
      </c>
      <c r="G68" s="115"/>
      <c r="H68" s="117">
        <v>29.5</v>
      </c>
      <c r="I68" s="118">
        <v>21.5</v>
      </c>
      <c r="J68" s="118">
        <f t="shared" si="9"/>
        <v>634.25</v>
      </c>
      <c r="L68" s="118" t="str">
        <f t="shared" si="11"/>
        <v>paula</v>
      </c>
      <c r="M68" s="118" t="str">
        <f t="shared" si="12"/>
        <v>PAULA</v>
      </c>
      <c r="N68" s="118" t="str">
        <f t="shared" si="13"/>
        <v>Paula</v>
      </c>
      <c r="O68" s="118" t="str">
        <f t="shared" si="14"/>
        <v>Paula</v>
      </c>
      <c r="P68" s="118" t="str">
        <f t="shared" si="15"/>
        <v>634.25</v>
      </c>
      <c r="Q68" s="118" t="str">
        <f t="shared" si="16"/>
        <v>634.25</v>
      </c>
      <c r="R68" s="118" t="str">
        <f t="shared" si="17"/>
        <v>Paula Robinson</v>
      </c>
    </row>
    <row r="69" spans="1:18" x14ac:dyDescent="0.25">
      <c r="A69" s="115">
        <v>68</v>
      </c>
      <c r="B69" s="115" t="s">
        <v>185</v>
      </c>
      <c r="C69" s="115" t="s">
        <v>640</v>
      </c>
      <c r="D69" s="115" t="str">
        <f t="shared" si="10"/>
        <v>William</v>
      </c>
      <c r="E69" s="115" t="s">
        <v>183</v>
      </c>
      <c r="F69" s="116">
        <v>35715</v>
      </c>
      <c r="G69" s="115" t="s">
        <v>113</v>
      </c>
      <c r="H69" s="117">
        <v>40</v>
      </c>
      <c r="I69" s="118">
        <v>35</v>
      </c>
      <c r="J69" s="118">
        <f t="shared" si="9"/>
        <v>1400</v>
      </c>
      <c r="L69" s="118" t="str">
        <f t="shared" si="11"/>
        <v>william</v>
      </c>
      <c r="M69" s="118" t="str">
        <f t="shared" si="12"/>
        <v>WILLIAM</v>
      </c>
      <c r="N69" s="118" t="str">
        <f t="shared" si="13"/>
        <v>William</v>
      </c>
      <c r="O69" s="118" t="str">
        <f t="shared" si="14"/>
        <v>William</v>
      </c>
      <c r="P69" s="118" t="str">
        <f t="shared" si="15"/>
        <v>1400</v>
      </c>
      <c r="Q69" s="118" t="str">
        <f t="shared" si="16"/>
        <v>1400</v>
      </c>
      <c r="R69" s="118" t="str">
        <f t="shared" si="17"/>
        <v>William Abel</v>
      </c>
    </row>
    <row r="70" spans="1:18" x14ac:dyDescent="0.25">
      <c r="A70" s="115">
        <v>69</v>
      </c>
      <c r="B70" s="115" t="s">
        <v>182</v>
      </c>
      <c r="C70" s="115" t="s">
        <v>641</v>
      </c>
      <c r="D70" s="115" t="str">
        <f t="shared" si="10"/>
        <v>Shirley</v>
      </c>
      <c r="E70" s="115" t="s">
        <v>180</v>
      </c>
      <c r="F70" s="116">
        <v>36231</v>
      </c>
      <c r="G70" s="115" t="s">
        <v>113</v>
      </c>
      <c r="H70" s="117">
        <v>35</v>
      </c>
      <c r="I70" s="118">
        <v>27.1</v>
      </c>
      <c r="J70" s="118">
        <f t="shared" si="9"/>
        <v>948.5</v>
      </c>
      <c r="L70" s="118" t="str">
        <f t="shared" si="11"/>
        <v>shirley</v>
      </c>
      <c r="M70" s="118" t="str">
        <f t="shared" si="12"/>
        <v>SHIRLEY</v>
      </c>
      <c r="N70" s="118" t="str">
        <f t="shared" si="13"/>
        <v>Shirley</v>
      </c>
      <c r="O70" s="118" t="str">
        <f t="shared" si="14"/>
        <v>Shirley</v>
      </c>
      <c r="P70" s="118" t="str">
        <f t="shared" si="15"/>
        <v>948.5</v>
      </c>
      <c r="Q70" s="118" t="str">
        <f t="shared" si="16"/>
        <v>948.5</v>
      </c>
      <c r="R70" s="118" t="str">
        <f t="shared" si="17"/>
        <v>Shirley Dandrow</v>
      </c>
    </row>
    <row r="71" spans="1:18" x14ac:dyDescent="0.25">
      <c r="A71" s="115">
        <v>70</v>
      </c>
      <c r="B71" s="115" t="s">
        <v>179</v>
      </c>
      <c r="C71" s="115" t="s">
        <v>642</v>
      </c>
      <c r="D71" s="115" t="str">
        <f t="shared" si="10"/>
        <v>Kim</v>
      </c>
      <c r="E71" s="115" t="s">
        <v>132</v>
      </c>
      <c r="F71" s="116">
        <v>35759</v>
      </c>
      <c r="G71" s="115" t="s">
        <v>105</v>
      </c>
      <c r="H71" s="117">
        <v>42</v>
      </c>
      <c r="I71" s="118">
        <v>39</v>
      </c>
      <c r="J71" s="118">
        <f t="shared" si="9"/>
        <v>1638</v>
      </c>
      <c r="L71" s="118" t="str">
        <f t="shared" si="11"/>
        <v>kim</v>
      </c>
      <c r="M71" s="118" t="str">
        <f t="shared" si="12"/>
        <v>KIM</v>
      </c>
      <c r="N71" s="118" t="str">
        <f t="shared" si="13"/>
        <v>Kim</v>
      </c>
      <c r="O71" s="118" t="str">
        <f t="shared" si="14"/>
        <v>Kim</v>
      </c>
      <c r="P71" s="118" t="str">
        <f t="shared" si="15"/>
        <v>1638</v>
      </c>
      <c r="Q71" s="118" t="str">
        <f t="shared" si="16"/>
        <v>1638</v>
      </c>
      <c r="R71" s="118" t="str">
        <f t="shared" si="17"/>
        <v>Kim Smith</v>
      </c>
    </row>
    <row r="72" spans="1:18" x14ac:dyDescent="0.25">
      <c r="A72" s="115">
        <v>71</v>
      </c>
      <c r="B72" s="115" t="s">
        <v>177</v>
      </c>
      <c r="C72" s="115" t="s">
        <v>643</v>
      </c>
      <c r="D72" s="115" t="str">
        <f t="shared" si="10"/>
        <v>Maria</v>
      </c>
      <c r="E72" s="115" t="s">
        <v>175</v>
      </c>
      <c r="F72" s="116">
        <v>36312</v>
      </c>
      <c r="G72" s="115" t="s">
        <v>105</v>
      </c>
      <c r="H72" s="117">
        <v>29.5</v>
      </c>
      <c r="I72" s="118">
        <v>28.3</v>
      </c>
      <c r="J72" s="118">
        <f t="shared" si="9"/>
        <v>834.85</v>
      </c>
      <c r="L72" s="118" t="str">
        <f t="shared" si="11"/>
        <v>maria</v>
      </c>
      <c r="M72" s="118" t="str">
        <f t="shared" si="12"/>
        <v>MARIA</v>
      </c>
      <c r="N72" s="118" t="str">
        <f t="shared" si="13"/>
        <v>Maria</v>
      </c>
      <c r="O72" s="118" t="str">
        <f t="shared" si="14"/>
        <v>Maria</v>
      </c>
      <c r="P72" s="118" t="str">
        <f t="shared" si="15"/>
        <v>834.85</v>
      </c>
      <c r="Q72" s="118" t="str">
        <f t="shared" si="16"/>
        <v>834.85</v>
      </c>
      <c r="R72" s="118" t="str">
        <f t="shared" si="17"/>
        <v>Maria Switzer</v>
      </c>
    </row>
    <row r="73" spans="1:18" x14ac:dyDescent="0.25">
      <c r="A73" s="115">
        <v>72</v>
      </c>
      <c r="B73" s="115" t="s">
        <v>174</v>
      </c>
      <c r="C73" s="115" t="s">
        <v>644</v>
      </c>
      <c r="D73" s="115" t="str">
        <f t="shared" si="10"/>
        <v>John</v>
      </c>
      <c r="E73" s="115" t="s">
        <v>172</v>
      </c>
      <c r="F73" s="116">
        <v>34609</v>
      </c>
      <c r="G73" s="115" t="s">
        <v>113</v>
      </c>
      <c r="H73" s="117">
        <v>40</v>
      </c>
      <c r="I73" s="118">
        <v>21.5</v>
      </c>
      <c r="J73" s="118">
        <f t="shared" si="9"/>
        <v>860</v>
      </c>
      <c r="L73" s="118" t="str">
        <f t="shared" si="11"/>
        <v>john</v>
      </c>
      <c r="M73" s="118" t="str">
        <f t="shared" si="12"/>
        <v>JOHN</v>
      </c>
      <c r="N73" s="118" t="str">
        <f t="shared" si="13"/>
        <v>John</v>
      </c>
      <c r="O73" s="118" t="str">
        <f t="shared" si="14"/>
        <v>John</v>
      </c>
      <c r="P73" s="118" t="str">
        <f t="shared" si="15"/>
        <v>860</v>
      </c>
      <c r="Q73" s="118" t="str">
        <f t="shared" si="16"/>
        <v>860</v>
      </c>
      <c r="R73" s="118" t="str">
        <f t="shared" si="17"/>
        <v>John Jacobs</v>
      </c>
    </row>
    <row r="74" spans="1:18" x14ac:dyDescent="0.25">
      <c r="A74" s="115">
        <v>73</v>
      </c>
      <c r="B74" s="115" t="s">
        <v>171</v>
      </c>
      <c r="C74" s="115" t="s">
        <v>645</v>
      </c>
      <c r="D74" s="115" t="str">
        <f t="shared" si="10"/>
        <v>Bradley</v>
      </c>
      <c r="E74" s="115" t="s">
        <v>169</v>
      </c>
      <c r="F74" s="116">
        <v>33646</v>
      </c>
      <c r="G74" s="115" t="s">
        <v>113</v>
      </c>
      <c r="H74" s="117">
        <v>40</v>
      </c>
      <c r="I74" s="118">
        <v>22.22</v>
      </c>
      <c r="J74" s="118">
        <f t="shared" si="9"/>
        <v>888.8</v>
      </c>
      <c r="L74" s="118" t="str">
        <f t="shared" si="11"/>
        <v>bradley</v>
      </c>
      <c r="M74" s="118" t="str">
        <f t="shared" si="12"/>
        <v>BRADLEY</v>
      </c>
      <c r="N74" s="118" t="str">
        <f t="shared" si="13"/>
        <v>Bradley</v>
      </c>
      <c r="O74" s="118" t="str">
        <f t="shared" si="14"/>
        <v>Bradley</v>
      </c>
      <c r="P74" s="118" t="str">
        <f t="shared" si="15"/>
        <v>888.8</v>
      </c>
      <c r="Q74" s="118" t="str">
        <f t="shared" si="16"/>
        <v>888.8</v>
      </c>
      <c r="R74" s="118" t="str">
        <f t="shared" si="17"/>
        <v>Bradley Howard</v>
      </c>
    </row>
    <row r="75" spans="1:18" x14ac:dyDescent="0.25">
      <c r="A75" s="115">
        <v>74</v>
      </c>
      <c r="B75" s="115" t="s">
        <v>168</v>
      </c>
      <c r="C75" s="115" t="s">
        <v>646</v>
      </c>
      <c r="D75" s="115" t="str">
        <f t="shared" si="10"/>
        <v>Frieda</v>
      </c>
      <c r="E75" s="115" t="s">
        <v>106</v>
      </c>
      <c r="F75" s="116">
        <v>32919</v>
      </c>
      <c r="G75" s="115" t="s">
        <v>109</v>
      </c>
      <c r="H75" s="117">
        <v>40</v>
      </c>
      <c r="I75" s="118">
        <v>27.1</v>
      </c>
      <c r="J75" s="118">
        <f t="shared" si="9"/>
        <v>1084</v>
      </c>
      <c r="L75" s="118" t="str">
        <f t="shared" si="11"/>
        <v>frieda</v>
      </c>
      <c r="M75" s="118" t="str">
        <f t="shared" si="12"/>
        <v>FRIEDA</v>
      </c>
      <c r="N75" s="118" t="str">
        <f t="shared" si="13"/>
        <v>Frieda</v>
      </c>
      <c r="O75" s="118" t="str">
        <f t="shared" si="14"/>
        <v>Frieda</v>
      </c>
      <c r="P75" s="118" t="str">
        <f t="shared" si="15"/>
        <v>1084</v>
      </c>
      <c r="Q75" s="118" t="str">
        <f t="shared" si="16"/>
        <v>1084</v>
      </c>
      <c r="R75" s="118" t="str">
        <f t="shared" si="17"/>
        <v>Frieda Binga</v>
      </c>
    </row>
    <row r="76" spans="1:18" x14ac:dyDescent="0.25">
      <c r="A76" s="115">
        <v>75</v>
      </c>
      <c r="B76" s="115" t="s">
        <v>166</v>
      </c>
      <c r="C76" s="115" t="s">
        <v>647</v>
      </c>
      <c r="D76" s="115" t="str">
        <f t="shared" si="10"/>
        <v>Holly</v>
      </c>
      <c r="E76" s="115" t="s">
        <v>164</v>
      </c>
      <c r="F76" s="116">
        <v>33831</v>
      </c>
      <c r="G76" s="115" t="s">
        <v>120</v>
      </c>
      <c r="H76" s="117">
        <v>29.5</v>
      </c>
      <c r="I76" s="118">
        <v>31.75</v>
      </c>
      <c r="J76" s="118">
        <f t="shared" si="9"/>
        <v>936.625</v>
      </c>
      <c r="L76" s="118" t="str">
        <f t="shared" si="11"/>
        <v>holly</v>
      </c>
      <c r="M76" s="118" t="str">
        <f t="shared" si="12"/>
        <v>HOLLY</v>
      </c>
      <c r="N76" s="118" t="str">
        <f t="shared" si="13"/>
        <v>Holly</v>
      </c>
      <c r="O76" s="118" t="str">
        <f t="shared" si="14"/>
        <v>Holly</v>
      </c>
      <c r="P76" s="118" t="str">
        <f t="shared" si="15"/>
        <v>936.625</v>
      </c>
      <c r="Q76" s="118" t="str">
        <f t="shared" si="16"/>
        <v>936.625</v>
      </c>
      <c r="R76" s="118" t="str">
        <f t="shared" si="17"/>
        <v>Holly Taylor</v>
      </c>
    </row>
    <row r="77" spans="1:18" x14ac:dyDescent="0.25">
      <c r="A77" s="115">
        <v>76</v>
      </c>
      <c r="B77" s="115" t="s">
        <v>163</v>
      </c>
      <c r="C77" s="115" t="s">
        <v>648</v>
      </c>
      <c r="D77" s="115" t="str">
        <f t="shared" si="10"/>
        <v>Tim</v>
      </c>
      <c r="E77" s="115" t="s">
        <v>161</v>
      </c>
      <c r="F77" s="116">
        <v>35728</v>
      </c>
      <c r="G77" s="115" t="s">
        <v>109</v>
      </c>
      <c r="H77" s="117">
        <v>40</v>
      </c>
      <c r="I77" s="118">
        <v>21.5</v>
      </c>
      <c r="J77" s="118">
        <f t="shared" si="9"/>
        <v>860</v>
      </c>
      <c r="L77" s="118" t="str">
        <f t="shared" si="11"/>
        <v>tim</v>
      </c>
      <c r="M77" s="118" t="str">
        <f t="shared" si="12"/>
        <v>TIM</v>
      </c>
      <c r="N77" s="118" t="str">
        <f t="shared" si="13"/>
        <v>Tim</v>
      </c>
      <c r="O77" s="118" t="str">
        <f t="shared" si="14"/>
        <v>Tim</v>
      </c>
      <c r="P77" s="118" t="str">
        <f t="shared" si="15"/>
        <v>860</v>
      </c>
      <c r="Q77" s="118" t="str">
        <f t="shared" si="16"/>
        <v>860</v>
      </c>
      <c r="R77" s="118" t="str">
        <f t="shared" si="17"/>
        <v>Tim Barthoff</v>
      </c>
    </row>
    <row r="78" spans="1:18" x14ac:dyDescent="0.25">
      <c r="A78" s="115">
        <v>77</v>
      </c>
      <c r="B78" s="115" t="s">
        <v>160</v>
      </c>
      <c r="C78" s="115" t="s">
        <v>649</v>
      </c>
      <c r="D78" s="115" t="str">
        <f t="shared" si="10"/>
        <v>Esther</v>
      </c>
      <c r="E78" s="115" t="s">
        <v>158</v>
      </c>
      <c r="F78" s="116">
        <v>34679</v>
      </c>
      <c r="G78" s="115" t="s">
        <v>109</v>
      </c>
      <c r="H78" s="117">
        <v>40</v>
      </c>
      <c r="I78" s="118">
        <v>34.5</v>
      </c>
      <c r="J78" s="118">
        <f t="shared" si="9"/>
        <v>1380</v>
      </c>
      <c r="L78" s="118" t="str">
        <f t="shared" si="11"/>
        <v>esther</v>
      </c>
      <c r="M78" s="118" t="str">
        <f t="shared" si="12"/>
        <v>ESTHER</v>
      </c>
      <c r="N78" s="118" t="str">
        <f t="shared" si="13"/>
        <v>Esther</v>
      </c>
      <c r="O78" s="118" t="str">
        <f t="shared" si="14"/>
        <v>Esther</v>
      </c>
      <c r="P78" s="118" t="str">
        <f t="shared" si="15"/>
        <v>1380</v>
      </c>
      <c r="Q78" s="118" t="str">
        <f t="shared" si="16"/>
        <v>1380</v>
      </c>
      <c r="R78" s="118" t="str">
        <f t="shared" si="17"/>
        <v>Esther Williams</v>
      </c>
    </row>
    <row r="79" spans="1:18" x14ac:dyDescent="0.25">
      <c r="A79" s="115">
        <v>78</v>
      </c>
      <c r="B79" s="115" t="s">
        <v>157</v>
      </c>
      <c r="C79" s="115" t="s">
        <v>650</v>
      </c>
      <c r="D79" s="115" t="str">
        <f t="shared" si="10"/>
        <v>Theresa</v>
      </c>
      <c r="E79" s="115" t="s">
        <v>155</v>
      </c>
      <c r="F79" s="116">
        <v>36221</v>
      </c>
      <c r="G79" s="115" t="s">
        <v>154</v>
      </c>
      <c r="H79" s="117">
        <v>40</v>
      </c>
      <c r="I79" s="118">
        <v>48</v>
      </c>
      <c r="J79" s="118">
        <f t="shared" si="9"/>
        <v>1920</v>
      </c>
      <c r="L79" s="118" t="str">
        <f t="shared" si="11"/>
        <v>theresa</v>
      </c>
      <c r="M79" s="118" t="str">
        <f t="shared" si="12"/>
        <v>THERESA</v>
      </c>
      <c r="N79" s="118" t="str">
        <f t="shared" si="13"/>
        <v>Theresa</v>
      </c>
      <c r="O79" s="118" t="str">
        <f t="shared" si="14"/>
        <v>Theresa</v>
      </c>
      <c r="P79" s="118" t="str">
        <f t="shared" si="15"/>
        <v>1920</v>
      </c>
      <c r="Q79" s="118" t="str">
        <f t="shared" si="16"/>
        <v>1920</v>
      </c>
      <c r="R79" s="118" t="str">
        <f t="shared" si="17"/>
        <v>Theresa Miller</v>
      </c>
    </row>
    <row r="80" spans="1:18" x14ac:dyDescent="0.25">
      <c r="A80" s="115">
        <v>79</v>
      </c>
      <c r="B80" s="115" t="s">
        <v>153</v>
      </c>
      <c r="C80" s="115" t="s">
        <v>651</v>
      </c>
      <c r="D80" s="115" t="str">
        <f t="shared" si="10"/>
        <v>Marianne</v>
      </c>
      <c r="E80" s="115" t="s">
        <v>151</v>
      </c>
      <c r="F80" s="116">
        <v>34171</v>
      </c>
      <c r="G80" s="115"/>
      <c r="H80" s="117">
        <v>40</v>
      </c>
      <c r="I80" s="118">
        <v>30</v>
      </c>
      <c r="J80" s="118">
        <f t="shared" si="9"/>
        <v>1200</v>
      </c>
      <c r="L80" s="118" t="str">
        <f t="shared" si="11"/>
        <v>marianne</v>
      </c>
      <c r="M80" s="118" t="str">
        <f t="shared" si="12"/>
        <v>MARIANNE</v>
      </c>
      <c r="N80" s="118" t="str">
        <f t="shared" si="13"/>
        <v>Marianne</v>
      </c>
      <c r="O80" s="118" t="str">
        <f t="shared" si="14"/>
        <v>Marianne</v>
      </c>
      <c r="P80" s="118" t="str">
        <f t="shared" si="15"/>
        <v>1200</v>
      </c>
      <c r="Q80" s="118" t="str">
        <f t="shared" si="16"/>
        <v>1200</v>
      </c>
      <c r="R80" s="118" t="str">
        <f t="shared" si="17"/>
        <v>Marianne Calvin</v>
      </c>
    </row>
    <row r="81" spans="1:18" x14ac:dyDescent="0.25">
      <c r="A81" s="115">
        <v>80</v>
      </c>
      <c r="B81" s="115" t="s">
        <v>150</v>
      </c>
      <c r="C81" s="115" t="s">
        <v>652</v>
      </c>
      <c r="D81" s="115" t="str">
        <f t="shared" si="10"/>
        <v/>
      </c>
      <c r="E81" s="115"/>
      <c r="F81" s="116"/>
      <c r="G81" s="115" t="s">
        <v>124</v>
      </c>
      <c r="H81" s="117">
        <v>40</v>
      </c>
      <c r="I81" s="118">
        <v>21.5</v>
      </c>
      <c r="J81" s="118">
        <f t="shared" si="9"/>
        <v>860</v>
      </c>
      <c r="L81" s="118" t="str">
        <f t="shared" si="11"/>
        <v/>
      </c>
      <c r="M81" s="118" t="str">
        <f t="shared" si="12"/>
        <v/>
      </c>
      <c r="N81" s="118" t="str">
        <f t="shared" si="13"/>
        <v/>
      </c>
      <c r="O81" s="118" t="str">
        <f t="shared" si="14"/>
        <v/>
      </c>
      <c r="P81" s="118" t="str">
        <f t="shared" si="15"/>
        <v>860</v>
      </c>
      <c r="Q81" s="118" t="str">
        <f t="shared" si="16"/>
        <v>860</v>
      </c>
      <c r="R81" s="118" t="str">
        <f t="shared" si="17"/>
        <v xml:space="preserve"> </v>
      </c>
    </row>
    <row r="82" spans="1:18" x14ac:dyDescent="0.25">
      <c r="A82" s="115">
        <v>81</v>
      </c>
      <c r="B82" s="115" t="s">
        <v>149</v>
      </c>
      <c r="C82" s="115" t="s">
        <v>653</v>
      </c>
      <c r="D82" s="115" t="str">
        <f t="shared" si="10"/>
        <v>Grace</v>
      </c>
      <c r="E82" s="115" t="s">
        <v>147</v>
      </c>
      <c r="F82" s="116">
        <v>33908</v>
      </c>
      <c r="G82" s="115" t="s">
        <v>128</v>
      </c>
      <c r="H82" s="117">
        <v>40</v>
      </c>
      <c r="I82" s="118">
        <v>30.5</v>
      </c>
      <c r="J82" s="118">
        <f t="shared" si="9"/>
        <v>1220</v>
      </c>
      <c r="L82" s="118" t="str">
        <f t="shared" si="11"/>
        <v>grace</v>
      </c>
      <c r="M82" s="118" t="str">
        <f t="shared" si="12"/>
        <v>GRACE</v>
      </c>
      <c r="N82" s="118" t="str">
        <f t="shared" si="13"/>
        <v>Grace</v>
      </c>
      <c r="O82" s="118" t="str">
        <f t="shared" si="14"/>
        <v>Grace</v>
      </c>
      <c r="P82" s="118" t="str">
        <f t="shared" si="15"/>
        <v>1220</v>
      </c>
      <c r="Q82" s="118" t="str">
        <f t="shared" si="16"/>
        <v>1220</v>
      </c>
      <c r="R82" s="118" t="str">
        <f t="shared" si="17"/>
        <v>Grace Sloan</v>
      </c>
    </row>
    <row r="83" spans="1:18" x14ac:dyDescent="0.25">
      <c r="A83" s="115">
        <v>82</v>
      </c>
      <c r="B83" s="115" t="s">
        <v>146</v>
      </c>
      <c r="C83" s="115" t="s">
        <v>654</v>
      </c>
      <c r="D83" s="115" t="str">
        <f t="shared" si="10"/>
        <v>Richard</v>
      </c>
      <c r="E83" s="115" t="s">
        <v>144</v>
      </c>
      <c r="F83" s="116">
        <v>35451</v>
      </c>
      <c r="G83" s="115"/>
      <c r="H83" s="117">
        <v>29.5</v>
      </c>
      <c r="I83" s="118">
        <v>30</v>
      </c>
      <c r="J83" s="118">
        <f t="shared" si="9"/>
        <v>885</v>
      </c>
      <c r="L83" s="118" t="str">
        <f t="shared" si="11"/>
        <v>richard</v>
      </c>
      <c r="M83" s="118" t="str">
        <f t="shared" si="12"/>
        <v>RICHARD</v>
      </c>
      <c r="N83" s="118" t="str">
        <f t="shared" si="13"/>
        <v>Richard</v>
      </c>
      <c r="O83" s="118" t="str">
        <f t="shared" si="14"/>
        <v>Richard</v>
      </c>
      <c r="P83" s="118" t="str">
        <f t="shared" si="15"/>
        <v>885</v>
      </c>
      <c r="Q83" s="118" t="str">
        <f t="shared" si="16"/>
        <v>885</v>
      </c>
      <c r="R83" s="118" t="str">
        <f t="shared" si="17"/>
        <v>Richard Gibbs</v>
      </c>
    </row>
    <row r="84" spans="1:18" x14ac:dyDescent="0.25">
      <c r="A84" s="115">
        <v>83</v>
      </c>
      <c r="B84" s="115" t="s">
        <v>143</v>
      </c>
      <c r="C84" s="115" t="s">
        <v>655</v>
      </c>
      <c r="D84" s="115" t="str">
        <f t="shared" si="10"/>
        <v>Lorrie</v>
      </c>
      <c r="E84" s="115" t="s">
        <v>141</v>
      </c>
      <c r="F84" s="116">
        <v>32568</v>
      </c>
      <c r="G84" s="115" t="s">
        <v>128</v>
      </c>
      <c r="H84" s="117">
        <v>15.5</v>
      </c>
      <c r="I84" s="118">
        <v>27.6</v>
      </c>
      <c r="J84" s="118">
        <f t="shared" si="9"/>
        <v>427.8</v>
      </c>
      <c r="L84" s="118" t="str">
        <f t="shared" si="11"/>
        <v>lorrie</v>
      </c>
      <c r="M84" s="118" t="str">
        <f t="shared" si="12"/>
        <v>LORRIE</v>
      </c>
      <c r="N84" s="118" t="str">
        <f t="shared" si="13"/>
        <v>Lorrie</v>
      </c>
      <c r="O84" s="118" t="str">
        <f t="shared" si="14"/>
        <v>Lorrie</v>
      </c>
      <c r="P84" s="118" t="str">
        <f t="shared" si="15"/>
        <v>427.8</v>
      </c>
      <c r="Q84" s="118" t="str">
        <f t="shared" si="16"/>
        <v>427.8</v>
      </c>
      <c r="R84" s="118" t="str">
        <f t="shared" si="17"/>
        <v>Lorrie Sullivan</v>
      </c>
    </row>
    <row r="85" spans="1:18" x14ac:dyDescent="0.25">
      <c r="A85" s="115">
        <v>84</v>
      </c>
      <c r="B85" s="115" t="s">
        <v>140</v>
      </c>
      <c r="C85" s="115" t="s">
        <v>656</v>
      </c>
      <c r="D85" s="115" t="str">
        <f t="shared" si="10"/>
        <v>Ted</v>
      </c>
      <c r="E85" s="115" t="s">
        <v>138</v>
      </c>
      <c r="F85" s="116">
        <v>34673</v>
      </c>
      <c r="G85" s="115" t="s">
        <v>109</v>
      </c>
      <c r="H85" s="117">
        <v>32</v>
      </c>
      <c r="I85" s="118">
        <v>23.75</v>
      </c>
      <c r="J85" s="118">
        <f t="shared" si="9"/>
        <v>760</v>
      </c>
      <c r="L85" s="118" t="str">
        <f t="shared" si="11"/>
        <v>ted</v>
      </c>
      <c r="M85" s="118" t="str">
        <f t="shared" si="12"/>
        <v>TED</v>
      </c>
      <c r="N85" s="118" t="str">
        <f t="shared" si="13"/>
        <v>Ted</v>
      </c>
      <c r="O85" s="118" t="str">
        <f t="shared" si="14"/>
        <v>Ted</v>
      </c>
      <c r="P85" s="118" t="str">
        <f t="shared" si="15"/>
        <v>760</v>
      </c>
      <c r="Q85" s="118" t="str">
        <f t="shared" si="16"/>
        <v>760</v>
      </c>
      <c r="R85" s="118" t="str">
        <f t="shared" si="17"/>
        <v>Ted Hayes</v>
      </c>
    </row>
    <row r="86" spans="1:18" x14ac:dyDescent="0.25">
      <c r="A86" s="115">
        <v>85</v>
      </c>
      <c r="B86" s="115" t="s">
        <v>137</v>
      </c>
      <c r="C86" s="115" t="s">
        <v>657</v>
      </c>
      <c r="D86" s="115" t="str">
        <f t="shared" si="10"/>
        <v>Helen</v>
      </c>
      <c r="E86" s="115" t="s">
        <v>135</v>
      </c>
      <c r="F86" s="116">
        <v>35916</v>
      </c>
      <c r="G86" s="115"/>
      <c r="H86" s="117">
        <v>42</v>
      </c>
      <c r="I86" s="118">
        <v>30.5</v>
      </c>
      <c r="J86" s="118">
        <f t="shared" si="9"/>
        <v>1281</v>
      </c>
      <c r="L86" s="118" t="str">
        <f t="shared" si="11"/>
        <v>helen</v>
      </c>
      <c r="M86" s="118" t="str">
        <f t="shared" si="12"/>
        <v>HELEN</v>
      </c>
      <c r="N86" s="118" t="str">
        <f t="shared" si="13"/>
        <v>Helen</v>
      </c>
      <c r="O86" s="118" t="str">
        <f t="shared" si="14"/>
        <v>Helen</v>
      </c>
      <c r="P86" s="118" t="str">
        <f t="shared" si="15"/>
        <v>1281</v>
      </c>
      <c r="Q86" s="118" t="str">
        <f t="shared" si="16"/>
        <v>1281</v>
      </c>
      <c r="R86" s="118" t="str">
        <f t="shared" si="17"/>
        <v>Helen Stewart</v>
      </c>
    </row>
    <row r="87" spans="1:18" x14ac:dyDescent="0.25">
      <c r="A87" s="115">
        <v>86</v>
      </c>
      <c r="B87" s="115" t="s">
        <v>134</v>
      </c>
      <c r="C87" s="115" t="s">
        <v>658</v>
      </c>
      <c r="D87" s="115" t="str">
        <f t="shared" si="10"/>
        <v>Katie</v>
      </c>
      <c r="E87" s="115" t="s">
        <v>132</v>
      </c>
      <c r="F87" s="116">
        <v>34610</v>
      </c>
      <c r="G87" s="115" t="s">
        <v>128</v>
      </c>
      <c r="H87" s="117">
        <v>40</v>
      </c>
      <c r="I87" s="118">
        <v>30</v>
      </c>
      <c r="J87" s="118">
        <f t="shared" si="9"/>
        <v>1200</v>
      </c>
      <c r="L87" s="118" t="str">
        <f t="shared" si="11"/>
        <v>katie</v>
      </c>
      <c r="M87" s="118" t="str">
        <f t="shared" si="12"/>
        <v>KATIE</v>
      </c>
      <c r="N87" s="118" t="str">
        <f t="shared" si="13"/>
        <v>Katie</v>
      </c>
      <c r="O87" s="118" t="str">
        <f t="shared" si="14"/>
        <v>Katie</v>
      </c>
      <c r="P87" s="118" t="str">
        <f t="shared" si="15"/>
        <v>1200</v>
      </c>
      <c r="Q87" s="118" t="str">
        <f t="shared" si="16"/>
        <v>1200</v>
      </c>
      <c r="R87" s="118" t="str">
        <f t="shared" si="17"/>
        <v>Katie Smith</v>
      </c>
    </row>
    <row r="88" spans="1:18" x14ac:dyDescent="0.25">
      <c r="A88" s="115">
        <v>87</v>
      </c>
      <c r="B88" s="115" t="s">
        <v>131</v>
      </c>
      <c r="C88" s="115" t="s">
        <v>659</v>
      </c>
      <c r="D88" s="115" t="str">
        <f t="shared" si="10"/>
        <v>Jane</v>
      </c>
      <c r="E88" s="115" t="s">
        <v>129</v>
      </c>
      <c r="F88" s="116">
        <v>35739</v>
      </c>
      <c r="G88" s="115" t="s">
        <v>128</v>
      </c>
      <c r="H88" s="117">
        <v>35</v>
      </c>
      <c r="I88" s="118">
        <v>60</v>
      </c>
      <c r="J88" s="118">
        <f t="shared" si="9"/>
        <v>2100</v>
      </c>
      <c r="L88" s="118" t="str">
        <f t="shared" si="11"/>
        <v>jane</v>
      </c>
      <c r="M88" s="118" t="str">
        <f t="shared" si="12"/>
        <v>JANE</v>
      </c>
      <c r="N88" s="118" t="str">
        <f t="shared" si="13"/>
        <v>Jane</v>
      </c>
      <c r="O88" s="118" t="str">
        <f t="shared" si="14"/>
        <v>Jane</v>
      </c>
      <c r="P88" s="118" t="str">
        <f t="shared" si="15"/>
        <v>2100</v>
      </c>
      <c r="Q88" s="118" t="str">
        <f t="shared" si="16"/>
        <v>2100</v>
      </c>
      <c r="R88" s="118" t="str">
        <f t="shared" si="17"/>
        <v>Jane Winters</v>
      </c>
    </row>
    <row r="89" spans="1:18" x14ac:dyDescent="0.25">
      <c r="A89" s="115">
        <v>88</v>
      </c>
      <c r="B89" s="115" t="s">
        <v>127</v>
      </c>
      <c r="C89" s="115" t="s">
        <v>660</v>
      </c>
      <c r="D89" s="115" t="str">
        <f t="shared" si="10"/>
        <v>Paul</v>
      </c>
      <c r="E89" s="115" t="s">
        <v>125</v>
      </c>
      <c r="F89" s="116">
        <v>31884</v>
      </c>
      <c r="G89" s="115" t="s">
        <v>124</v>
      </c>
      <c r="H89" s="117">
        <v>40</v>
      </c>
      <c r="I89" s="118">
        <v>21.5</v>
      </c>
      <c r="J89" s="118">
        <f t="shared" si="9"/>
        <v>860</v>
      </c>
      <c r="L89" s="118" t="str">
        <f t="shared" si="11"/>
        <v>paul</v>
      </c>
      <c r="M89" s="118" t="str">
        <f t="shared" si="12"/>
        <v>PAUL</v>
      </c>
      <c r="N89" s="118" t="str">
        <f t="shared" si="13"/>
        <v>Paul</v>
      </c>
      <c r="O89" s="118" t="str">
        <f t="shared" si="14"/>
        <v>Paul</v>
      </c>
      <c r="P89" s="118" t="str">
        <f t="shared" si="15"/>
        <v>860</v>
      </c>
      <c r="Q89" s="118" t="str">
        <f t="shared" si="16"/>
        <v>860</v>
      </c>
      <c r="R89" s="118" t="str">
        <f t="shared" si="17"/>
        <v>Paul Martin</v>
      </c>
    </row>
    <row r="90" spans="1:18" x14ac:dyDescent="0.25">
      <c r="A90" s="115">
        <v>89</v>
      </c>
      <c r="B90" s="115" t="s">
        <v>123</v>
      </c>
      <c r="C90" s="115" t="s">
        <v>661</v>
      </c>
      <c r="D90" s="115" t="str">
        <f t="shared" si="10"/>
        <v>Geoff</v>
      </c>
      <c r="E90" s="115" t="s">
        <v>121</v>
      </c>
      <c r="F90" s="116">
        <v>34879</v>
      </c>
      <c r="G90" s="115" t="s">
        <v>120</v>
      </c>
      <c r="H90" s="117">
        <v>40</v>
      </c>
      <c r="I90" s="118">
        <v>21.5</v>
      </c>
      <c r="J90" s="118">
        <f t="shared" si="9"/>
        <v>860</v>
      </c>
      <c r="L90" s="118" t="str">
        <f t="shared" si="11"/>
        <v>geoff</v>
      </c>
      <c r="M90" s="118" t="str">
        <f t="shared" si="12"/>
        <v>GEOFF</v>
      </c>
      <c r="N90" s="118" t="str">
        <f t="shared" si="13"/>
        <v>Geoff</v>
      </c>
      <c r="O90" s="118" t="str">
        <f t="shared" si="14"/>
        <v>Geoff</v>
      </c>
      <c r="P90" s="118" t="str">
        <f t="shared" si="15"/>
        <v>860</v>
      </c>
      <c r="Q90" s="118" t="str">
        <f t="shared" si="16"/>
        <v>860</v>
      </c>
      <c r="R90" s="118" t="str">
        <f t="shared" si="17"/>
        <v>Geoff Brown</v>
      </c>
    </row>
    <row r="91" spans="1:18" x14ac:dyDescent="0.25">
      <c r="A91" s="115">
        <v>90</v>
      </c>
      <c r="B91" s="115" t="s">
        <v>119</v>
      </c>
      <c r="C91" s="115" t="s">
        <v>662</v>
      </c>
      <c r="D91" s="115" t="str">
        <f t="shared" si="10"/>
        <v>Alice</v>
      </c>
      <c r="E91" s="115" t="s">
        <v>117</v>
      </c>
      <c r="F91" s="116">
        <v>34758</v>
      </c>
      <c r="G91" s="115" t="s">
        <v>105</v>
      </c>
      <c r="H91" s="117">
        <v>15.5</v>
      </c>
      <c r="I91" s="118">
        <v>20.5</v>
      </c>
      <c r="J91" s="118">
        <f t="shared" si="9"/>
        <v>317.75</v>
      </c>
      <c r="L91" s="118" t="str">
        <f t="shared" si="11"/>
        <v>alice</v>
      </c>
      <c r="M91" s="118" t="str">
        <f t="shared" si="12"/>
        <v>ALICE</v>
      </c>
      <c r="N91" s="118" t="str">
        <f t="shared" si="13"/>
        <v>Alice</v>
      </c>
      <c r="O91" s="118" t="str">
        <f t="shared" si="14"/>
        <v>Alice</v>
      </c>
      <c r="P91" s="118" t="str">
        <f t="shared" si="15"/>
        <v>317.75</v>
      </c>
      <c r="Q91" s="118" t="str">
        <f t="shared" si="16"/>
        <v>317.75</v>
      </c>
      <c r="R91" s="118" t="str">
        <f t="shared" si="17"/>
        <v>Alice Owens</v>
      </c>
    </row>
    <row r="92" spans="1:18" x14ac:dyDescent="0.25">
      <c r="A92" s="115">
        <v>91</v>
      </c>
      <c r="B92" s="115" t="s">
        <v>116</v>
      </c>
      <c r="C92" s="115" t="s">
        <v>663</v>
      </c>
      <c r="D92" s="115" t="str">
        <f t="shared" si="10"/>
        <v>Greg</v>
      </c>
      <c r="E92" s="115" t="s">
        <v>114</v>
      </c>
      <c r="F92" s="116">
        <v>35055</v>
      </c>
      <c r="G92" s="115" t="s">
        <v>113</v>
      </c>
      <c r="H92" s="117">
        <v>40</v>
      </c>
      <c r="I92" s="118">
        <v>31.75</v>
      </c>
      <c r="J92" s="118">
        <f t="shared" si="9"/>
        <v>1270</v>
      </c>
      <c r="L92" s="118" t="str">
        <f t="shared" si="11"/>
        <v>greg</v>
      </c>
      <c r="M92" s="118" t="str">
        <f t="shared" si="12"/>
        <v>GREG</v>
      </c>
      <c r="N92" s="118" t="str">
        <f t="shared" si="13"/>
        <v>Greg</v>
      </c>
      <c r="O92" s="118" t="str">
        <f t="shared" si="14"/>
        <v>Greg</v>
      </c>
      <c r="P92" s="118" t="str">
        <f t="shared" si="15"/>
        <v>1270</v>
      </c>
      <c r="Q92" s="118" t="str">
        <f t="shared" si="16"/>
        <v>1270</v>
      </c>
      <c r="R92" s="118" t="str">
        <f t="shared" si="17"/>
        <v>Greg Thomas</v>
      </c>
    </row>
    <row r="93" spans="1:18" x14ac:dyDescent="0.25">
      <c r="A93" s="115">
        <v>92</v>
      </c>
      <c r="B93" s="115" t="s">
        <v>112</v>
      </c>
      <c r="C93" s="115" t="s">
        <v>664</v>
      </c>
      <c r="D93" s="115" t="str">
        <f t="shared" si="10"/>
        <v>Sam</v>
      </c>
      <c r="E93" s="115" t="s">
        <v>110</v>
      </c>
      <c r="F93" s="116">
        <v>33568</v>
      </c>
      <c r="G93" s="115" t="s">
        <v>109</v>
      </c>
      <c r="H93" s="117">
        <v>40</v>
      </c>
      <c r="I93" s="118">
        <v>22.22</v>
      </c>
      <c r="J93" s="118">
        <f t="shared" si="9"/>
        <v>888.8</v>
      </c>
      <c r="L93" s="118" t="str">
        <f t="shared" si="11"/>
        <v>sam</v>
      </c>
      <c r="M93" s="118" t="str">
        <f t="shared" si="12"/>
        <v>SAM</v>
      </c>
      <c r="N93" s="118" t="str">
        <f t="shared" si="13"/>
        <v>Sam</v>
      </c>
      <c r="O93" s="118" t="str">
        <f t="shared" si="14"/>
        <v>Sam</v>
      </c>
      <c r="P93" s="118" t="str">
        <f t="shared" si="15"/>
        <v>888.8</v>
      </c>
      <c r="Q93" s="118" t="str">
        <f t="shared" si="16"/>
        <v>888.8</v>
      </c>
      <c r="R93" s="118" t="str">
        <f t="shared" si="17"/>
        <v>Sam Whitney</v>
      </c>
    </row>
    <row r="94" spans="1:18" x14ac:dyDescent="0.25">
      <c r="A94" s="115">
        <v>93</v>
      </c>
      <c r="B94" s="115" t="s">
        <v>108</v>
      </c>
      <c r="C94" s="115" t="s">
        <v>665</v>
      </c>
      <c r="D94" s="115" t="str">
        <f t="shared" si="10"/>
        <v>Erin</v>
      </c>
      <c r="E94" s="115" t="s">
        <v>106</v>
      </c>
      <c r="F94" s="116">
        <v>36256</v>
      </c>
      <c r="G94" s="115" t="s">
        <v>105</v>
      </c>
      <c r="H94" s="117">
        <v>40</v>
      </c>
      <c r="I94" s="118">
        <v>47</v>
      </c>
      <c r="J94" s="118">
        <f t="shared" si="9"/>
        <v>1880</v>
      </c>
      <c r="L94" s="118" t="str">
        <f t="shared" si="11"/>
        <v>erin</v>
      </c>
      <c r="M94" s="118" t="str">
        <f t="shared" si="12"/>
        <v>ERIN</v>
      </c>
      <c r="N94" s="118" t="str">
        <f t="shared" si="13"/>
        <v>Erin</v>
      </c>
      <c r="O94" s="118" t="str">
        <f t="shared" si="14"/>
        <v>Erin</v>
      </c>
      <c r="P94" s="118" t="str">
        <f t="shared" si="15"/>
        <v>1880</v>
      </c>
      <c r="Q94" s="118" t="str">
        <f t="shared" si="16"/>
        <v>1880</v>
      </c>
      <c r="R94" s="118" t="str">
        <f t="shared" si="17"/>
        <v>Erin Binga</v>
      </c>
    </row>
    <row r="95" spans="1:18" x14ac:dyDescent="0.25">
      <c r="A95" s="115">
        <v>94</v>
      </c>
      <c r="B95" s="115" t="s">
        <v>104</v>
      </c>
      <c r="C95" s="115" t="s">
        <v>666</v>
      </c>
      <c r="D95" s="115" t="str">
        <f t="shared" si="10"/>
        <v>Amy</v>
      </c>
      <c r="E95" s="115" t="s">
        <v>102</v>
      </c>
      <c r="F95" s="116">
        <v>36037</v>
      </c>
      <c r="G95" s="115"/>
      <c r="H95" s="117">
        <v>15.5</v>
      </c>
      <c r="I95" s="118">
        <v>21.5</v>
      </c>
      <c r="J95" s="118">
        <f t="shared" si="9"/>
        <v>333.25</v>
      </c>
      <c r="L95" s="118" t="str">
        <f t="shared" si="11"/>
        <v>amy</v>
      </c>
      <c r="M95" s="118" t="str">
        <f t="shared" si="12"/>
        <v>AMY</v>
      </c>
      <c r="N95" s="118" t="str">
        <f t="shared" si="13"/>
        <v>Amy</v>
      </c>
      <c r="O95" s="118" t="str">
        <f t="shared" si="14"/>
        <v>Amy</v>
      </c>
      <c r="P95" s="118" t="str">
        <f t="shared" si="15"/>
        <v>333.25</v>
      </c>
      <c r="Q95" s="118" t="str">
        <f t="shared" si="16"/>
        <v>333.25</v>
      </c>
      <c r="R95" s="118" t="str">
        <f t="shared" si="17"/>
        <v>Amy Tooley</v>
      </c>
    </row>
  </sheetData>
  <protectedRanges>
    <protectedRange password="CF7A" sqref="H2:H95" name="Range1"/>
  </protectedRange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59A02-D92C-49A2-9811-FD927BEFEE4F}">
  <dimension ref="A1:G15"/>
  <sheetViews>
    <sheetView zoomScale="130" zoomScaleNormal="130" workbookViewId="0">
      <selection activeCell="A18" sqref="A18"/>
    </sheetView>
  </sheetViews>
  <sheetFormatPr defaultRowHeight="15" x14ac:dyDescent="0.25"/>
  <cols>
    <col min="1" max="1" width="23" customWidth="1"/>
    <col min="2" max="2" width="17.7265625" bestFit="1" customWidth="1"/>
    <col min="3" max="3" width="10.453125" bestFit="1" customWidth="1"/>
    <col min="4" max="4" width="8.81640625" customWidth="1"/>
    <col min="5" max="5" width="10.54296875" bestFit="1" customWidth="1"/>
    <col min="6" max="6" width="14.81640625" bestFit="1" customWidth="1"/>
  </cols>
  <sheetData>
    <row r="1" spans="1:7" s="50" customFormat="1" ht="21" x14ac:dyDescent="0.4">
      <c r="A1" s="196" t="s">
        <v>37</v>
      </c>
      <c r="B1" s="297" t="s">
        <v>939</v>
      </c>
      <c r="C1" s="300" t="s">
        <v>940</v>
      </c>
      <c r="D1" s="300" t="s">
        <v>944</v>
      </c>
      <c r="E1" s="300" t="s">
        <v>941</v>
      </c>
      <c r="F1" s="300" t="s">
        <v>943</v>
      </c>
      <c r="G1" s="300" t="s">
        <v>942</v>
      </c>
    </row>
    <row r="2" spans="1:7" x14ac:dyDescent="0.25">
      <c r="A2" s="56" t="s">
        <v>938</v>
      </c>
      <c r="C2" s="120" t="str">
        <f>LEFT($A2, FIND(" ",$A2)-1)</f>
        <v>Kapil</v>
      </c>
      <c r="E2" s="56" t="str">
        <f>RIGHT($A2, LEN($A2)-FIND(" ",$A2))</f>
        <v>Dev</v>
      </c>
      <c r="F2" s="56">
        <f>LEN($A2)</f>
        <v>9</v>
      </c>
      <c r="G2" s="56">
        <f>FIND(" ",$A2)</f>
        <v>6</v>
      </c>
    </row>
    <row r="3" spans="1:7" x14ac:dyDescent="0.25">
      <c r="A3" s="56" t="s">
        <v>934</v>
      </c>
      <c r="C3" s="56" t="str">
        <f t="shared" ref="C3:C6" si="0">LEFT($A3, FIND(" ",$A3)-1)</f>
        <v>Virat</v>
      </c>
      <c r="E3" s="56" t="str">
        <f t="shared" ref="E3:E6" si="1">RIGHT($A3, LEN($A3)-FIND(" ",$A3))</f>
        <v>Kolhi</v>
      </c>
      <c r="F3" s="56">
        <f t="shared" ref="F3:F6" si="2">LEN($A3)</f>
        <v>11</v>
      </c>
      <c r="G3" s="56">
        <f t="shared" ref="G3:G6" si="3">FIND(" ",$A3)</f>
        <v>6</v>
      </c>
    </row>
    <row r="4" spans="1:7" x14ac:dyDescent="0.25">
      <c r="A4" s="56" t="s">
        <v>935</v>
      </c>
      <c r="C4" s="56" t="str">
        <f t="shared" si="0"/>
        <v>Rohit</v>
      </c>
      <c r="E4" s="56" t="str">
        <f t="shared" si="1"/>
        <v>Sharma</v>
      </c>
      <c r="F4" s="56">
        <f t="shared" si="2"/>
        <v>12</v>
      </c>
      <c r="G4" s="56">
        <f t="shared" si="3"/>
        <v>6</v>
      </c>
    </row>
    <row r="5" spans="1:7" x14ac:dyDescent="0.25">
      <c r="A5" s="56" t="s">
        <v>936</v>
      </c>
      <c r="C5" s="301" t="str">
        <f t="shared" si="0"/>
        <v>Sachin</v>
      </c>
      <c r="E5" s="301" t="str">
        <f t="shared" si="1"/>
        <v>Tendulkar</v>
      </c>
      <c r="F5" s="56">
        <f t="shared" si="2"/>
        <v>16</v>
      </c>
      <c r="G5" s="56">
        <f t="shared" si="3"/>
        <v>7</v>
      </c>
    </row>
    <row r="6" spans="1:7" x14ac:dyDescent="0.25">
      <c r="A6" s="56" t="s">
        <v>937</v>
      </c>
      <c r="C6" s="56" t="str">
        <f t="shared" si="0"/>
        <v>Mahendra</v>
      </c>
      <c r="D6" s="56" t="str">
        <f>MID($E$6,1,5)</f>
        <v>Singh</v>
      </c>
      <c r="E6" s="56" t="str">
        <f t="shared" si="1"/>
        <v>Singh Dhoni</v>
      </c>
      <c r="F6" s="56">
        <f t="shared" si="2"/>
        <v>20</v>
      </c>
      <c r="G6" s="56">
        <f t="shared" si="3"/>
        <v>9</v>
      </c>
    </row>
    <row r="8" spans="1:7" x14ac:dyDescent="0.25">
      <c r="A8" s="299"/>
    </row>
    <row r="9" spans="1:7" ht="17.399999999999999" x14ac:dyDescent="0.3">
      <c r="A9" s="443" t="s">
        <v>955</v>
      </c>
      <c r="B9" s="443"/>
      <c r="C9" s="443"/>
      <c r="D9" s="443"/>
      <c r="E9" s="443"/>
      <c r="F9" s="443"/>
      <c r="G9" s="443"/>
    </row>
    <row r="10" spans="1:7" ht="15.6" x14ac:dyDescent="0.3">
      <c r="A10" s="196" t="s">
        <v>37</v>
      </c>
      <c r="B10" s="196" t="s">
        <v>956</v>
      </c>
      <c r="C10" s="444" t="s">
        <v>957</v>
      </c>
      <c r="D10" s="444"/>
    </row>
    <row r="11" spans="1:7" x14ac:dyDescent="0.25">
      <c r="A11" s="56" t="s">
        <v>938</v>
      </c>
      <c r="B11" s="56" t="s">
        <v>945</v>
      </c>
      <c r="C11" s="56" t="s">
        <v>946</v>
      </c>
      <c r="D11" s="56"/>
    </row>
    <row r="12" spans="1:7" x14ac:dyDescent="0.25">
      <c r="A12" s="56" t="s">
        <v>934</v>
      </c>
      <c r="B12" s="56" t="s">
        <v>947</v>
      </c>
      <c r="C12" s="56" t="s">
        <v>948</v>
      </c>
      <c r="D12" s="56"/>
    </row>
    <row r="13" spans="1:7" x14ac:dyDescent="0.25">
      <c r="A13" s="56" t="s">
        <v>935</v>
      </c>
      <c r="B13" s="56" t="s">
        <v>702</v>
      </c>
      <c r="C13" s="56" t="s">
        <v>949</v>
      </c>
      <c r="D13" s="56"/>
    </row>
    <row r="14" spans="1:7" x14ac:dyDescent="0.25">
      <c r="A14" s="56" t="s">
        <v>936</v>
      </c>
      <c r="B14" s="56" t="s">
        <v>950</v>
      </c>
      <c r="C14" s="56" t="s">
        <v>951</v>
      </c>
      <c r="D14" s="56"/>
    </row>
    <row r="15" spans="1:7" x14ac:dyDescent="0.25">
      <c r="A15" s="56" t="s">
        <v>937</v>
      </c>
      <c r="B15" s="56" t="s">
        <v>952</v>
      </c>
      <c r="C15" s="56" t="s">
        <v>953</v>
      </c>
      <c r="D15" s="56" t="s">
        <v>954</v>
      </c>
    </row>
  </sheetData>
  <mergeCells count="2">
    <mergeCell ref="A9:G9"/>
    <mergeCell ref="C10:D10"/>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5"/>
  <dimension ref="A1:L95"/>
  <sheetViews>
    <sheetView zoomScale="120" zoomScaleNormal="120" workbookViewId="0">
      <selection activeCell="K14" sqref="K14"/>
    </sheetView>
  </sheetViews>
  <sheetFormatPr defaultColWidth="8.90625" defaultRowHeight="15.6" x14ac:dyDescent="0.25"/>
  <cols>
    <col min="1" max="1" width="5.81640625" style="139" bestFit="1" customWidth="1"/>
    <col min="2" max="4" width="8.90625" style="139"/>
    <col min="5" max="5" width="15.81640625" style="139" customWidth="1"/>
    <col min="6" max="6" width="7.08984375" style="139" customWidth="1"/>
    <col min="7" max="7" width="7.36328125" style="139" customWidth="1"/>
    <col min="8" max="8" width="12.7265625" style="139" customWidth="1"/>
    <col min="9" max="9" width="13.1796875" style="139" customWidth="1"/>
    <col min="10" max="10" width="8.90625" style="139"/>
    <col min="11" max="11" width="39.1796875" style="139" bestFit="1" customWidth="1"/>
    <col min="12" max="12" width="24.81640625" style="139" bestFit="1" customWidth="1"/>
    <col min="13" max="16384" width="8.90625" style="139"/>
  </cols>
  <sheetData>
    <row r="1" spans="1:12" x14ac:dyDescent="0.25">
      <c r="A1" s="187" t="s">
        <v>767</v>
      </c>
      <c r="B1" s="187" t="s">
        <v>376</v>
      </c>
      <c r="C1" s="187" t="s">
        <v>375</v>
      </c>
      <c r="D1" s="187" t="s">
        <v>374</v>
      </c>
      <c r="E1" s="187" t="s">
        <v>373</v>
      </c>
      <c r="F1" s="187" t="s">
        <v>372</v>
      </c>
      <c r="G1" s="187" t="s">
        <v>371</v>
      </c>
      <c r="H1" s="188" t="s">
        <v>370</v>
      </c>
      <c r="I1" s="188" t="s">
        <v>369</v>
      </c>
      <c r="K1" s="187" t="s">
        <v>960</v>
      </c>
      <c r="L1" s="187" t="s">
        <v>961</v>
      </c>
    </row>
    <row r="2" spans="1:12" x14ac:dyDescent="0.25">
      <c r="A2" s="115">
        <v>1</v>
      </c>
      <c r="B2" s="115" t="s">
        <v>368</v>
      </c>
      <c r="C2" s="115" t="s">
        <v>367</v>
      </c>
      <c r="D2" s="115" t="s">
        <v>366</v>
      </c>
      <c r="E2" s="116">
        <v>34690</v>
      </c>
      <c r="F2" s="115" t="s">
        <v>109</v>
      </c>
      <c r="G2" s="117">
        <v>35.5</v>
      </c>
      <c r="H2" s="118">
        <v>45</v>
      </c>
      <c r="I2" s="118">
        <f t="shared" ref="I2:I33" si="0">G2*H2</f>
        <v>1597.5</v>
      </c>
      <c r="K2" s="303" t="s">
        <v>958</v>
      </c>
      <c r="L2" s="140"/>
    </row>
    <row r="3" spans="1:12" x14ac:dyDescent="0.25">
      <c r="A3" s="115">
        <v>2</v>
      </c>
      <c r="B3" s="115" t="s">
        <v>365</v>
      </c>
      <c r="C3" s="115" t="s">
        <v>364</v>
      </c>
      <c r="D3" s="115" t="s">
        <v>363</v>
      </c>
      <c r="E3" s="116">
        <v>34153</v>
      </c>
      <c r="F3" s="115" t="s">
        <v>120</v>
      </c>
      <c r="G3" s="117">
        <v>35.5</v>
      </c>
      <c r="H3" s="118">
        <v>28.3</v>
      </c>
      <c r="I3" s="118">
        <f t="shared" si="0"/>
        <v>1004.65</v>
      </c>
      <c r="K3" s="303" t="s">
        <v>959</v>
      </c>
      <c r="L3" s="140"/>
    </row>
    <row r="4" spans="1:12" x14ac:dyDescent="0.25">
      <c r="A4" s="115">
        <v>3</v>
      </c>
      <c r="B4" s="115" t="s">
        <v>362</v>
      </c>
      <c r="C4" s="115" t="s">
        <v>361</v>
      </c>
      <c r="D4" s="115" t="s">
        <v>183</v>
      </c>
      <c r="E4" s="116">
        <v>36000</v>
      </c>
      <c r="F4" s="115" t="s">
        <v>124</v>
      </c>
      <c r="G4" s="117">
        <v>42</v>
      </c>
      <c r="H4" s="118">
        <v>31.75</v>
      </c>
      <c r="I4" s="118">
        <f t="shared" si="0"/>
        <v>1333.5</v>
      </c>
      <c r="K4" s="303" t="s">
        <v>518</v>
      </c>
      <c r="L4" s="140"/>
    </row>
    <row r="5" spans="1:12" x14ac:dyDescent="0.25">
      <c r="A5" s="115">
        <v>4</v>
      </c>
      <c r="B5" s="115" t="s">
        <v>360</v>
      </c>
      <c r="C5" s="115" t="s">
        <v>359</v>
      </c>
      <c r="D5" s="115" t="s">
        <v>106</v>
      </c>
      <c r="E5" s="116">
        <v>35221</v>
      </c>
      <c r="F5" s="115" t="s">
        <v>105</v>
      </c>
      <c r="G5" s="117">
        <v>40</v>
      </c>
      <c r="H5" s="118">
        <v>23.75</v>
      </c>
      <c r="I5" s="118">
        <f t="shared" si="0"/>
        <v>950</v>
      </c>
      <c r="L5" s="140"/>
    </row>
    <row r="6" spans="1:12" x14ac:dyDescent="0.25">
      <c r="A6" s="115">
        <v>5</v>
      </c>
      <c r="B6" s="115" t="s">
        <v>358</v>
      </c>
      <c r="C6" s="115" t="s">
        <v>357</v>
      </c>
      <c r="D6" s="115" t="s">
        <v>356</v>
      </c>
      <c r="E6" s="116">
        <v>33399</v>
      </c>
      <c r="F6" s="115" t="s">
        <v>124</v>
      </c>
      <c r="G6" s="117">
        <v>40</v>
      </c>
      <c r="H6" s="118">
        <v>27.6</v>
      </c>
      <c r="I6" s="118">
        <f t="shared" si="0"/>
        <v>1104</v>
      </c>
      <c r="L6" s="140"/>
    </row>
    <row r="7" spans="1:12" x14ac:dyDescent="0.25">
      <c r="A7" s="115">
        <v>6</v>
      </c>
      <c r="B7" s="115" t="s">
        <v>355</v>
      </c>
      <c r="C7" s="115" t="s">
        <v>354</v>
      </c>
      <c r="D7" s="115" t="s">
        <v>353</v>
      </c>
      <c r="E7" s="116">
        <v>34853</v>
      </c>
      <c r="F7" s="115" t="s">
        <v>120</v>
      </c>
      <c r="G7" s="117">
        <v>35</v>
      </c>
      <c r="H7" s="118">
        <v>39</v>
      </c>
      <c r="I7" s="118">
        <f t="shared" si="0"/>
        <v>1365</v>
      </c>
      <c r="K7" s="187" t="s">
        <v>962</v>
      </c>
      <c r="L7" s="140"/>
    </row>
    <row r="8" spans="1:12" x14ac:dyDescent="0.25">
      <c r="A8" s="115">
        <v>7</v>
      </c>
      <c r="B8" s="115" t="s">
        <v>352</v>
      </c>
      <c r="C8" s="115" t="s">
        <v>156</v>
      </c>
      <c r="D8" s="115" t="s">
        <v>351</v>
      </c>
      <c r="E8" s="116">
        <v>35485</v>
      </c>
      <c r="F8" s="115" t="s">
        <v>105</v>
      </c>
      <c r="G8" s="117">
        <v>35</v>
      </c>
      <c r="H8" s="118">
        <v>27.1</v>
      </c>
      <c r="I8" s="118">
        <f t="shared" si="0"/>
        <v>948.5</v>
      </c>
      <c r="K8" s="303" t="s">
        <v>963</v>
      </c>
      <c r="L8" s="140"/>
    </row>
    <row r="9" spans="1:12" x14ac:dyDescent="0.25">
      <c r="A9" s="115">
        <v>8</v>
      </c>
      <c r="B9" s="115" t="s">
        <v>350</v>
      </c>
      <c r="C9" s="115" t="s">
        <v>349</v>
      </c>
      <c r="D9" s="115" t="s">
        <v>348</v>
      </c>
      <c r="E9" s="116">
        <v>33341</v>
      </c>
      <c r="F9" s="115" t="s">
        <v>120</v>
      </c>
      <c r="G9" s="117">
        <v>40</v>
      </c>
      <c r="H9" s="118">
        <v>48</v>
      </c>
      <c r="I9" s="118">
        <f t="shared" si="0"/>
        <v>1920</v>
      </c>
      <c r="K9" s="303" t="s">
        <v>964</v>
      </c>
      <c r="L9" s="140"/>
    </row>
    <row r="10" spans="1:12" x14ac:dyDescent="0.25">
      <c r="A10" s="115">
        <v>9</v>
      </c>
      <c r="B10" s="115" t="s">
        <v>347</v>
      </c>
      <c r="C10" s="115" t="s">
        <v>346</v>
      </c>
      <c r="D10" s="115" t="s">
        <v>345</v>
      </c>
      <c r="E10" s="116">
        <v>35825</v>
      </c>
      <c r="F10" s="115" t="s">
        <v>113</v>
      </c>
      <c r="G10" s="117">
        <v>35.5</v>
      </c>
      <c r="H10" s="118">
        <v>28.3</v>
      </c>
      <c r="I10" s="118">
        <f t="shared" si="0"/>
        <v>1004.65</v>
      </c>
      <c r="L10" s="140"/>
    </row>
    <row r="11" spans="1:12" x14ac:dyDescent="0.25">
      <c r="A11" s="115">
        <v>10</v>
      </c>
      <c r="B11" s="115" t="s">
        <v>344</v>
      </c>
      <c r="C11" s="115" t="s">
        <v>343</v>
      </c>
      <c r="D11" s="115" t="s">
        <v>342</v>
      </c>
      <c r="E11" s="116">
        <v>36157</v>
      </c>
      <c r="F11" s="115"/>
      <c r="G11" s="117">
        <v>40</v>
      </c>
      <c r="H11" s="118">
        <v>36.5</v>
      </c>
      <c r="I11" s="118">
        <f t="shared" si="0"/>
        <v>1460</v>
      </c>
      <c r="L11" s="140"/>
    </row>
    <row r="12" spans="1:12" x14ac:dyDescent="0.25">
      <c r="A12" s="115">
        <v>11</v>
      </c>
      <c r="B12" s="115" t="s">
        <v>341</v>
      </c>
      <c r="C12" s="115" t="s">
        <v>340</v>
      </c>
      <c r="D12" s="115" t="s">
        <v>339</v>
      </c>
      <c r="E12" s="116">
        <v>33822</v>
      </c>
      <c r="F12" s="115" t="s">
        <v>109</v>
      </c>
      <c r="G12" s="117">
        <v>35.5</v>
      </c>
      <c r="H12" s="118">
        <v>28.3</v>
      </c>
      <c r="I12" s="118">
        <f t="shared" si="0"/>
        <v>1004.65</v>
      </c>
      <c r="L12" s="140"/>
    </row>
    <row r="13" spans="1:12" x14ac:dyDescent="0.25">
      <c r="A13" s="115">
        <v>12</v>
      </c>
      <c r="B13" s="115" t="s">
        <v>338</v>
      </c>
      <c r="C13" s="115" t="s">
        <v>337</v>
      </c>
      <c r="D13" s="115" t="s">
        <v>336</v>
      </c>
      <c r="E13" s="116">
        <v>35888</v>
      </c>
      <c r="F13" s="115" t="s">
        <v>124</v>
      </c>
      <c r="G13" s="117">
        <v>32</v>
      </c>
      <c r="H13" s="118">
        <v>20.5</v>
      </c>
      <c r="I13" s="118">
        <f t="shared" si="0"/>
        <v>656</v>
      </c>
      <c r="L13" s="140"/>
    </row>
    <row r="14" spans="1:12" x14ac:dyDescent="0.25">
      <c r="A14" s="115">
        <v>13</v>
      </c>
      <c r="B14" s="115" t="s">
        <v>335</v>
      </c>
      <c r="C14" s="115" t="s">
        <v>334</v>
      </c>
      <c r="D14" s="115" t="s">
        <v>333</v>
      </c>
      <c r="E14" s="116">
        <v>33992</v>
      </c>
      <c r="F14" s="115" t="s">
        <v>550</v>
      </c>
      <c r="G14" s="117">
        <v>35.5</v>
      </c>
      <c r="H14" s="118">
        <v>50</v>
      </c>
      <c r="I14" s="118">
        <f t="shared" si="0"/>
        <v>1775</v>
      </c>
      <c r="L14" s="140"/>
    </row>
    <row r="15" spans="1:12" x14ac:dyDescent="0.25">
      <c r="A15" s="115">
        <v>14</v>
      </c>
      <c r="B15" s="115" t="s">
        <v>332</v>
      </c>
      <c r="C15" s="115" t="s">
        <v>190</v>
      </c>
      <c r="D15" s="115" t="s">
        <v>331</v>
      </c>
      <c r="E15" s="116">
        <v>35195</v>
      </c>
      <c r="F15" s="115" t="s">
        <v>128</v>
      </c>
      <c r="G15" s="117">
        <v>40</v>
      </c>
      <c r="H15" s="118">
        <v>22.22</v>
      </c>
      <c r="I15" s="118">
        <f t="shared" si="0"/>
        <v>888.8</v>
      </c>
      <c r="L15" s="140"/>
    </row>
    <row r="16" spans="1:12" x14ac:dyDescent="0.25">
      <c r="A16" s="115">
        <v>15</v>
      </c>
      <c r="B16" s="115" t="s">
        <v>330</v>
      </c>
      <c r="C16" s="115" t="s">
        <v>297</v>
      </c>
      <c r="D16" s="115" t="s">
        <v>329</v>
      </c>
      <c r="E16" s="116">
        <v>34858</v>
      </c>
      <c r="F16" s="115" t="s">
        <v>128</v>
      </c>
      <c r="G16" s="117">
        <v>40</v>
      </c>
      <c r="H16" s="118">
        <v>27.6</v>
      </c>
      <c r="I16" s="118">
        <f t="shared" si="0"/>
        <v>1104</v>
      </c>
      <c r="L16" s="140"/>
    </row>
    <row r="17" spans="1:12" x14ac:dyDescent="0.25">
      <c r="A17" s="115">
        <v>16</v>
      </c>
      <c r="B17" s="115" t="s">
        <v>328</v>
      </c>
      <c r="C17" s="115" t="s">
        <v>285</v>
      </c>
      <c r="D17" s="115" t="s">
        <v>327</v>
      </c>
      <c r="E17" s="116">
        <v>34616</v>
      </c>
      <c r="F17" s="115" t="s">
        <v>128</v>
      </c>
      <c r="G17" s="117">
        <v>35.5</v>
      </c>
      <c r="H17" s="118">
        <v>55</v>
      </c>
      <c r="I17" s="118">
        <f t="shared" si="0"/>
        <v>1952.5</v>
      </c>
      <c r="L17" s="140"/>
    </row>
    <row r="18" spans="1:12" x14ac:dyDescent="0.25">
      <c r="A18" s="115">
        <v>17</v>
      </c>
      <c r="B18" s="115" t="s">
        <v>326</v>
      </c>
      <c r="C18" s="115" t="s">
        <v>240</v>
      </c>
      <c r="D18" s="115" t="s">
        <v>325</v>
      </c>
      <c r="E18" s="116">
        <v>34094</v>
      </c>
      <c r="F18" s="115" t="s">
        <v>154</v>
      </c>
      <c r="G18" s="117">
        <v>40</v>
      </c>
      <c r="H18" s="118">
        <v>37</v>
      </c>
      <c r="I18" s="118">
        <f t="shared" si="0"/>
        <v>1480</v>
      </c>
      <c r="L18" s="140"/>
    </row>
    <row r="19" spans="1:12" x14ac:dyDescent="0.25">
      <c r="A19" s="115">
        <v>18</v>
      </c>
      <c r="B19" s="115" t="s">
        <v>324</v>
      </c>
      <c r="C19" s="115" t="s">
        <v>126</v>
      </c>
      <c r="D19" s="115" t="s">
        <v>323</v>
      </c>
      <c r="E19" s="116">
        <v>35050</v>
      </c>
      <c r="F19" s="115" t="s">
        <v>154</v>
      </c>
      <c r="G19" s="117">
        <v>40</v>
      </c>
      <c r="H19" s="118">
        <v>37</v>
      </c>
      <c r="I19" s="118">
        <f t="shared" si="0"/>
        <v>1480</v>
      </c>
      <c r="L19" s="140"/>
    </row>
    <row r="20" spans="1:12" x14ac:dyDescent="0.25">
      <c r="A20" s="115">
        <v>19</v>
      </c>
      <c r="B20" s="115" t="s">
        <v>322</v>
      </c>
      <c r="C20" s="115" t="s">
        <v>321</v>
      </c>
      <c r="D20" s="115" t="s">
        <v>320</v>
      </c>
      <c r="E20" s="116">
        <v>34871</v>
      </c>
      <c r="F20" s="115" t="s">
        <v>105</v>
      </c>
      <c r="G20" s="117">
        <v>40</v>
      </c>
      <c r="H20" s="118">
        <v>30</v>
      </c>
      <c r="I20" s="118">
        <f t="shared" si="0"/>
        <v>1200</v>
      </c>
      <c r="L20" s="140"/>
    </row>
    <row r="21" spans="1:12" x14ac:dyDescent="0.25">
      <c r="A21" s="115">
        <v>20</v>
      </c>
      <c r="B21" s="115" t="s">
        <v>319</v>
      </c>
      <c r="C21" s="115" t="s">
        <v>234</v>
      </c>
      <c r="D21" s="115" t="s">
        <v>318</v>
      </c>
      <c r="E21" s="116">
        <v>34534</v>
      </c>
      <c r="F21" s="115"/>
      <c r="G21" s="117">
        <v>35.5</v>
      </c>
      <c r="H21" s="118">
        <v>27.5</v>
      </c>
      <c r="I21" s="118">
        <f t="shared" si="0"/>
        <v>976.25</v>
      </c>
      <c r="L21" s="140"/>
    </row>
    <row r="22" spans="1:12" x14ac:dyDescent="0.25">
      <c r="A22" s="115">
        <v>21</v>
      </c>
      <c r="B22" s="115" t="s">
        <v>317</v>
      </c>
      <c r="C22" s="115" t="s">
        <v>316</v>
      </c>
      <c r="D22" s="115" t="s">
        <v>132</v>
      </c>
      <c r="E22" s="116">
        <v>33649</v>
      </c>
      <c r="F22" s="115" t="s">
        <v>105</v>
      </c>
      <c r="G22" s="117">
        <v>25</v>
      </c>
      <c r="H22" s="118">
        <v>23.52</v>
      </c>
      <c r="I22" s="118">
        <f t="shared" si="0"/>
        <v>588</v>
      </c>
      <c r="L22" s="140"/>
    </row>
    <row r="23" spans="1:12" x14ac:dyDescent="0.25">
      <c r="A23" s="115">
        <v>22</v>
      </c>
      <c r="B23" s="115" t="s">
        <v>315</v>
      </c>
      <c r="C23" s="115" t="s">
        <v>314</v>
      </c>
      <c r="D23" s="115" t="s">
        <v>313</v>
      </c>
      <c r="E23" s="116">
        <v>33634</v>
      </c>
      <c r="F23" s="115" t="s">
        <v>154</v>
      </c>
      <c r="G23" s="117">
        <v>40</v>
      </c>
      <c r="H23" s="118">
        <v>23.75</v>
      </c>
      <c r="I23" s="118">
        <f t="shared" si="0"/>
        <v>950</v>
      </c>
      <c r="L23" s="140"/>
    </row>
    <row r="24" spans="1:12" x14ac:dyDescent="0.25">
      <c r="A24" s="115">
        <v>23</v>
      </c>
      <c r="B24" s="115" t="s">
        <v>312</v>
      </c>
      <c r="C24" s="115" t="s">
        <v>311</v>
      </c>
      <c r="D24" s="115" t="s">
        <v>310</v>
      </c>
      <c r="E24" s="116">
        <v>32573</v>
      </c>
      <c r="F24" s="115" t="s">
        <v>109</v>
      </c>
      <c r="G24" s="117">
        <v>40</v>
      </c>
      <c r="H24" s="118">
        <v>60</v>
      </c>
      <c r="I24" s="118">
        <f t="shared" si="0"/>
        <v>2400</v>
      </c>
      <c r="L24" s="140"/>
    </row>
    <row r="25" spans="1:12" x14ac:dyDescent="0.25">
      <c r="A25" s="115">
        <v>24</v>
      </c>
      <c r="B25" s="115" t="s">
        <v>309</v>
      </c>
      <c r="C25" s="115" t="s">
        <v>308</v>
      </c>
      <c r="D25" s="115" t="s">
        <v>307</v>
      </c>
      <c r="E25" s="116">
        <v>33700</v>
      </c>
      <c r="F25" s="115"/>
      <c r="G25" s="117">
        <v>40</v>
      </c>
      <c r="H25" s="118">
        <v>52</v>
      </c>
      <c r="I25" s="118">
        <f t="shared" si="0"/>
        <v>2080</v>
      </c>
      <c r="L25" s="140"/>
    </row>
    <row r="26" spans="1:12" x14ac:dyDescent="0.25">
      <c r="A26" s="115">
        <v>25</v>
      </c>
      <c r="B26" s="115" t="s">
        <v>306</v>
      </c>
      <c r="C26" s="115" t="s">
        <v>305</v>
      </c>
      <c r="D26" s="115" t="s">
        <v>178</v>
      </c>
      <c r="E26" s="116">
        <v>35747</v>
      </c>
      <c r="F26" s="115" t="s">
        <v>124</v>
      </c>
      <c r="G26" s="117">
        <v>40</v>
      </c>
      <c r="H26" s="118">
        <v>30.5</v>
      </c>
      <c r="I26" s="118">
        <f t="shared" si="0"/>
        <v>1220</v>
      </c>
      <c r="L26" s="140"/>
    </row>
    <row r="27" spans="1:12" x14ac:dyDescent="0.25">
      <c r="A27" s="115">
        <v>26</v>
      </c>
      <c r="B27" s="115" t="s">
        <v>304</v>
      </c>
      <c r="C27" s="115" t="s">
        <v>303</v>
      </c>
      <c r="D27" s="115" t="s">
        <v>302</v>
      </c>
      <c r="E27" s="116">
        <v>36374</v>
      </c>
      <c r="F27" s="115" t="s">
        <v>124</v>
      </c>
      <c r="G27" s="117">
        <v>32</v>
      </c>
      <c r="H27" s="118">
        <v>20.5</v>
      </c>
      <c r="I27" s="118">
        <f t="shared" si="0"/>
        <v>656</v>
      </c>
      <c r="L27" s="140"/>
    </row>
    <row r="28" spans="1:12" x14ac:dyDescent="0.25">
      <c r="A28" s="115">
        <v>27</v>
      </c>
      <c r="B28" s="115" t="s">
        <v>301</v>
      </c>
      <c r="C28" s="115" t="s">
        <v>300</v>
      </c>
      <c r="D28" s="115" t="s">
        <v>299</v>
      </c>
      <c r="E28" s="116">
        <v>34279</v>
      </c>
      <c r="F28" s="115" t="s">
        <v>154</v>
      </c>
      <c r="G28" s="117">
        <v>40</v>
      </c>
      <c r="H28" s="118">
        <v>34.5</v>
      </c>
      <c r="I28" s="118">
        <f t="shared" si="0"/>
        <v>1380</v>
      </c>
      <c r="L28" s="140"/>
    </row>
    <row r="29" spans="1:12" x14ac:dyDescent="0.25">
      <c r="A29" s="115">
        <v>28</v>
      </c>
      <c r="B29" s="115" t="s">
        <v>298</v>
      </c>
      <c r="C29" s="115" t="s">
        <v>297</v>
      </c>
      <c r="D29" s="115" t="s">
        <v>296</v>
      </c>
      <c r="E29" s="116">
        <v>33497</v>
      </c>
      <c r="F29" s="115" t="s">
        <v>124</v>
      </c>
      <c r="G29" s="117">
        <v>40</v>
      </c>
      <c r="H29" s="118">
        <v>45</v>
      </c>
      <c r="I29" s="118">
        <f t="shared" si="0"/>
        <v>1800</v>
      </c>
      <c r="L29" s="140"/>
    </row>
    <row r="30" spans="1:12" x14ac:dyDescent="0.25">
      <c r="A30" s="115">
        <v>29</v>
      </c>
      <c r="B30" s="115" t="s">
        <v>295</v>
      </c>
      <c r="C30" s="115" t="s">
        <v>294</v>
      </c>
      <c r="D30" s="115" t="s">
        <v>293</v>
      </c>
      <c r="E30" s="116">
        <v>33831</v>
      </c>
      <c r="F30" s="115" t="s">
        <v>154</v>
      </c>
      <c r="G30" s="117">
        <v>32</v>
      </c>
      <c r="H30" s="118">
        <v>20.5</v>
      </c>
      <c r="I30" s="118">
        <f t="shared" si="0"/>
        <v>656</v>
      </c>
      <c r="L30" s="140"/>
    </row>
    <row r="31" spans="1:12" x14ac:dyDescent="0.25">
      <c r="A31" s="115">
        <v>30</v>
      </c>
      <c r="B31" s="115" t="s">
        <v>292</v>
      </c>
      <c r="C31" s="115" t="s">
        <v>291</v>
      </c>
      <c r="D31" s="115" t="s">
        <v>290</v>
      </c>
      <c r="E31" s="116">
        <v>33837</v>
      </c>
      <c r="F31" s="115" t="s">
        <v>154</v>
      </c>
      <c r="G31" s="117">
        <v>40</v>
      </c>
      <c r="H31" s="118">
        <v>36.5</v>
      </c>
      <c r="I31" s="118">
        <f t="shared" si="0"/>
        <v>1460</v>
      </c>
      <c r="L31" s="140"/>
    </row>
    <row r="32" spans="1:12" x14ac:dyDescent="0.25">
      <c r="A32" s="115">
        <v>31</v>
      </c>
      <c r="B32" s="115" t="s">
        <v>289</v>
      </c>
      <c r="C32" s="115" t="s">
        <v>288</v>
      </c>
      <c r="D32" s="115" t="s">
        <v>287</v>
      </c>
      <c r="E32" s="116">
        <v>35775</v>
      </c>
      <c r="F32" s="115" t="s">
        <v>109</v>
      </c>
      <c r="G32" s="117">
        <v>25</v>
      </c>
      <c r="H32" s="118">
        <v>23.52</v>
      </c>
      <c r="I32" s="118">
        <f t="shared" si="0"/>
        <v>588</v>
      </c>
      <c r="L32" s="140"/>
    </row>
    <row r="33" spans="1:12" x14ac:dyDescent="0.25">
      <c r="A33" s="115">
        <v>32</v>
      </c>
      <c r="B33" s="115" t="s">
        <v>286</v>
      </c>
      <c r="C33" s="115" t="s">
        <v>285</v>
      </c>
      <c r="D33" s="115" t="s">
        <v>183</v>
      </c>
      <c r="E33" s="116">
        <v>36194</v>
      </c>
      <c r="F33" s="115"/>
      <c r="G33" s="117">
        <v>35</v>
      </c>
      <c r="H33" s="118">
        <v>27.1</v>
      </c>
      <c r="I33" s="118">
        <f t="shared" si="0"/>
        <v>948.5</v>
      </c>
      <c r="L33" s="140"/>
    </row>
    <row r="34" spans="1:12" x14ac:dyDescent="0.25">
      <c r="A34" s="115">
        <v>33</v>
      </c>
      <c r="B34" s="115" t="s">
        <v>284</v>
      </c>
      <c r="C34" s="115" t="s">
        <v>283</v>
      </c>
      <c r="D34" s="115" t="s">
        <v>282</v>
      </c>
      <c r="E34" s="116">
        <v>36017</v>
      </c>
      <c r="F34" s="115" t="s">
        <v>105</v>
      </c>
      <c r="G34" s="117">
        <v>35</v>
      </c>
      <c r="H34" s="118">
        <v>50</v>
      </c>
      <c r="I34" s="118">
        <f t="shared" ref="I34:I65" si="1">G34*H34</f>
        <v>1750</v>
      </c>
      <c r="L34" s="140"/>
    </row>
    <row r="35" spans="1:12" x14ac:dyDescent="0.25">
      <c r="A35" s="115">
        <v>34</v>
      </c>
      <c r="B35" s="115" t="s">
        <v>281</v>
      </c>
      <c r="C35" s="115" t="s">
        <v>280</v>
      </c>
      <c r="D35" s="115" t="s">
        <v>132</v>
      </c>
      <c r="E35" s="116">
        <v>35372</v>
      </c>
      <c r="F35" s="115" t="s">
        <v>120</v>
      </c>
      <c r="G35" s="117">
        <v>40</v>
      </c>
      <c r="H35" s="118">
        <v>34.5</v>
      </c>
      <c r="I35" s="118">
        <f t="shared" si="1"/>
        <v>1380</v>
      </c>
      <c r="L35" s="140"/>
    </row>
    <row r="36" spans="1:12" x14ac:dyDescent="0.25">
      <c r="A36" s="115">
        <v>35</v>
      </c>
      <c r="B36" s="115" t="s">
        <v>279</v>
      </c>
      <c r="C36" s="115" t="s">
        <v>273</v>
      </c>
      <c r="D36" s="115" t="s">
        <v>278</v>
      </c>
      <c r="E36" s="116">
        <v>35026</v>
      </c>
      <c r="F36" s="115" t="s">
        <v>120</v>
      </c>
      <c r="G36" s="117">
        <v>35.5</v>
      </c>
      <c r="H36" s="118">
        <v>55</v>
      </c>
      <c r="I36" s="118">
        <f t="shared" si="1"/>
        <v>1952.5</v>
      </c>
      <c r="L36" s="140"/>
    </row>
    <row r="37" spans="1:12" x14ac:dyDescent="0.25">
      <c r="A37" s="115">
        <v>36</v>
      </c>
      <c r="B37" s="115" t="s">
        <v>277</v>
      </c>
      <c r="C37" s="115" t="s">
        <v>276</v>
      </c>
      <c r="D37" s="115" t="s">
        <v>275</v>
      </c>
      <c r="E37" s="116">
        <v>34483</v>
      </c>
      <c r="F37" s="115"/>
      <c r="G37" s="117">
        <v>40</v>
      </c>
      <c r="H37" s="118">
        <v>23.75</v>
      </c>
      <c r="I37" s="118">
        <f t="shared" si="1"/>
        <v>950</v>
      </c>
      <c r="L37" s="140"/>
    </row>
    <row r="38" spans="1:12" x14ac:dyDescent="0.25">
      <c r="A38" s="115">
        <v>37</v>
      </c>
      <c r="B38" s="115" t="s">
        <v>274</v>
      </c>
      <c r="C38" s="115" t="s">
        <v>273</v>
      </c>
      <c r="D38" s="115" t="s">
        <v>272</v>
      </c>
      <c r="E38" s="116">
        <v>34949</v>
      </c>
      <c r="F38" s="115" t="s">
        <v>154</v>
      </c>
      <c r="G38" s="117">
        <v>29.5</v>
      </c>
      <c r="H38" s="118">
        <v>21.5</v>
      </c>
      <c r="I38" s="118">
        <f t="shared" si="1"/>
        <v>634.25</v>
      </c>
      <c r="L38" s="140"/>
    </row>
    <row r="39" spans="1:12" x14ac:dyDescent="0.25">
      <c r="A39" s="115">
        <v>38</v>
      </c>
      <c r="B39" s="115" t="s">
        <v>271</v>
      </c>
      <c r="C39" s="115" t="s">
        <v>270</v>
      </c>
      <c r="D39" s="115" t="s">
        <v>269</v>
      </c>
      <c r="E39" s="116">
        <v>33404</v>
      </c>
      <c r="F39" s="115" t="s">
        <v>120</v>
      </c>
      <c r="G39" s="117">
        <v>38</v>
      </c>
      <c r="H39" s="118">
        <v>30.5</v>
      </c>
      <c r="I39" s="118">
        <f t="shared" si="1"/>
        <v>1159</v>
      </c>
      <c r="L39" s="140"/>
    </row>
    <row r="40" spans="1:12" x14ac:dyDescent="0.25">
      <c r="A40" s="115">
        <v>39</v>
      </c>
      <c r="B40" s="115" t="s">
        <v>268</v>
      </c>
      <c r="C40" s="115" t="s">
        <v>267</v>
      </c>
      <c r="D40" s="115" t="s">
        <v>266</v>
      </c>
      <c r="E40" s="116">
        <v>35655</v>
      </c>
      <c r="F40" s="115" t="s">
        <v>128</v>
      </c>
      <c r="G40" s="117">
        <v>40</v>
      </c>
      <c r="H40" s="118">
        <v>37</v>
      </c>
      <c r="I40" s="118">
        <f t="shared" si="1"/>
        <v>1480</v>
      </c>
      <c r="L40" s="140"/>
    </row>
    <row r="41" spans="1:12" x14ac:dyDescent="0.25">
      <c r="A41" s="115">
        <v>40</v>
      </c>
      <c r="B41" s="115" t="s">
        <v>265</v>
      </c>
      <c r="C41" s="115" t="s">
        <v>115</v>
      </c>
      <c r="D41" s="115" t="s">
        <v>264</v>
      </c>
      <c r="E41" s="116">
        <v>35005</v>
      </c>
      <c r="F41" s="115"/>
      <c r="G41" s="117">
        <v>38</v>
      </c>
      <c r="H41" s="118">
        <v>30.5</v>
      </c>
      <c r="I41" s="118">
        <f t="shared" si="1"/>
        <v>1159</v>
      </c>
      <c r="L41" s="140"/>
    </row>
    <row r="42" spans="1:12" x14ac:dyDescent="0.25">
      <c r="A42" s="115">
        <v>41</v>
      </c>
      <c r="B42" s="115" t="s">
        <v>263</v>
      </c>
      <c r="C42" s="115" t="s">
        <v>262</v>
      </c>
      <c r="D42" s="115" t="s">
        <v>261</v>
      </c>
      <c r="E42" s="116">
        <v>34471</v>
      </c>
      <c r="F42" s="115" t="s">
        <v>113</v>
      </c>
      <c r="G42" s="117">
        <v>40</v>
      </c>
      <c r="H42" s="118">
        <v>23.22</v>
      </c>
      <c r="I42" s="118">
        <f t="shared" si="1"/>
        <v>928.8</v>
      </c>
      <c r="L42" s="140"/>
    </row>
    <row r="43" spans="1:12" x14ac:dyDescent="0.25">
      <c r="A43" s="115">
        <v>42</v>
      </c>
      <c r="B43" s="115" t="s">
        <v>260</v>
      </c>
      <c r="C43" s="115" t="s">
        <v>216</v>
      </c>
      <c r="D43" s="115" t="s">
        <v>259</v>
      </c>
      <c r="E43" s="116">
        <v>32883</v>
      </c>
      <c r="F43" s="115"/>
      <c r="G43" s="117">
        <v>40</v>
      </c>
      <c r="H43" s="118">
        <v>45</v>
      </c>
      <c r="I43" s="118">
        <f t="shared" si="1"/>
        <v>1800</v>
      </c>
      <c r="L43" s="140"/>
    </row>
    <row r="44" spans="1:12" x14ac:dyDescent="0.25">
      <c r="A44" s="115">
        <v>43</v>
      </c>
      <c r="B44" s="115" t="s">
        <v>258</v>
      </c>
      <c r="C44" s="115" t="s">
        <v>202</v>
      </c>
      <c r="D44" s="115" t="s">
        <v>257</v>
      </c>
      <c r="E44" s="116">
        <v>34414</v>
      </c>
      <c r="F44" s="115" t="s">
        <v>128</v>
      </c>
      <c r="G44" s="117">
        <v>35</v>
      </c>
      <c r="H44" s="118">
        <v>39</v>
      </c>
      <c r="I44" s="118">
        <f t="shared" si="1"/>
        <v>1365</v>
      </c>
      <c r="L44" s="140"/>
    </row>
    <row r="45" spans="1:12" x14ac:dyDescent="0.25">
      <c r="A45" s="115">
        <v>44</v>
      </c>
      <c r="B45" s="115" t="s">
        <v>256</v>
      </c>
      <c r="C45" s="115" t="s">
        <v>255</v>
      </c>
      <c r="D45" s="115" t="s">
        <v>254</v>
      </c>
      <c r="E45" s="116">
        <v>34671</v>
      </c>
      <c r="F45" s="115" t="s">
        <v>113</v>
      </c>
      <c r="G45" s="117">
        <v>15.5</v>
      </c>
      <c r="H45" s="118">
        <v>21.5</v>
      </c>
      <c r="I45" s="118">
        <f t="shared" si="1"/>
        <v>333.25</v>
      </c>
      <c r="L45" s="140"/>
    </row>
    <row r="46" spans="1:12" x14ac:dyDescent="0.25">
      <c r="A46" s="115">
        <v>45</v>
      </c>
      <c r="B46" s="115" t="s">
        <v>253</v>
      </c>
      <c r="C46" s="115" t="s">
        <v>252</v>
      </c>
      <c r="D46" s="115" t="s">
        <v>251</v>
      </c>
      <c r="E46" s="116">
        <v>33883</v>
      </c>
      <c r="F46" s="115" t="s">
        <v>154</v>
      </c>
      <c r="G46" s="117">
        <v>40</v>
      </c>
      <c r="H46" s="118">
        <v>37</v>
      </c>
      <c r="I46" s="118">
        <f t="shared" si="1"/>
        <v>1480</v>
      </c>
      <c r="L46" s="140"/>
    </row>
    <row r="47" spans="1:12" x14ac:dyDescent="0.25">
      <c r="A47" s="115">
        <v>46</v>
      </c>
      <c r="B47" s="115" t="s">
        <v>250</v>
      </c>
      <c r="C47" s="115" t="s">
        <v>249</v>
      </c>
      <c r="D47" s="115" t="s">
        <v>248</v>
      </c>
      <c r="E47" s="116">
        <v>35427</v>
      </c>
      <c r="F47" s="115" t="s">
        <v>124</v>
      </c>
      <c r="G47" s="117">
        <v>32</v>
      </c>
      <c r="H47" s="118">
        <v>20.5</v>
      </c>
      <c r="I47" s="118">
        <f t="shared" si="1"/>
        <v>656</v>
      </c>
      <c r="L47" s="140"/>
    </row>
    <row r="48" spans="1:12" x14ac:dyDescent="0.25">
      <c r="A48" s="115">
        <v>47</v>
      </c>
      <c r="B48" s="115" t="s">
        <v>247</v>
      </c>
      <c r="C48" s="115" t="s">
        <v>246</v>
      </c>
      <c r="D48" s="115" t="s">
        <v>245</v>
      </c>
      <c r="E48" s="116">
        <v>34428</v>
      </c>
      <c r="F48" s="115" t="s">
        <v>105</v>
      </c>
      <c r="G48" s="117">
        <v>25</v>
      </c>
      <c r="H48" s="118">
        <v>23.52</v>
      </c>
      <c r="I48" s="118">
        <f t="shared" si="1"/>
        <v>588</v>
      </c>
      <c r="L48" s="140"/>
    </row>
    <row r="49" spans="1:12" x14ac:dyDescent="0.25">
      <c r="A49" s="115">
        <v>48</v>
      </c>
      <c r="B49" s="115" t="s">
        <v>244</v>
      </c>
      <c r="C49" s="115" t="s">
        <v>243</v>
      </c>
      <c r="D49" s="115" t="s">
        <v>242</v>
      </c>
      <c r="E49" s="116">
        <v>34843</v>
      </c>
      <c r="F49" s="115" t="s">
        <v>109</v>
      </c>
      <c r="G49" s="117">
        <v>38</v>
      </c>
      <c r="H49" s="118">
        <v>55</v>
      </c>
      <c r="I49" s="118">
        <f t="shared" si="1"/>
        <v>2090</v>
      </c>
      <c r="L49" s="140"/>
    </row>
    <row r="50" spans="1:12" x14ac:dyDescent="0.25">
      <c r="A50" s="115">
        <v>49</v>
      </c>
      <c r="B50" s="115" t="s">
        <v>241</v>
      </c>
      <c r="C50" s="115" t="s">
        <v>240</v>
      </c>
      <c r="D50" s="115" t="s">
        <v>239</v>
      </c>
      <c r="E50" s="116">
        <v>35034</v>
      </c>
      <c r="F50" s="115" t="s">
        <v>124</v>
      </c>
      <c r="G50" s="117">
        <v>35.5</v>
      </c>
      <c r="H50" s="118">
        <v>27.5</v>
      </c>
      <c r="I50" s="118">
        <f t="shared" si="1"/>
        <v>976.25</v>
      </c>
      <c r="L50" s="140"/>
    </row>
    <row r="51" spans="1:12" x14ac:dyDescent="0.25">
      <c r="A51" s="115">
        <v>50</v>
      </c>
      <c r="B51" s="115" t="s">
        <v>238</v>
      </c>
      <c r="C51" s="115" t="s">
        <v>237</v>
      </c>
      <c r="D51" s="115" t="s">
        <v>236</v>
      </c>
      <c r="E51" s="116">
        <v>34610</v>
      </c>
      <c r="F51" s="115" t="s">
        <v>109</v>
      </c>
      <c r="G51" s="117">
        <v>40</v>
      </c>
      <c r="H51" s="118">
        <v>36.5</v>
      </c>
      <c r="I51" s="118">
        <f t="shared" si="1"/>
        <v>1460</v>
      </c>
      <c r="L51" s="140"/>
    </row>
    <row r="52" spans="1:12" x14ac:dyDescent="0.25">
      <c r="A52" s="115">
        <v>51</v>
      </c>
      <c r="B52" s="115" t="s">
        <v>235</v>
      </c>
      <c r="C52" s="115" t="s">
        <v>234</v>
      </c>
      <c r="D52" s="115" t="s">
        <v>233</v>
      </c>
      <c r="E52" s="116">
        <v>33704</v>
      </c>
      <c r="F52" s="115"/>
      <c r="G52" s="117">
        <v>38</v>
      </c>
      <c r="H52" s="118">
        <v>30.5</v>
      </c>
      <c r="I52" s="118">
        <f t="shared" si="1"/>
        <v>1159</v>
      </c>
      <c r="L52" s="140"/>
    </row>
    <row r="53" spans="1:12" x14ac:dyDescent="0.25">
      <c r="A53" s="115">
        <v>52</v>
      </c>
      <c r="B53" s="115" t="s">
        <v>232</v>
      </c>
      <c r="C53" s="115" t="s">
        <v>231</v>
      </c>
      <c r="D53" s="115" t="s">
        <v>230</v>
      </c>
      <c r="E53" s="116">
        <v>34998</v>
      </c>
      <c r="F53" s="115" t="s">
        <v>105</v>
      </c>
      <c r="G53" s="117">
        <v>40</v>
      </c>
      <c r="H53" s="118">
        <v>36.5</v>
      </c>
      <c r="I53" s="118">
        <f t="shared" si="1"/>
        <v>1460</v>
      </c>
      <c r="L53" s="140"/>
    </row>
    <row r="54" spans="1:12" x14ac:dyDescent="0.25">
      <c r="A54" s="115">
        <v>53</v>
      </c>
      <c r="B54" s="115" t="s">
        <v>229</v>
      </c>
      <c r="C54" s="115" t="s">
        <v>228</v>
      </c>
      <c r="D54" s="115" t="s">
        <v>227</v>
      </c>
      <c r="E54" s="116">
        <v>34347</v>
      </c>
      <c r="F54" s="115" t="s">
        <v>105</v>
      </c>
      <c r="G54" s="117">
        <v>35</v>
      </c>
      <c r="H54" s="118">
        <v>39</v>
      </c>
      <c r="I54" s="118">
        <f t="shared" si="1"/>
        <v>1365</v>
      </c>
      <c r="L54" s="140"/>
    </row>
    <row r="55" spans="1:12" x14ac:dyDescent="0.25">
      <c r="A55" s="115">
        <v>54</v>
      </c>
      <c r="B55" s="115" t="s">
        <v>226</v>
      </c>
      <c r="C55" s="115" t="s">
        <v>225</v>
      </c>
      <c r="D55" s="115" t="s">
        <v>224</v>
      </c>
      <c r="E55" s="116">
        <v>34615</v>
      </c>
      <c r="F55" s="115"/>
      <c r="G55" s="117">
        <v>40</v>
      </c>
      <c r="H55" s="118">
        <v>36.5</v>
      </c>
      <c r="I55" s="118">
        <f t="shared" si="1"/>
        <v>1460</v>
      </c>
      <c r="L55" s="140"/>
    </row>
    <row r="56" spans="1:12" x14ac:dyDescent="0.25">
      <c r="A56" s="115">
        <v>55</v>
      </c>
      <c r="B56" s="115" t="s">
        <v>223</v>
      </c>
      <c r="C56" s="115" t="s">
        <v>222</v>
      </c>
      <c r="D56" s="115" t="s">
        <v>221</v>
      </c>
      <c r="E56" s="116">
        <v>35221</v>
      </c>
      <c r="F56" s="115"/>
      <c r="G56" s="117">
        <v>25</v>
      </c>
      <c r="H56" s="118">
        <v>23.52</v>
      </c>
      <c r="I56" s="118">
        <f t="shared" si="1"/>
        <v>588</v>
      </c>
      <c r="L56" s="140"/>
    </row>
    <row r="57" spans="1:12" x14ac:dyDescent="0.25">
      <c r="A57" s="115">
        <v>56</v>
      </c>
      <c r="B57" s="115" t="s">
        <v>220</v>
      </c>
      <c r="C57" s="115" t="s">
        <v>219</v>
      </c>
      <c r="D57" s="115" t="s">
        <v>218</v>
      </c>
      <c r="E57" s="116">
        <v>36181</v>
      </c>
      <c r="F57" s="115" t="s">
        <v>124</v>
      </c>
      <c r="G57" s="117">
        <v>40</v>
      </c>
      <c r="H57" s="118">
        <v>36.5</v>
      </c>
      <c r="I57" s="118">
        <f t="shared" si="1"/>
        <v>1460</v>
      </c>
      <c r="L57" s="140"/>
    </row>
    <row r="58" spans="1:12" x14ac:dyDescent="0.25">
      <c r="A58" s="115">
        <v>57</v>
      </c>
      <c r="B58" s="115" t="s">
        <v>217</v>
      </c>
      <c r="C58" s="115" t="s">
        <v>216</v>
      </c>
      <c r="D58" s="115" t="s">
        <v>215</v>
      </c>
      <c r="E58" s="116">
        <v>32732</v>
      </c>
      <c r="F58" s="115" t="s">
        <v>109</v>
      </c>
      <c r="G58" s="117">
        <v>38</v>
      </c>
      <c r="H58" s="118">
        <v>30.5</v>
      </c>
      <c r="I58" s="118">
        <f t="shared" si="1"/>
        <v>1159</v>
      </c>
      <c r="L58" s="140"/>
    </row>
    <row r="59" spans="1:12" x14ac:dyDescent="0.25">
      <c r="A59" s="115">
        <v>58</v>
      </c>
      <c r="B59" s="115" t="s">
        <v>214</v>
      </c>
      <c r="C59" s="115" t="s">
        <v>213</v>
      </c>
      <c r="D59" s="115" t="s">
        <v>212</v>
      </c>
      <c r="E59" s="116">
        <v>35755</v>
      </c>
      <c r="F59" s="115" t="s">
        <v>113</v>
      </c>
      <c r="G59" s="117">
        <v>40</v>
      </c>
      <c r="H59" s="118">
        <v>27.6</v>
      </c>
      <c r="I59" s="118">
        <f t="shared" si="1"/>
        <v>1104</v>
      </c>
      <c r="L59" s="140"/>
    </row>
    <row r="60" spans="1:12" x14ac:dyDescent="0.25">
      <c r="A60" s="115">
        <v>59</v>
      </c>
      <c r="B60" s="115" t="s">
        <v>211</v>
      </c>
      <c r="C60" s="115" t="s">
        <v>210</v>
      </c>
      <c r="D60" s="115" t="s">
        <v>183</v>
      </c>
      <c r="E60" s="116">
        <v>34709</v>
      </c>
      <c r="F60" s="115" t="s">
        <v>128</v>
      </c>
      <c r="G60" s="117">
        <v>42</v>
      </c>
      <c r="H60" s="118">
        <v>45</v>
      </c>
      <c r="I60" s="118">
        <f t="shared" si="1"/>
        <v>1890</v>
      </c>
      <c r="L60" s="140"/>
    </row>
    <row r="61" spans="1:12" x14ac:dyDescent="0.25">
      <c r="A61" s="115">
        <v>60</v>
      </c>
      <c r="B61" s="115" t="s">
        <v>209</v>
      </c>
      <c r="C61" s="115" t="s">
        <v>208</v>
      </c>
      <c r="D61" s="115" t="s">
        <v>207</v>
      </c>
      <c r="E61" s="116">
        <v>34500</v>
      </c>
      <c r="F61" s="115" t="s">
        <v>113</v>
      </c>
      <c r="G61" s="117">
        <v>40</v>
      </c>
      <c r="H61" s="118">
        <v>23.75</v>
      </c>
      <c r="I61" s="118">
        <f t="shared" si="1"/>
        <v>950</v>
      </c>
      <c r="L61" s="140"/>
    </row>
    <row r="62" spans="1:12" x14ac:dyDescent="0.25">
      <c r="A62" s="115">
        <v>61</v>
      </c>
      <c r="B62" s="115" t="s">
        <v>206</v>
      </c>
      <c r="C62" s="115" t="s">
        <v>205</v>
      </c>
      <c r="D62" s="115" t="s">
        <v>204</v>
      </c>
      <c r="E62" s="116">
        <v>34846</v>
      </c>
      <c r="F62" s="115" t="s">
        <v>105</v>
      </c>
      <c r="G62" s="117">
        <v>25</v>
      </c>
      <c r="H62" s="118">
        <v>23.52</v>
      </c>
      <c r="I62" s="118">
        <f t="shared" si="1"/>
        <v>588</v>
      </c>
      <c r="L62" s="140"/>
    </row>
    <row r="63" spans="1:12" x14ac:dyDescent="0.25">
      <c r="A63" s="115">
        <v>62</v>
      </c>
      <c r="B63" s="115" t="s">
        <v>203</v>
      </c>
      <c r="C63" s="115" t="s">
        <v>202</v>
      </c>
      <c r="D63" s="115" t="s">
        <v>201</v>
      </c>
      <c r="E63" s="116">
        <v>35545</v>
      </c>
      <c r="F63" s="115"/>
      <c r="G63" s="117">
        <v>15.5</v>
      </c>
      <c r="H63" s="118">
        <v>21.5</v>
      </c>
      <c r="I63" s="118">
        <f t="shared" si="1"/>
        <v>333.25</v>
      </c>
      <c r="L63" s="140"/>
    </row>
    <row r="64" spans="1:12" x14ac:dyDescent="0.25">
      <c r="A64" s="115">
        <v>63</v>
      </c>
      <c r="B64" s="115" t="s">
        <v>200</v>
      </c>
      <c r="C64" s="115" t="s">
        <v>199</v>
      </c>
      <c r="D64" s="115" t="s">
        <v>198</v>
      </c>
      <c r="E64" s="116">
        <v>33059</v>
      </c>
      <c r="F64" s="115" t="s">
        <v>113</v>
      </c>
      <c r="G64" s="117">
        <v>40</v>
      </c>
      <c r="H64" s="118">
        <v>30.5</v>
      </c>
      <c r="I64" s="118">
        <f t="shared" si="1"/>
        <v>1220</v>
      </c>
      <c r="L64" s="140"/>
    </row>
    <row r="65" spans="1:12" x14ac:dyDescent="0.25">
      <c r="A65" s="115">
        <v>64</v>
      </c>
      <c r="B65" s="115" t="s">
        <v>197</v>
      </c>
      <c r="C65" s="115" t="s">
        <v>196</v>
      </c>
      <c r="D65" s="115" t="s">
        <v>195</v>
      </c>
      <c r="E65" s="116">
        <v>35390</v>
      </c>
      <c r="F65" s="115" t="s">
        <v>109</v>
      </c>
      <c r="G65" s="117">
        <v>35</v>
      </c>
      <c r="H65" s="118">
        <v>27.1</v>
      </c>
      <c r="I65" s="118">
        <f t="shared" si="1"/>
        <v>948.5</v>
      </c>
      <c r="L65" s="140"/>
    </row>
    <row r="66" spans="1:12" x14ac:dyDescent="0.25">
      <c r="A66" s="115">
        <v>65</v>
      </c>
      <c r="B66" s="115" t="s">
        <v>194</v>
      </c>
      <c r="C66" s="115" t="s">
        <v>193</v>
      </c>
      <c r="D66" s="115" t="s">
        <v>192</v>
      </c>
      <c r="E66" s="116">
        <v>34364</v>
      </c>
      <c r="F66" s="115" t="s">
        <v>113</v>
      </c>
      <c r="G66" s="117">
        <v>35</v>
      </c>
      <c r="H66" s="118">
        <v>39</v>
      </c>
      <c r="I66" s="118">
        <f t="shared" ref="I66:I95" si="2">G66*H66</f>
        <v>1365</v>
      </c>
      <c r="L66" s="140"/>
    </row>
    <row r="67" spans="1:12" x14ac:dyDescent="0.25">
      <c r="A67" s="115">
        <v>66</v>
      </c>
      <c r="B67" s="115" t="s">
        <v>191</v>
      </c>
      <c r="C67" s="115" t="s">
        <v>190</v>
      </c>
      <c r="D67" s="115" t="s">
        <v>189</v>
      </c>
      <c r="E67" s="116">
        <v>33688</v>
      </c>
      <c r="F67" s="115" t="s">
        <v>120</v>
      </c>
      <c r="G67" s="117">
        <v>35.5</v>
      </c>
      <c r="H67" s="118">
        <v>28.3</v>
      </c>
      <c r="I67" s="118">
        <f t="shared" si="2"/>
        <v>1004.65</v>
      </c>
      <c r="L67" s="140"/>
    </row>
    <row r="68" spans="1:12" x14ac:dyDescent="0.25">
      <c r="A68" s="115">
        <v>67</v>
      </c>
      <c r="B68" s="115" t="s">
        <v>188</v>
      </c>
      <c r="C68" s="115" t="s">
        <v>187</v>
      </c>
      <c r="D68" s="115" t="s">
        <v>186</v>
      </c>
      <c r="E68" s="116">
        <v>35038</v>
      </c>
      <c r="F68" s="115"/>
      <c r="G68" s="117">
        <v>29.5</v>
      </c>
      <c r="H68" s="118">
        <v>21.5</v>
      </c>
      <c r="I68" s="118">
        <f t="shared" si="2"/>
        <v>634.25</v>
      </c>
      <c r="L68" s="140"/>
    </row>
    <row r="69" spans="1:12" x14ac:dyDescent="0.25">
      <c r="A69" s="115">
        <v>68</v>
      </c>
      <c r="B69" s="115" t="s">
        <v>185</v>
      </c>
      <c r="C69" s="115" t="s">
        <v>184</v>
      </c>
      <c r="D69" s="115" t="s">
        <v>183</v>
      </c>
      <c r="E69" s="116">
        <v>35715</v>
      </c>
      <c r="F69" s="115" t="s">
        <v>113</v>
      </c>
      <c r="G69" s="117">
        <v>40</v>
      </c>
      <c r="H69" s="118">
        <v>35</v>
      </c>
      <c r="I69" s="118">
        <f t="shared" si="2"/>
        <v>1400</v>
      </c>
      <c r="L69" s="140"/>
    </row>
    <row r="70" spans="1:12" x14ac:dyDescent="0.25">
      <c r="A70" s="115">
        <v>69</v>
      </c>
      <c r="B70" s="115" t="s">
        <v>182</v>
      </c>
      <c r="C70" s="115" t="s">
        <v>181</v>
      </c>
      <c r="D70" s="115" t="s">
        <v>180</v>
      </c>
      <c r="E70" s="116">
        <v>36231</v>
      </c>
      <c r="F70" s="115" t="s">
        <v>113</v>
      </c>
      <c r="G70" s="117">
        <v>35</v>
      </c>
      <c r="H70" s="118">
        <v>27.1</v>
      </c>
      <c r="I70" s="118">
        <f t="shared" si="2"/>
        <v>948.5</v>
      </c>
      <c r="L70" s="140"/>
    </row>
    <row r="71" spans="1:12" x14ac:dyDescent="0.25">
      <c r="A71" s="115">
        <v>70</v>
      </c>
      <c r="B71" s="115" t="s">
        <v>179</v>
      </c>
      <c r="C71" s="115" t="s">
        <v>178</v>
      </c>
      <c r="D71" s="115" t="s">
        <v>132</v>
      </c>
      <c r="E71" s="116">
        <v>35759</v>
      </c>
      <c r="F71" s="115" t="s">
        <v>105</v>
      </c>
      <c r="G71" s="117">
        <v>42</v>
      </c>
      <c r="H71" s="118">
        <v>39</v>
      </c>
      <c r="I71" s="118">
        <f t="shared" si="2"/>
        <v>1638</v>
      </c>
      <c r="L71" s="140"/>
    </row>
    <row r="72" spans="1:12" x14ac:dyDescent="0.25">
      <c r="A72" s="115">
        <v>71</v>
      </c>
      <c r="B72" s="115" t="s">
        <v>177</v>
      </c>
      <c r="C72" s="115" t="s">
        <v>176</v>
      </c>
      <c r="D72" s="115" t="s">
        <v>175</v>
      </c>
      <c r="E72" s="116">
        <v>36312</v>
      </c>
      <c r="F72" s="115" t="s">
        <v>105</v>
      </c>
      <c r="G72" s="117">
        <v>29.5</v>
      </c>
      <c r="H72" s="118">
        <v>28.3</v>
      </c>
      <c r="I72" s="118">
        <f t="shared" si="2"/>
        <v>834.85</v>
      </c>
      <c r="L72" s="140"/>
    </row>
    <row r="73" spans="1:12" x14ac:dyDescent="0.25">
      <c r="A73" s="115">
        <v>72</v>
      </c>
      <c r="B73" s="115" t="s">
        <v>174</v>
      </c>
      <c r="C73" s="115" t="s">
        <v>173</v>
      </c>
      <c r="D73" s="115" t="s">
        <v>172</v>
      </c>
      <c r="E73" s="116">
        <v>34609</v>
      </c>
      <c r="F73" s="115" t="s">
        <v>113</v>
      </c>
      <c r="G73" s="117">
        <v>40</v>
      </c>
      <c r="H73" s="118">
        <v>21.5</v>
      </c>
      <c r="I73" s="118">
        <f t="shared" si="2"/>
        <v>860</v>
      </c>
      <c r="L73" s="140"/>
    </row>
    <row r="74" spans="1:12" x14ac:dyDescent="0.25">
      <c r="A74" s="115">
        <v>73</v>
      </c>
      <c r="B74" s="115" t="s">
        <v>171</v>
      </c>
      <c r="C74" s="115" t="s">
        <v>170</v>
      </c>
      <c r="D74" s="115" t="s">
        <v>169</v>
      </c>
      <c r="E74" s="116">
        <v>33646</v>
      </c>
      <c r="F74" s="115" t="s">
        <v>113</v>
      </c>
      <c r="G74" s="117">
        <v>40</v>
      </c>
      <c r="H74" s="118">
        <v>22.22</v>
      </c>
      <c r="I74" s="118">
        <f t="shared" si="2"/>
        <v>888.8</v>
      </c>
      <c r="L74" s="140"/>
    </row>
    <row r="75" spans="1:12" x14ac:dyDescent="0.25">
      <c r="A75" s="115">
        <v>74</v>
      </c>
      <c r="B75" s="115" t="s">
        <v>168</v>
      </c>
      <c r="C75" s="115" t="s">
        <v>167</v>
      </c>
      <c r="D75" s="115" t="s">
        <v>106</v>
      </c>
      <c r="E75" s="116">
        <v>32919</v>
      </c>
      <c r="F75" s="115" t="s">
        <v>109</v>
      </c>
      <c r="G75" s="117">
        <v>40</v>
      </c>
      <c r="H75" s="118">
        <v>27.1</v>
      </c>
      <c r="I75" s="118">
        <f t="shared" si="2"/>
        <v>1084</v>
      </c>
      <c r="L75" s="140"/>
    </row>
    <row r="76" spans="1:12" x14ac:dyDescent="0.25">
      <c r="A76" s="115">
        <v>75</v>
      </c>
      <c r="B76" s="115" t="s">
        <v>166</v>
      </c>
      <c r="C76" s="115" t="s">
        <v>165</v>
      </c>
      <c r="D76" s="115" t="s">
        <v>164</v>
      </c>
      <c r="E76" s="116">
        <v>33831</v>
      </c>
      <c r="F76" s="115" t="s">
        <v>120</v>
      </c>
      <c r="G76" s="117">
        <v>29.5</v>
      </c>
      <c r="H76" s="118">
        <v>31.75</v>
      </c>
      <c r="I76" s="118">
        <f t="shared" si="2"/>
        <v>936.625</v>
      </c>
      <c r="L76" s="140"/>
    </row>
    <row r="77" spans="1:12" x14ac:dyDescent="0.25">
      <c r="A77" s="115">
        <v>76</v>
      </c>
      <c r="B77" s="115" t="s">
        <v>163</v>
      </c>
      <c r="C77" s="115" t="s">
        <v>162</v>
      </c>
      <c r="D77" s="115" t="s">
        <v>161</v>
      </c>
      <c r="E77" s="116">
        <v>35728</v>
      </c>
      <c r="F77" s="115" t="s">
        <v>109</v>
      </c>
      <c r="G77" s="117">
        <v>40</v>
      </c>
      <c r="H77" s="118">
        <v>21.5</v>
      </c>
      <c r="I77" s="118">
        <f t="shared" si="2"/>
        <v>860</v>
      </c>
      <c r="L77" s="140"/>
    </row>
    <row r="78" spans="1:12" x14ac:dyDescent="0.25">
      <c r="A78" s="115">
        <v>77</v>
      </c>
      <c r="B78" s="115" t="s">
        <v>160</v>
      </c>
      <c r="C78" s="115" t="s">
        <v>159</v>
      </c>
      <c r="D78" s="115" t="s">
        <v>158</v>
      </c>
      <c r="E78" s="116">
        <v>34679</v>
      </c>
      <c r="F78" s="115" t="s">
        <v>109</v>
      </c>
      <c r="G78" s="117">
        <v>40</v>
      </c>
      <c r="H78" s="118">
        <v>34.5</v>
      </c>
      <c r="I78" s="118">
        <f t="shared" si="2"/>
        <v>1380</v>
      </c>
      <c r="L78" s="140"/>
    </row>
    <row r="79" spans="1:12" x14ac:dyDescent="0.25">
      <c r="A79" s="115">
        <v>78</v>
      </c>
      <c r="B79" s="115" t="s">
        <v>157</v>
      </c>
      <c r="C79" s="115" t="s">
        <v>156</v>
      </c>
      <c r="D79" s="115" t="s">
        <v>155</v>
      </c>
      <c r="E79" s="116">
        <v>36221</v>
      </c>
      <c r="F79" s="115" t="s">
        <v>154</v>
      </c>
      <c r="G79" s="117">
        <v>40</v>
      </c>
      <c r="H79" s="118">
        <v>48</v>
      </c>
      <c r="I79" s="118">
        <f t="shared" si="2"/>
        <v>1920</v>
      </c>
      <c r="L79" s="140"/>
    </row>
    <row r="80" spans="1:12" x14ac:dyDescent="0.25">
      <c r="A80" s="115">
        <v>79</v>
      </c>
      <c r="B80" s="115" t="s">
        <v>153</v>
      </c>
      <c r="C80" s="115" t="s">
        <v>152</v>
      </c>
      <c r="D80" s="115" t="s">
        <v>151</v>
      </c>
      <c r="E80" s="116">
        <v>34171</v>
      </c>
      <c r="F80" s="115"/>
      <c r="G80" s="117">
        <v>40</v>
      </c>
      <c r="H80" s="118">
        <v>30</v>
      </c>
      <c r="I80" s="118">
        <f t="shared" si="2"/>
        <v>1200</v>
      </c>
      <c r="L80" s="140"/>
    </row>
    <row r="81" spans="1:12" x14ac:dyDescent="0.25">
      <c r="A81" s="115">
        <v>80</v>
      </c>
      <c r="B81" s="115" t="s">
        <v>150</v>
      </c>
      <c r="C81" s="115"/>
      <c r="D81" s="115"/>
      <c r="E81" s="116"/>
      <c r="F81" s="115" t="s">
        <v>124</v>
      </c>
      <c r="G81" s="117">
        <v>40</v>
      </c>
      <c r="H81" s="118">
        <v>21.5</v>
      </c>
      <c r="I81" s="118">
        <f t="shared" si="2"/>
        <v>860</v>
      </c>
      <c r="L81" s="140"/>
    </row>
    <row r="82" spans="1:12" x14ac:dyDescent="0.25">
      <c r="A82" s="115">
        <v>81</v>
      </c>
      <c r="B82" s="115" t="s">
        <v>149</v>
      </c>
      <c r="C82" s="115" t="s">
        <v>148</v>
      </c>
      <c r="D82" s="115" t="s">
        <v>147</v>
      </c>
      <c r="E82" s="116">
        <v>33908</v>
      </c>
      <c r="F82" s="115" t="s">
        <v>128</v>
      </c>
      <c r="G82" s="117">
        <v>40</v>
      </c>
      <c r="H82" s="118">
        <v>30.5</v>
      </c>
      <c r="I82" s="118">
        <f t="shared" si="2"/>
        <v>1220</v>
      </c>
      <c r="L82" s="140"/>
    </row>
    <row r="83" spans="1:12" x14ac:dyDescent="0.25">
      <c r="A83" s="115">
        <v>82</v>
      </c>
      <c r="B83" s="115" t="s">
        <v>146</v>
      </c>
      <c r="C83" s="115" t="s">
        <v>145</v>
      </c>
      <c r="D83" s="115" t="s">
        <v>144</v>
      </c>
      <c r="E83" s="116">
        <v>35451</v>
      </c>
      <c r="F83" s="115"/>
      <c r="G83" s="117">
        <v>29.5</v>
      </c>
      <c r="H83" s="118">
        <v>30</v>
      </c>
      <c r="I83" s="118">
        <f t="shared" si="2"/>
        <v>885</v>
      </c>
      <c r="L83" s="140"/>
    </row>
    <row r="84" spans="1:12" x14ac:dyDescent="0.25">
      <c r="A84" s="115">
        <v>83</v>
      </c>
      <c r="B84" s="115" t="s">
        <v>143</v>
      </c>
      <c r="C84" s="115" t="s">
        <v>142</v>
      </c>
      <c r="D84" s="115" t="s">
        <v>141</v>
      </c>
      <c r="E84" s="116">
        <v>32568</v>
      </c>
      <c r="F84" s="115" t="s">
        <v>128</v>
      </c>
      <c r="G84" s="117">
        <v>15.5</v>
      </c>
      <c r="H84" s="118">
        <v>27.6</v>
      </c>
      <c r="I84" s="118">
        <f t="shared" si="2"/>
        <v>427.8</v>
      </c>
      <c r="L84" s="140"/>
    </row>
    <row r="85" spans="1:12" x14ac:dyDescent="0.25">
      <c r="A85" s="115">
        <v>84</v>
      </c>
      <c r="B85" s="115" t="s">
        <v>140</v>
      </c>
      <c r="C85" s="115" t="s">
        <v>139</v>
      </c>
      <c r="D85" s="115" t="s">
        <v>138</v>
      </c>
      <c r="E85" s="116">
        <v>34673</v>
      </c>
      <c r="F85" s="115" t="s">
        <v>109</v>
      </c>
      <c r="G85" s="117">
        <v>32</v>
      </c>
      <c r="H85" s="118">
        <v>23.75</v>
      </c>
      <c r="I85" s="118">
        <f t="shared" si="2"/>
        <v>760</v>
      </c>
      <c r="L85" s="140"/>
    </row>
    <row r="86" spans="1:12" x14ac:dyDescent="0.25">
      <c r="A86" s="115">
        <v>85</v>
      </c>
      <c r="B86" s="115" t="s">
        <v>137</v>
      </c>
      <c r="C86" s="115" t="s">
        <v>136</v>
      </c>
      <c r="D86" s="115" t="s">
        <v>135</v>
      </c>
      <c r="E86" s="116">
        <v>35916</v>
      </c>
      <c r="F86" s="115"/>
      <c r="G86" s="117">
        <v>42</v>
      </c>
      <c r="H86" s="118">
        <v>30.5</v>
      </c>
      <c r="I86" s="118">
        <f t="shared" si="2"/>
        <v>1281</v>
      </c>
      <c r="L86" s="140"/>
    </row>
    <row r="87" spans="1:12" x14ac:dyDescent="0.25">
      <c r="A87" s="115">
        <v>86</v>
      </c>
      <c r="B87" s="115" t="s">
        <v>134</v>
      </c>
      <c r="C87" s="115" t="s">
        <v>133</v>
      </c>
      <c r="D87" s="115" t="s">
        <v>132</v>
      </c>
      <c r="E87" s="116">
        <v>34610</v>
      </c>
      <c r="F87" s="115" t="s">
        <v>128</v>
      </c>
      <c r="G87" s="117">
        <v>40</v>
      </c>
      <c r="H87" s="118">
        <v>30</v>
      </c>
      <c r="I87" s="118">
        <f t="shared" si="2"/>
        <v>1200</v>
      </c>
      <c r="L87" s="140"/>
    </row>
    <row r="88" spans="1:12" x14ac:dyDescent="0.25">
      <c r="A88" s="115">
        <v>87</v>
      </c>
      <c r="B88" s="115" t="s">
        <v>131</v>
      </c>
      <c r="C88" s="115" t="s">
        <v>130</v>
      </c>
      <c r="D88" s="115" t="s">
        <v>129</v>
      </c>
      <c r="E88" s="116">
        <v>35739</v>
      </c>
      <c r="F88" s="115" t="s">
        <v>128</v>
      </c>
      <c r="G88" s="117">
        <v>35</v>
      </c>
      <c r="H88" s="118">
        <v>60</v>
      </c>
      <c r="I88" s="118">
        <f t="shared" si="2"/>
        <v>2100</v>
      </c>
    </row>
    <row r="89" spans="1:12" x14ac:dyDescent="0.25">
      <c r="A89" s="115">
        <v>88</v>
      </c>
      <c r="B89" s="115" t="s">
        <v>127</v>
      </c>
      <c r="C89" s="115" t="s">
        <v>126</v>
      </c>
      <c r="D89" s="115" t="s">
        <v>125</v>
      </c>
      <c r="E89" s="116">
        <v>31884</v>
      </c>
      <c r="F89" s="115" t="s">
        <v>124</v>
      </c>
      <c r="G89" s="117">
        <v>40</v>
      </c>
      <c r="H89" s="118">
        <v>21.5</v>
      </c>
      <c r="I89" s="118">
        <f t="shared" si="2"/>
        <v>860</v>
      </c>
    </row>
    <row r="90" spans="1:12" x14ac:dyDescent="0.25">
      <c r="A90" s="115">
        <v>89</v>
      </c>
      <c r="B90" s="115" t="s">
        <v>123</v>
      </c>
      <c r="C90" s="115" t="s">
        <v>122</v>
      </c>
      <c r="D90" s="115" t="s">
        <v>121</v>
      </c>
      <c r="E90" s="116">
        <v>34879</v>
      </c>
      <c r="F90" s="115" t="s">
        <v>120</v>
      </c>
      <c r="G90" s="117">
        <v>40</v>
      </c>
      <c r="H90" s="118">
        <v>21.5</v>
      </c>
      <c r="I90" s="118">
        <f t="shared" si="2"/>
        <v>860</v>
      </c>
    </row>
    <row r="91" spans="1:12" x14ac:dyDescent="0.25">
      <c r="A91" s="115">
        <v>90</v>
      </c>
      <c r="B91" s="115" t="s">
        <v>119</v>
      </c>
      <c r="C91" s="115" t="s">
        <v>118</v>
      </c>
      <c r="D91" s="115" t="s">
        <v>117</v>
      </c>
      <c r="E91" s="116">
        <v>34758</v>
      </c>
      <c r="F91" s="115" t="s">
        <v>105</v>
      </c>
      <c r="G91" s="117">
        <v>15.5</v>
      </c>
      <c r="H91" s="118">
        <v>20.5</v>
      </c>
      <c r="I91" s="118">
        <f t="shared" si="2"/>
        <v>317.75</v>
      </c>
    </row>
    <row r="92" spans="1:12" x14ac:dyDescent="0.25">
      <c r="A92" s="115">
        <v>91</v>
      </c>
      <c r="B92" s="115" t="s">
        <v>116</v>
      </c>
      <c r="C92" s="115" t="s">
        <v>115</v>
      </c>
      <c r="D92" s="115" t="s">
        <v>114</v>
      </c>
      <c r="E92" s="116">
        <v>35055</v>
      </c>
      <c r="F92" s="115" t="s">
        <v>113</v>
      </c>
      <c r="G92" s="117">
        <v>40</v>
      </c>
      <c r="H92" s="118">
        <v>31.75</v>
      </c>
      <c r="I92" s="118">
        <f t="shared" si="2"/>
        <v>1270</v>
      </c>
    </row>
    <row r="93" spans="1:12" x14ac:dyDescent="0.25">
      <c r="A93" s="115">
        <v>92</v>
      </c>
      <c r="B93" s="115" t="s">
        <v>112</v>
      </c>
      <c r="C93" s="115" t="s">
        <v>111</v>
      </c>
      <c r="D93" s="115" t="s">
        <v>110</v>
      </c>
      <c r="E93" s="116">
        <v>33568</v>
      </c>
      <c r="F93" s="115" t="s">
        <v>109</v>
      </c>
      <c r="G93" s="117">
        <v>40</v>
      </c>
      <c r="H93" s="118">
        <v>22.22</v>
      </c>
      <c r="I93" s="118">
        <f t="shared" si="2"/>
        <v>888.8</v>
      </c>
    </row>
    <row r="94" spans="1:12" x14ac:dyDescent="0.25">
      <c r="A94" s="115">
        <v>93</v>
      </c>
      <c r="B94" s="115" t="s">
        <v>108</v>
      </c>
      <c r="C94" s="115" t="s">
        <v>107</v>
      </c>
      <c r="D94" s="115" t="s">
        <v>106</v>
      </c>
      <c r="E94" s="116">
        <v>36256</v>
      </c>
      <c r="F94" s="115" t="s">
        <v>105</v>
      </c>
      <c r="G94" s="117">
        <v>40</v>
      </c>
      <c r="H94" s="118">
        <v>47</v>
      </c>
      <c r="I94" s="118">
        <f t="shared" si="2"/>
        <v>1880</v>
      </c>
    </row>
    <row r="95" spans="1:12" x14ac:dyDescent="0.25">
      <c r="A95" s="115">
        <v>94</v>
      </c>
      <c r="B95" s="115" t="s">
        <v>104</v>
      </c>
      <c r="C95" s="115" t="s">
        <v>103</v>
      </c>
      <c r="D95" s="115" t="s">
        <v>102</v>
      </c>
      <c r="E95" s="116">
        <v>36037</v>
      </c>
      <c r="F95" s="115"/>
      <c r="G95" s="117">
        <v>15.5</v>
      </c>
      <c r="H95" s="118">
        <v>21.5</v>
      </c>
      <c r="I95" s="118">
        <f t="shared" si="2"/>
        <v>333.25</v>
      </c>
    </row>
  </sheetData>
  <protectedRanges>
    <protectedRange password="CF7A" sqref="G2:G95" name="Range1"/>
  </protectedRanges>
  <autoFilter ref="A1:I95" xr:uid="{00000000-0001-0000-1200-000000000000}">
    <sortState xmlns:xlrd2="http://schemas.microsoft.com/office/spreadsheetml/2017/richdata2" ref="A2:I95">
      <sortCondition ref="A1:A95"/>
    </sortState>
  </autoFilter>
  <customSheetViews>
    <customSheetView guid="{BBE43EB8-AC5B-419E-90E4-72D0C525AF66}">
      <selection activeCell="H13" sqref="H13"/>
      <pageMargins left="0.7" right="0.7" top="0.75" bottom="0.75" header="0.3" footer="0.3"/>
    </customSheetView>
  </customSheetView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6"/>
  <dimension ref="B1:F13"/>
  <sheetViews>
    <sheetView topLeftCell="B1" zoomScale="120" zoomScaleNormal="120" workbookViewId="0">
      <selection activeCell="C17" sqref="C17"/>
    </sheetView>
  </sheetViews>
  <sheetFormatPr defaultColWidth="8.90625" defaultRowHeight="15.6" x14ac:dyDescent="0.3"/>
  <cols>
    <col min="1" max="1" width="8.90625" style="143"/>
    <col min="2" max="2" width="17.54296875" style="143" customWidth="1"/>
    <col min="3" max="3" width="45.6328125" style="146" bestFit="1" customWidth="1"/>
    <col min="4" max="4" width="16.90625" style="143" bestFit="1" customWidth="1"/>
    <col min="5" max="16384" width="8.90625" style="143"/>
  </cols>
  <sheetData>
    <row r="1" spans="2:6" x14ac:dyDescent="0.3">
      <c r="B1" s="141" t="s">
        <v>381</v>
      </c>
      <c r="C1" s="142">
        <v>24000</v>
      </c>
    </row>
    <row r="2" spans="2:6" x14ac:dyDescent="0.3">
      <c r="B2" s="141" t="s">
        <v>380</v>
      </c>
      <c r="C2" s="144">
        <v>0.12</v>
      </c>
    </row>
    <row r="3" spans="2:6" x14ac:dyDescent="0.3">
      <c r="B3" s="141" t="s">
        <v>379</v>
      </c>
      <c r="C3" s="145">
        <v>60</v>
      </c>
    </row>
    <row r="4" spans="2:6" x14ac:dyDescent="0.3">
      <c r="E4" s="5"/>
      <c r="F4" s="4"/>
    </row>
    <row r="5" spans="2:6" x14ac:dyDescent="0.3">
      <c r="D5" s="5"/>
      <c r="F5" s="4"/>
    </row>
    <row r="6" spans="2:6" x14ac:dyDescent="0.3">
      <c r="B6" s="141" t="s">
        <v>378</v>
      </c>
      <c r="C6" s="147">
        <f>PMT(C2/12,C3,C1)</f>
        <v>-533.86674443764252</v>
      </c>
      <c r="D6" s="5"/>
      <c r="E6" s="5"/>
      <c r="F6" s="4"/>
    </row>
    <row r="8" spans="2:6" ht="17.399999999999999" x14ac:dyDescent="0.3">
      <c r="B8" s="304" t="s">
        <v>965</v>
      </c>
      <c r="C8" s="141" t="s">
        <v>966</v>
      </c>
    </row>
    <row r="9" spans="2:6" x14ac:dyDescent="0.3">
      <c r="C9" s="305" t="s">
        <v>969</v>
      </c>
    </row>
    <row r="10" spans="2:6" x14ac:dyDescent="0.3">
      <c r="C10" s="302" t="s">
        <v>972</v>
      </c>
    </row>
    <row r="11" spans="2:6" x14ac:dyDescent="0.3">
      <c r="C11" s="305" t="s">
        <v>970</v>
      </c>
    </row>
    <row r="12" spans="2:6" x14ac:dyDescent="0.3">
      <c r="C12" s="305" t="s">
        <v>967</v>
      </c>
    </row>
    <row r="13" spans="2:6" x14ac:dyDescent="0.3">
      <c r="C13" s="305" t="s">
        <v>968</v>
      </c>
    </row>
  </sheetData>
  <customSheetViews>
    <customSheetView guid="{BBE43EB8-AC5B-419E-90E4-72D0C525AF66}">
      <selection activeCell="D21" sqref="D21"/>
      <pageMargins left="0.7" right="0.7" top="0.75" bottom="0.75" header="0.3" footer="0.3"/>
    </customSheetView>
  </customSheetViews>
  <pageMargins left="0.7" right="0.7" top="0.75" bottom="0.75" header="0.3" footer="0.3"/>
  <pageSetup orientation="portrait" horizontalDpi="4294967293" verticalDpi="4294967293"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7"/>
  <dimension ref="A1:E14"/>
  <sheetViews>
    <sheetView zoomScale="130" zoomScaleNormal="130" workbookViewId="0">
      <selection activeCell="C6" sqref="C6"/>
    </sheetView>
  </sheetViews>
  <sheetFormatPr defaultRowHeight="13.2" x14ac:dyDescent="0.25"/>
  <cols>
    <col min="1" max="1" width="16.36328125" style="37" customWidth="1"/>
    <col min="2" max="2" width="13.6328125" style="37" bestFit="1" customWidth="1"/>
    <col min="3" max="3" width="30.26953125" style="37" bestFit="1" customWidth="1"/>
    <col min="4" max="4" width="8.90625" style="37"/>
    <col min="5" max="5" width="8.54296875" style="37" bestFit="1" customWidth="1"/>
    <col min="6" max="256" width="8.90625" style="37"/>
    <col min="257" max="257" width="31.36328125" style="37" bestFit="1" customWidth="1"/>
    <col min="258" max="258" width="13.6328125" style="37" bestFit="1" customWidth="1"/>
    <col min="259" max="259" width="16.6328125" style="37" bestFit="1" customWidth="1"/>
    <col min="260" max="512" width="8.90625" style="37"/>
    <col min="513" max="513" width="31.36328125" style="37" bestFit="1" customWidth="1"/>
    <col min="514" max="514" width="13.6328125" style="37" bestFit="1" customWidth="1"/>
    <col min="515" max="515" width="16.6328125" style="37" bestFit="1" customWidth="1"/>
    <col min="516" max="768" width="8.90625" style="37"/>
    <col min="769" max="769" width="31.36328125" style="37" bestFit="1" customWidth="1"/>
    <col min="770" max="770" width="13.6328125" style="37" bestFit="1" customWidth="1"/>
    <col min="771" max="771" width="16.6328125" style="37" bestFit="1" customWidth="1"/>
    <col min="772" max="1024" width="8.90625" style="37"/>
    <col min="1025" max="1025" width="31.36328125" style="37" bestFit="1" customWidth="1"/>
    <col min="1026" max="1026" width="13.6328125" style="37" bestFit="1" customWidth="1"/>
    <col min="1027" max="1027" width="16.6328125" style="37" bestFit="1" customWidth="1"/>
    <col min="1028" max="1280" width="8.90625" style="37"/>
    <col min="1281" max="1281" width="31.36328125" style="37" bestFit="1" customWidth="1"/>
    <col min="1282" max="1282" width="13.6328125" style="37" bestFit="1" customWidth="1"/>
    <col min="1283" max="1283" width="16.6328125" style="37" bestFit="1" customWidth="1"/>
    <col min="1284" max="1536" width="8.90625" style="37"/>
    <col min="1537" max="1537" width="31.36328125" style="37" bestFit="1" customWidth="1"/>
    <col min="1538" max="1538" width="13.6328125" style="37" bestFit="1" customWidth="1"/>
    <col min="1539" max="1539" width="16.6328125" style="37" bestFit="1" customWidth="1"/>
    <col min="1540" max="1792" width="8.90625" style="37"/>
    <col min="1793" max="1793" width="31.36328125" style="37" bestFit="1" customWidth="1"/>
    <col min="1794" max="1794" width="13.6328125" style="37" bestFit="1" customWidth="1"/>
    <col min="1795" max="1795" width="16.6328125" style="37" bestFit="1" customWidth="1"/>
    <col min="1796" max="2048" width="8.90625" style="37"/>
    <col min="2049" max="2049" width="31.36328125" style="37" bestFit="1" customWidth="1"/>
    <col min="2050" max="2050" width="13.6328125" style="37" bestFit="1" customWidth="1"/>
    <col min="2051" max="2051" width="16.6328125" style="37" bestFit="1" customWidth="1"/>
    <col min="2052" max="2304" width="8.90625" style="37"/>
    <col min="2305" max="2305" width="31.36328125" style="37" bestFit="1" customWidth="1"/>
    <col min="2306" max="2306" width="13.6328125" style="37" bestFit="1" customWidth="1"/>
    <col min="2307" max="2307" width="16.6328125" style="37" bestFit="1" customWidth="1"/>
    <col min="2308" max="2560" width="8.90625" style="37"/>
    <col min="2561" max="2561" width="31.36328125" style="37" bestFit="1" customWidth="1"/>
    <col min="2562" max="2562" width="13.6328125" style="37" bestFit="1" customWidth="1"/>
    <col min="2563" max="2563" width="16.6328125" style="37" bestFit="1" customWidth="1"/>
    <col min="2564" max="2816" width="8.90625" style="37"/>
    <col min="2817" max="2817" width="31.36328125" style="37" bestFit="1" customWidth="1"/>
    <col min="2818" max="2818" width="13.6328125" style="37" bestFit="1" customWidth="1"/>
    <col min="2819" max="2819" width="16.6328125" style="37" bestFit="1" customWidth="1"/>
    <col min="2820" max="3072" width="8.90625" style="37"/>
    <col min="3073" max="3073" width="31.36328125" style="37" bestFit="1" customWidth="1"/>
    <col min="3074" max="3074" width="13.6328125" style="37" bestFit="1" customWidth="1"/>
    <col min="3075" max="3075" width="16.6328125" style="37" bestFit="1" customWidth="1"/>
    <col min="3076" max="3328" width="8.90625" style="37"/>
    <col min="3329" max="3329" width="31.36328125" style="37" bestFit="1" customWidth="1"/>
    <col min="3330" max="3330" width="13.6328125" style="37" bestFit="1" customWidth="1"/>
    <col min="3331" max="3331" width="16.6328125" style="37" bestFit="1" customWidth="1"/>
    <col min="3332" max="3584" width="8.90625" style="37"/>
    <col min="3585" max="3585" width="31.36328125" style="37" bestFit="1" customWidth="1"/>
    <col min="3586" max="3586" width="13.6328125" style="37" bestFit="1" customWidth="1"/>
    <col min="3587" max="3587" width="16.6328125" style="37" bestFit="1" customWidth="1"/>
    <col min="3588" max="3840" width="8.90625" style="37"/>
    <col min="3841" max="3841" width="31.36328125" style="37" bestFit="1" customWidth="1"/>
    <col min="3842" max="3842" width="13.6328125" style="37" bestFit="1" customWidth="1"/>
    <col min="3843" max="3843" width="16.6328125" style="37" bestFit="1" customWidth="1"/>
    <col min="3844" max="4096" width="8.90625" style="37"/>
    <col min="4097" max="4097" width="31.36328125" style="37" bestFit="1" customWidth="1"/>
    <col min="4098" max="4098" width="13.6328125" style="37" bestFit="1" customWidth="1"/>
    <col min="4099" max="4099" width="16.6328125" style="37" bestFit="1" customWidth="1"/>
    <col min="4100" max="4352" width="8.90625" style="37"/>
    <col min="4353" max="4353" width="31.36328125" style="37" bestFit="1" customWidth="1"/>
    <col min="4354" max="4354" width="13.6328125" style="37" bestFit="1" customWidth="1"/>
    <col min="4355" max="4355" width="16.6328125" style="37" bestFit="1" customWidth="1"/>
    <col min="4356" max="4608" width="8.90625" style="37"/>
    <col min="4609" max="4609" width="31.36328125" style="37" bestFit="1" customWidth="1"/>
    <col min="4610" max="4610" width="13.6328125" style="37" bestFit="1" customWidth="1"/>
    <col min="4611" max="4611" width="16.6328125" style="37" bestFit="1" customWidth="1"/>
    <col min="4612" max="4864" width="8.90625" style="37"/>
    <col min="4865" max="4865" width="31.36328125" style="37" bestFit="1" customWidth="1"/>
    <col min="4866" max="4866" width="13.6328125" style="37" bestFit="1" customWidth="1"/>
    <col min="4867" max="4867" width="16.6328125" style="37" bestFit="1" customWidth="1"/>
    <col min="4868" max="5120" width="8.90625" style="37"/>
    <col min="5121" max="5121" width="31.36328125" style="37" bestFit="1" customWidth="1"/>
    <col min="5122" max="5122" width="13.6328125" style="37" bestFit="1" customWidth="1"/>
    <col min="5123" max="5123" width="16.6328125" style="37" bestFit="1" customWidth="1"/>
    <col min="5124" max="5376" width="8.90625" style="37"/>
    <col min="5377" max="5377" width="31.36328125" style="37" bestFit="1" customWidth="1"/>
    <col min="5378" max="5378" width="13.6328125" style="37" bestFit="1" customWidth="1"/>
    <col min="5379" max="5379" width="16.6328125" style="37" bestFit="1" customWidth="1"/>
    <col min="5380" max="5632" width="8.90625" style="37"/>
    <col min="5633" max="5633" width="31.36328125" style="37" bestFit="1" customWidth="1"/>
    <col min="5634" max="5634" width="13.6328125" style="37" bestFit="1" customWidth="1"/>
    <col min="5635" max="5635" width="16.6328125" style="37" bestFit="1" customWidth="1"/>
    <col min="5636" max="5888" width="8.90625" style="37"/>
    <col min="5889" max="5889" width="31.36328125" style="37" bestFit="1" customWidth="1"/>
    <col min="5890" max="5890" width="13.6328125" style="37" bestFit="1" customWidth="1"/>
    <col min="5891" max="5891" width="16.6328125" style="37" bestFit="1" customWidth="1"/>
    <col min="5892" max="6144" width="8.90625" style="37"/>
    <col min="6145" max="6145" width="31.36328125" style="37" bestFit="1" customWidth="1"/>
    <col min="6146" max="6146" width="13.6328125" style="37" bestFit="1" customWidth="1"/>
    <col min="6147" max="6147" width="16.6328125" style="37" bestFit="1" customWidth="1"/>
    <col min="6148" max="6400" width="8.90625" style="37"/>
    <col min="6401" max="6401" width="31.36328125" style="37" bestFit="1" customWidth="1"/>
    <col min="6402" max="6402" width="13.6328125" style="37" bestFit="1" customWidth="1"/>
    <col min="6403" max="6403" width="16.6328125" style="37" bestFit="1" customWidth="1"/>
    <col min="6404" max="6656" width="8.90625" style="37"/>
    <col min="6657" max="6657" width="31.36328125" style="37" bestFit="1" customWidth="1"/>
    <col min="6658" max="6658" width="13.6328125" style="37" bestFit="1" customWidth="1"/>
    <col min="6659" max="6659" width="16.6328125" style="37" bestFit="1" customWidth="1"/>
    <col min="6660" max="6912" width="8.90625" style="37"/>
    <col min="6913" max="6913" width="31.36328125" style="37" bestFit="1" customWidth="1"/>
    <col min="6914" max="6914" width="13.6328125" style="37" bestFit="1" customWidth="1"/>
    <col min="6915" max="6915" width="16.6328125" style="37" bestFit="1" customWidth="1"/>
    <col min="6916" max="7168" width="8.90625" style="37"/>
    <col min="7169" max="7169" width="31.36328125" style="37" bestFit="1" customWidth="1"/>
    <col min="7170" max="7170" width="13.6328125" style="37" bestFit="1" customWidth="1"/>
    <col min="7171" max="7171" width="16.6328125" style="37" bestFit="1" customWidth="1"/>
    <col min="7172" max="7424" width="8.90625" style="37"/>
    <col min="7425" max="7425" width="31.36328125" style="37" bestFit="1" customWidth="1"/>
    <col min="7426" max="7426" width="13.6328125" style="37" bestFit="1" customWidth="1"/>
    <col min="7427" max="7427" width="16.6328125" style="37" bestFit="1" customWidth="1"/>
    <col min="7428" max="7680" width="8.90625" style="37"/>
    <col min="7681" max="7681" width="31.36328125" style="37" bestFit="1" customWidth="1"/>
    <col min="7682" max="7682" width="13.6328125" style="37" bestFit="1" customWidth="1"/>
    <col min="7683" max="7683" width="16.6328125" style="37" bestFit="1" customWidth="1"/>
    <col min="7684" max="7936" width="8.90625" style="37"/>
    <col min="7937" max="7937" width="31.36328125" style="37" bestFit="1" customWidth="1"/>
    <col min="7938" max="7938" width="13.6328125" style="37" bestFit="1" customWidth="1"/>
    <col min="7939" max="7939" width="16.6328125" style="37" bestFit="1" customWidth="1"/>
    <col min="7940" max="8192" width="8.90625" style="37"/>
    <col min="8193" max="8193" width="31.36328125" style="37" bestFit="1" customWidth="1"/>
    <col min="8194" max="8194" width="13.6328125" style="37" bestFit="1" customWidth="1"/>
    <col min="8195" max="8195" width="16.6328125" style="37" bestFit="1" customWidth="1"/>
    <col min="8196" max="8448" width="8.90625" style="37"/>
    <col min="8449" max="8449" width="31.36328125" style="37" bestFit="1" customWidth="1"/>
    <col min="8450" max="8450" width="13.6328125" style="37" bestFit="1" customWidth="1"/>
    <col min="8451" max="8451" width="16.6328125" style="37" bestFit="1" customWidth="1"/>
    <col min="8452" max="8704" width="8.90625" style="37"/>
    <col min="8705" max="8705" width="31.36328125" style="37" bestFit="1" customWidth="1"/>
    <col min="8706" max="8706" width="13.6328125" style="37" bestFit="1" customWidth="1"/>
    <col min="8707" max="8707" width="16.6328125" style="37" bestFit="1" customWidth="1"/>
    <col min="8708" max="8960" width="8.90625" style="37"/>
    <col min="8961" max="8961" width="31.36328125" style="37" bestFit="1" customWidth="1"/>
    <col min="8962" max="8962" width="13.6328125" style="37" bestFit="1" customWidth="1"/>
    <col min="8963" max="8963" width="16.6328125" style="37" bestFit="1" customWidth="1"/>
    <col min="8964" max="9216" width="8.90625" style="37"/>
    <col min="9217" max="9217" width="31.36328125" style="37" bestFit="1" customWidth="1"/>
    <col min="9218" max="9218" width="13.6328125" style="37" bestFit="1" customWidth="1"/>
    <col min="9219" max="9219" width="16.6328125" style="37" bestFit="1" customWidth="1"/>
    <col min="9220" max="9472" width="8.90625" style="37"/>
    <col min="9473" max="9473" width="31.36328125" style="37" bestFit="1" customWidth="1"/>
    <col min="9474" max="9474" width="13.6328125" style="37" bestFit="1" customWidth="1"/>
    <col min="9475" max="9475" width="16.6328125" style="37" bestFit="1" customWidth="1"/>
    <col min="9476" max="9728" width="8.90625" style="37"/>
    <col min="9729" max="9729" width="31.36328125" style="37" bestFit="1" customWidth="1"/>
    <col min="9730" max="9730" width="13.6328125" style="37" bestFit="1" customWidth="1"/>
    <col min="9731" max="9731" width="16.6328125" style="37" bestFit="1" customWidth="1"/>
    <col min="9732" max="9984" width="8.90625" style="37"/>
    <col min="9985" max="9985" width="31.36328125" style="37" bestFit="1" customWidth="1"/>
    <col min="9986" max="9986" width="13.6328125" style="37" bestFit="1" customWidth="1"/>
    <col min="9987" max="9987" width="16.6328125" style="37" bestFit="1" customWidth="1"/>
    <col min="9988" max="10240" width="8.90625" style="37"/>
    <col min="10241" max="10241" width="31.36328125" style="37" bestFit="1" customWidth="1"/>
    <col min="10242" max="10242" width="13.6328125" style="37" bestFit="1" customWidth="1"/>
    <col min="10243" max="10243" width="16.6328125" style="37" bestFit="1" customWidth="1"/>
    <col min="10244" max="10496" width="8.90625" style="37"/>
    <col min="10497" max="10497" width="31.36328125" style="37" bestFit="1" customWidth="1"/>
    <col min="10498" max="10498" width="13.6328125" style="37" bestFit="1" customWidth="1"/>
    <col min="10499" max="10499" width="16.6328125" style="37" bestFit="1" customWidth="1"/>
    <col min="10500" max="10752" width="8.90625" style="37"/>
    <col min="10753" max="10753" width="31.36328125" style="37" bestFit="1" customWidth="1"/>
    <col min="10754" max="10754" width="13.6328125" style="37" bestFit="1" customWidth="1"/>
    <col min="10755" max="10755" width="16.6328125" style="37" bestFit="1" customWidth="1"/>
    <col min="10756" max="11008" width="8.90625" style="37"/>
    <col min="11009" max="11009" width="31.36328125" style="37" bestFit="1" customWidth="1"/>
    <col min="11010" max="11010" width="13.6328125" style="37" bestFit="1" customWidth="1"/>
    <col min="11011" max="11011" width="16.6328125" style="37" bestFit="1" customWidth="1"/>
    <col min="11012" max="11264" width="8.90625" style="37"/>
    <col min="11265" max="11265" width="31.36328125" style="37" bestFit="1" customWidth="1"/>
    <col min="11266" max="11266" width="13.6328125" style="37" bestFit="1" customWidth="1"/>
    <col min="11267" max="11267" width="16.6328125" style="37" bestFit="1" customWidth="1"/>
    <col min="11268" max="11520" width="8.90625" style="37"/>
    <col min="11521" max="11521" width="31.36328125" style="37" bestFit="1" customWidth="1"/>
    <col min="11522" max="11522" width="13.6328125" style="37" bestFit="1" customWidth="1"/>
    <col min="11523" max="11523" width="16.6328125" style="37" bestFit="1" customWidth="1"/>
    <col min="11524" max="11776" width="8.90625" style="37"/>
    <col min="11777" max="11777" width="31.36328125" style="37" bestFit="1" customWidth="1"/>
    <col min="11778" max="11778" width="13.6328125" style="37" bestFit="1" customWidth="1"/>
    <col min="11779" max="11779" width="16.6328125" style="37" bestFit="1" customWidth="1"/>
    <col min="11780" max="12032" width="8.90625" style="37"/>
    <col min="12033" max="12033" width="31.36328125" style="37" bestFit="1" customWidth="1"/>
    <col min="12034" max="12034" width="13.6328125" style="37" bestFit="1" customWidth="1"/>
    <col min="12035" max="12035" width="16.6328125" style="37" bestFit="1" customWidth="1"/>
    <col min="12036" max="12288" width="8.90625" style="37"/>
    <col min="12289" max="12289" width="31.36328125" style="37" bestFit="1" customWidth="1"/>
    <col min="12290" max="12290" width="13.6328125" style="37" bestFit="1" customWidth="1"/>
    <col min="12291" max="12291" width="16.6328125" style="37" bestFit="1" customWidth="1"/>
    <col min="12292" max="12544" width="8.90625" style="37"/>
    <col min="12545" max="12545" width="31.36328125" style="37" bestFit="1" customWidth="1"/>
    <col min="12546" max="12546" width="13.6328125" style="37" bestFit="1" customWidth="1"/>
    <col min="12547" max="12547" width="16.6328125" style="37" bestFit="1" customWidth="1"/>
    <col min="12548" max="12800" width="8.90625" style="37"/>
    <col min="12801" max="12801" width="31.36328125" style="37" bestFit="1" customWidth="1"/>
    <col min="12802" max="12802" width="13.6328125" style="37" bestFit="1" customWidth="1"/>
    <col min="12803" max="12803" width="16.6328125" style="37" bestFit="1" customWidth="1"/>
    <col min="12804" max="13056" width="8.90625" style="37"/>
    <col min="13057" max="13057" width="31.36328125" style="37" bestFit="1" customWidth="1"/>
    <col min="13058" max="13058" width="13.6328125" style="37" bestFit="1" customWidth="1"/>
    <col min="13059" max="13059" width="16.6328125" style="37" bestFit="1" customWidth="1"/>
    <col min="13060" max="13312" width="8.90625" style="37"/>
    <col min="13313" max="13313" width="31.36328125" style="37" bestFit="1" customWidth="1"/>
    <col min="13314" max="13314" width="13.6328125" style="37" bestFit="1" customWidth="1"/>
    <col min="13315" max="13315" width="16.6328125" style="37" bestFit="1" customWidth="1"/>
    <col min="13316" max="13568" width="8.90625" style="37"/>
    <col min="13569" max="13569" width="31.36328125" style="37" bestFit="1" customWidth="1"/>
    <col min="13570" max="13570" width="13.6328125" style="37" bestFit="1" customWidth="1"/>
    <col min="13571" max="13571" width="16.6328125" style="37" bestFit="1" customWidth="1"/>
    <col min="13572" max="13824" width="8.90625" style="37"/>
    <col min="13825" max="13825" width="31.36328125" style="37" bestFit="1" customWidth="1"/>
    <col min="13826" max="13826" width="13.6328125" style="37" bestFit="1" customWidth="1"/>
    <col min="13827" max="13827" width="16.6328125" style="37" bestFit="1" customWidth="1"/>
    <col min="13828" max="14080" width="8.90625" style="37"/>
    <col min="14081" max="14081" width="31.36328125" style="37" bestFit="1" customWidth="1"/>
    <col min="14082" max="14082" width="13.6328125" style="37" bestFit="1" customWidth="1"/>
    <col min="14083" max="14083" width="16.6328125" style="37" bestFit="1" customWidth="1"/>
    <col min="14084" max="14336" width="8.90625" style="37"/>
    <col min="14337" max="14337" width="31.36328125" style="37" bestFit="1" customWidth="1"/>
    <col min="14338" max="14338" width="13.6328125" style="37" bestFit="1" customWidth="1"/>
    <col min="14339" max="14339" width="16.6328125" style="37" bestFit="1" customWidth="1"/>
    <col min="14340" max="14592" width="8.90625" style="37"/>
    <col min="14593" max="14593" width="31.36328125" style="37" bestFit="1" customWidth="1"/>
    <col min="14594" max="14594" width="13.6328125" style="37" bestFit="1" customWidth="1"/>
    <col min="14595" max="14595" width="16.6328125" style="37" bestFit="1" customWidth="1"/>
    <col min="14596" max="14848" width="8.90625" style="37"/>
    <col min="14849" max="14849" width="31.36328125" style="37" bestFit="1" customWidth="1"/>
    <col min="14850" max="14850" width="13.6328125" style="37" bestFit="1" customWidth="1"/>
    <col min="14851" max="14851" width="16.6328125" style="37" bestFit="1" customWidth="1"/>
    <col min="14852" max="15104" width="8.90625" style="37"/>
    <col min="15105" max="15105" width="31.36328125" style="37" bestFit="1" customWidth="1"/>
    <col min="15106" max="15106" width="13.6328125" style="37" bestFit="1" customWidth="1"/>
    <col min="15107" max="15107" width="16.6328125" style="37" bestFit="1" customWidth="1"/>
    <col min="15108" max="15360" width="8.90625" style="37"/>
    <col min="15361" max="15361" width="31.36328125" style="37" bestFit="1" customWidth="1"/>
    <col min="15362" max="15362" width="13.6328125" style="37" bestFit="1" customWidth="1"/>
    <col min="15363" max="15363" width="16.6328125" style="37" bestFit="1" customWidth="1"/>
    <col min="15364" max="15616" width="8.90625" style="37"/>
    <col min="15617" max="15617" width="31.36328125" style="37" bestFit="1" customWidth="1"/>
    <col min="15618" max="15618" width="13.6328125" style="37" bestFit="1" customWidth="1"/>
    <col min="15619" max="15619" width="16.6328125" style="37" bestFit="1" customWidth="1"/>
    <col min="15620" max="15872" width="8.90625" style="37"/>
    <col min="15873" max="15873" width="31.36328125" style="37" bestFit="1" customWidth="1"/>
    <col min="15874" max="15874" width="13.6328125" style="37" bestFit="1" customWidth="1"/>
    <col min="15875" max="15875" width="16.6328125" style="37" bestFit="1" customWidth="1"/>
    <col min="15876" max="16128" width="8.90625" style="37"/>
    <col min="16129" max="16129" width="31.36328125" style="37" bestFit="1" customWidth="1"/>
    <col min="16130" max="16130" width="13.6328125" style="37" bestFit="1" customWidth="1"/>
    <col min="16131" max="16131" width="16.6328125" style="37" bestFit="1" customWidth="1"/>
    <col min="16132" max="16384" width="8.90625" style="37"/>
  </cols>
  <sheetData>
    <row r="1" spans="1:5" ht="15.6" x14ac:dyDescent="0.25">
      <c r="A1" s="153" t="s">
        <v>408</v>
      </c>
      <c r="B1" s="308"/>
      <c r="C1" s="312">
        <v>0.06</v>
      </c>
    </row>
    <row r="2" spans="1:5" ht="15.6" x14ac:dyDescent="0.25">
      <c r="A2" s="153" t="s">
        <v>407</v>
      </c>
      <c r="B2" s="308"/>
      <c r="C2" s="153">
        <v>120</v>
      </c>
      <c r="D2" s="307" t="s">
        <v>840</v>
      </c>
      <c r="E2" s="314">
        <f>PMT($C$1/12,$C$2,$C$3)</f>
        <v>-444.08200776659777</v>
      </c>
    </row>
    <row r="3" spans="1:5" ht="15.6" x14ac:dyDescent="0.25">
      <c r="A3" s="153" t="s">
        <v>406</v>
      </c>
      <c r="B3" s="308"/>
      <c r="C3" s="313">
        <v>40000</v>
      </c>
    </row>
    <row r="4" spans="1:5" ht="15.6" x14ac:dyDescent="0.25">
      <c r="A4" s="36"/>
      <c r="C4" s="39"/>
    </row>
    <row r="5" spans="1:5" ht="46.2" x14ac:dyDescent="0.25">
      <c r="B5" s="153" t="s">
        <v>408</v>
      </c>
      <c r="C5" s="315" t="s">
        <v>971</v>
      </c>
      <c r="D5" s="49"/>
      <c r="E5" s="306"/>
    </row>
    <row r="6" spans="1:5" ht="15.6" x14ac:dyDescent="0.25">
      <c r="A6" s="310" t="s">
        <v>378</v>
      </c>
      <c r="B6" s="311">
        <v>0.06</v>
      </c>
      <c r="C6" s="49">
        <f>PMT(C1/12,C2,C3)</f>
        <v>-444.08200776659777</v>
      </c>
      <c r="D6" s="309">
        <f t="shared" ref="D6:D14" si="0">PMT($B6/12,$C$2,$C$3)</f>
        <v>-444.08200776659777</v>
      </c>
    </row>
    <row r="7" spans="1:5" ht="15.6" x14ac:dyDescent="0.25">
      <c r="A7" s="41"/>
      <c r="B7" s="311">
        <v>6.5000000000000002E-2</v>
      </c>
      <c r="C7" s="49">
        <f t="dataTable" ref="C7:C14" dt2D="0" dtr="0" r1="C1"/>
        <v>-454.19190888010405</v>
      </c>
      <c r="D7" s="309">
        <f t="shared" si="0"/>
        <v>-454.19190888010405</v>
      </c>
    </row>
    <row r="8" spans="1:5" ht="15.6" x14ac:dyDescent="0.25">
      <c r="A8" s="40"/>
      <c r="B8" s="311">
        <v>7.0000000000000007E-2</v>
      </c>
      <c r="C8" s="49">
        <v>-464.43391687449622</v>
      </c>
      <c r="D8" s="309">
        <f t="shared" si="0"/>
        <v>-464.43391687449622</v>
      </c>
    </row>
    <row r="9" spans="1:5" ht="15.6" x14ac:dyDescent="0.25">
      <c r="A9" s="40"/>
      <c r="B9" s="311">
        <v>7.4999999999999997E-2</v>
      </c>
      <c r="C9" s="49">
        <v>-474.80707654341694</v>
      </c>
      <c r="D9" s="309">
        <f t="shared" si="0"/>
        <v>-474.80707654341694</v>
      </c>
    </row>
    <row r="10" spans="1:5" ht="15.6" x14ac:dyDescent="0.25">
      <c r="A10" s="40"/>
      <c r="B10" s="311">
        <v>0.08</v>
      </c>
      <c r="C10" s="49">
        <v>-485.31037742142775</v>
      </c>
      <c r="D10" s="309">
        <f t="shared" si="0"/>
        <v>-485.31037742142775</v>
      </c>
    </row>
    <row r="11" spans="1:5" ht="15.6" x14ac:dyDescent="0.25">
      <c r="A11" s="40"/>
      <c r="B11" s="311">
        <v>8.5000000000000006E-2</v>
      </c>
      <c r="C11" s="49">
        <v>-495.94275549804451</v>
      </c>
      <c r="D11" s="309">
        <f t="shared" si="0"/>
        <v>-495.94275549804451</v>
      </c>
    </row>
    <row r="12" spans="1:5" ht="15.6" x14ac:dyDescent="0.25">
      <c r="A12" s="40"/>
      <c r="B12" s="311">
        <v>0.09</v>
      </c>
      <c r="C12" s="49">
        <v>-506.70309500099785</v>
      </c>
      <c r="D12" s="309">
        <f t="shared" si="0"/>
        <v>-506.70309500099785</v>
      </c>
    </row>
    <row r="13" spans="1:5" ht="15.6" x14ac:dyDescent="0.25">
      <c r="A13" s="40"/>
      <c r="B13" s="311">
        <v>9.5000000000000001E-2</v>
      </c>
      <c r="C13" s="49">
        <v>-517.59023024310807</v>
      </c>
      <c r="D13" s="309">
        <f t="shared" si="0"/>
        <v>-517.59023024310807</v>
      </c>
    </row>
    <row r="14" spans="1:5" ht="15.6" x14ac:dyDescent="0.25">
      <c r="A14" s="38"/>
      <c r="B14" s="311">
        <v>0.1</v>
      </c>
      <c r="C14" s="49">
        <v>-528.60294752704658</v>
      </c>
      <c r="D14" s="309">
        <f t="shared" si="0"/>
        <v>-528.60294752704658</v>
      </c>
    </row>
  </sheetData>
  <customSheetViews>
    <customSheetView guid="{BBE43EB8-AC5B-419E-90E4-72D0C525AF66}">
      <pageMargins left="0.75" right="0.75" top="1" bottom="1" header="0.5" footer="0.5"/>
      <headerFooter alignWithMargins="0"/>
    </customSheetView>
  </customSheetViews>
  <pageMargins left="0.75" right="0.75" top="1" bottom="1" header="0.5" footer="0.5"/>
  <pageSetup orientation="portrait" horizontalDpi="300" verticalDpi="300"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8"/>
  <dimension ref="A1:G15"/>
  <sheetViews>
    <sheetView zoomScale="115" zoomScaleNormal="115" workbookViewId="0">
      <selection activeCell="C22" sqref="C22"/>
    </sheetView>
  </sheetViews>
  <sheetFormatPr defaultRowHeight="13.2" x14ac:dyDescent="0.25"/>
  <cols>
    <col min="1" max="1" width="28.36328125" style="13" customWidth="1"/>
    <col min="2" max="2" width="14.6328125" style="13" bestFit="1" customWidth="1"/>
    <col min="3" max="3" width="18.54296875" style="13" bestFit="1" customWidth="1"/>
    <col min="4" max="4" width="12.81640625" style="13" customWidth="1"/>
    <col min="5" max="5" width="13.81640625" style="13" customWidth="1"/>
    <col min="6" max="6" width="13.54296875" style="13" customWidth="1"/>
    <col min="7" max="7" width="15" style="13" customWidth="1"/>
    <col min="8" max="256" width="8.90625" style="13"/>
    <col min="257" max="257" width="34" style="13" bestFit="1" customWidth="1"/>
    <col min="258" max="258" width="14.6328125" style="13" bestFit="1" customWidth="1"/>
    <col min="259" max="259" width="17.6328125" style="13" bestFit="1" customWidth="1"/>
    <col min="260" max="260" width="12.81640625" style="13" customWidth="1"/>
    <col min="261" max="261" width="10.453125" style="13" customWidth="1"/>
    <col min="262" max="262" width="9.1796875" style="13" customWidth="1"/>
    <col min="263" max="263" width="9.08984375" style="13" customWidth="1"/>
    <col min="264" max="512" width="8.90625" style="13"/>
    <col min="513" max="513" width="34" style="13" bestFit="1" customWidth="1"/>
    <col min="514" max="514" width="14.6328125" style="13" bestFit="1" customWidth="1"/>
    <col min="515" max="515" width="17.6328125" style="13" bestFit="1" customWidth="1"/>
    <col min="516" max="516" width="12.81640625" style="13" customWidth="1"/>
    <col min="517" max="517" width="10.453125" style="13" customWidth="1"/>
    <col min="518" max="518" width="9.1796875" style="13" customWidth="1"/>
    <col min="519" max="519" width="9.08984375" style="13" customWidth="1"/>
    <col min="520" max="768" width="8.90625" style="13"/>
    <col min="769" max="769" width="34" style="13" bestFit="1" customWidth="1"/>
    <col min="770" max="770" width="14.6328125" style="13" bestFit="1" customWidth="1"/>
    <col min="771" max="771" width="17.6328125" style="13" bestFit="1" customWidth="1"/>
    <col min="772" max="772" width="12.81640625" style="13" customWidth="1"/>
    <col min="773" max="773" width="10.453125" style="13" customWidth="1"/>
    <col min="774" max="774" width="9.1796875" style="13" customWidth="1"/>
    <col min="775" max="775" width="9.08984375" style="13" customWidth="1"/>
    <col min="776" max="1024" width="8.90625" style="13"/>
    <col min="1025" max="1025" width="34" style="13" bestFit="1" customWidth="1"/>
    <col min="1026" max="1026" width="14.6328125" style="13" bestFit="1" customWidth="1"/>
    <col min="1027" max="1027" width="17.6328125" style="13" bestFit="1" customWidth="1"/>
    <col min="1028" max="1028" width="12.81640625" style="13" customWidth="1"/>
    <col min="1029" max="1029" width="10.453125" style="13" customWidth="1"/>
    <col min="1030" max="1030" width="9.1796875" style="13" customWidth="1"/>
    <col min="1031" max="1031" width="9.08984375" style="13" customWidth="1"/>
    <col min="1032" max="1280" width="8.90625" style="13"/>
    <col min="1281" max="1281" width="34" style="13" bestFit="1" customWidth="1"/>
    <col min="1282" max="1282" width="14.6328125" style="13" bestFit="1" customWidth="1"/>
    <col min="1283" max="1283" width="17.6328125" style="13" bestFit="1" customWidth="1"/>
    <col min="1284" max="1284" width="12.81640625" style="13" customWidth="1"/>
    <col min="1285" max="1285" width="10.453125" style="13" customWidth="1"/>
    <col min="1286" max="1286" width="9.1796875" style="13" customWidth="1"/>
    <col min="1287" max="1287" width="9.08984375" style="13" customWidth="1"/>
    <col min="1288" max="1536" width="8.90625" style="13"/>
    <col min="1537" max="1537" width="34" style="13" bestFit="1" customWidth="1"/>
    <col min="1538" max="1538" width="14.6328125" style="13" bestFit="1" customWidth="1"/>
    <col min="1539" max="1539" width="17.6328125" style="13" bestFit="1" customWidth="1"/>
    <col min="1540" max="1540" width="12.81640625" style="13" customWidth="1"/>
    <col min="1541" max="1541" width="10.453125" style="13" customWidth="1"/>
    <col min="1542" max="1542" width="9.1796875" style="13" customWidth="1"/>
    <col min="1543" max="1543" width="9.08984375" style="13" customWidth="1"/>
    <col min="1544" max="1792" width="8.90625" style="13"/>
    <col min="1793" max="1793" width="34" style="13" bestFit="1" customWidth="1"/>
    <col min="1794" max="1794" width="14.6328125" style="13" bestFit="1" customWidth="1"/>
    <col min="1795" max="1795" width="17.6328125" style="13" bestFit="1" customWidth="1"/>
    <col min="1796" max="1796" width="12.81640625" style="13" customWidth="1"/>
    <col min="1797" max="1797" width="10.453125" style="13" customWidth="1"/>
    <col min="1798" max="1798" width="9.1796875" style="13" customWidth="1"/>
    <col min="1799" max="1799" width="9.08984375" style="13" customWidth="1"/>
    <col min="1800" max="2048" width="8.90625" style="13"/>
    <col min="2049" max="2049" width="34" style="13" bestFit="1" customWidth="1"/>
    <col min="2050" max="2050" width="14.6328125" style="13" bestFit="1" customWidth="1"/>
    <col min="2051" max="2051" width="17.6328125" style="13" bestFit="1" customWidth="1"/>
    <col min="2052" max="2052" width="12.81640625" style="13" customWidth="1"/>
    <col min="2053" max="2053" width="10.453125" style="13" customWidth="1"/>
    <col min="2054" max="2054" width="9.1796875" style="13" customWidth="1"/>
    <col min="2055" max="2055" width="9.08984375" style="13" customWidth="1"/>
    <col min="2056" max="2304" width="8.90625" style="13"/>
    <col min="2305" max="2305" width="34" style="13" bestFit="1" customWidth="1"/>
    <col min="2306" max="2306" width="14.6328125" style="13" bestFit="1" customWidth="1"/>
    <col min="2307" max="2307" width="17.6328125" style="13" bestFit="1" customWidth="1"/>
    <col min="2308" max="2308" width="12.81640625" style="13" customWidth="1"/>
    <col min="2309" max="2309" width="10.453125" style="13" customWidth="1"/>
    <col min="2310" max="2310" width="9.1796875" style="13" customWidth="1"/>
    <col min="2311" max="2311" width="9.08984375" style="13" customWidth="1"/>
    <col min="2312" max="2560" width="8.90625" style="13"/>
    <col min="2561" max="2561" width="34" style="13" bestFit="1" customWidth="1"/>
    <col min="2562" max="2562" width="14.6328125" style="13" bestFit="1" customWidth="1"/>
    <col min="2563" max="2563" width="17.6328125" style="13" bestFit="1" customWidth="1"/>
    <col min="2564" max="2564" width="12.81640625" style="13" customWidth="1"/>
    <col min="2565" max="2565" width="10.453125" style="13" customWidth="1"/>
    <col min="2566" max="2566" width="9.1796875" style="13" customWidth="1"/>
    <col min="2567" max="2567" width="9.08984375" style="13" customWidth="1"/>
    <col min="2568" max="2816" width="8.90625" style="13"/>
    <col min="2817" max="2817" width="34" style="13" bestFit="1" customWidth="1"/>
    <col min="2818" max="2818" width="14.6328125" style="13" bestFit="1" customWidth="1"/>
    <col min="2819" max="2819" width="17.6328125" style="13" bestFit="1" customWidth="1"/>
    <col min="2820" max="2820" width="12.81640625" style="13" customWidth="1"/>
    <col min="2821" max="2821" width="10.453125" style="13" customWidth="1"/>
    <col min="2822" max="2822" width="9.1796875" style="13" customWidth="1"/>
    <col min="2823" max="2823" width="9.08984375" style="13" customWidth="1"/>
    <col min="2824" max="3072" width="8.90625" style="13"/>
    <col min="3073" max="3073" width="34" style="13" bestFit="1" customWidth="1"/>
    <col min="3074" max="3074" width="14.6328125" style="13" bestFit="1" customWidth="1"/>
    <col min="3075" max="3075" width="17.6328125" style="13" bestFit="1" customWidth="1"/>
    <col min="3076" max="3076" width="12.81640625" style="13" customWidth="1"/>
    <col min="3077" max="3077" width="10.453125" style="13" customWidth="1"/>
    <col min="3078" max="3078" width="9.1796875" style="13" customWidth="1"/>
    <col min="3079" max="3079" width="9.08984375" style="13" customWidth="1"/>
    <col min="3080" max="3328" width="8.90625" style="13"/>
    <col min="3329" max="3329" width="34" style="13" bestFit="1" customWidth="1"/>
    <col min="3330" max="3330" width="14.6328125" style="13" bestFit="1" customWidth="1"/>
    <col min="3331" max="3331" width="17.6328125" style="13" bestFit="1" customWidth="1"/>
    <col min="3332" max="3332" width="12.81640625" style="13" customWidth="1"/>
    <col min="3333" max="3333" width="10.453125" style="13" customWidth="1"/>
    <col min="3334" max="3334" width="9.1796875" style="13" customWidth="1"/>
    <col min="3335" max="3335" width="9.08984375" style="13" customWidth="1"/>
    <col min="3336" max="3584" width="8.90625" style="13"/>
    <col min="3585" max="3585" width="34" style="13" bestFit="1" customWidth="1"/>
    <col min="3586" max="3586" width="14.6328125" style="13" bestFit="1" customWidth="1"/>
    <col min="3587" max="3587" width="17.6328125" style="13" bestFit="1" customWidth="1"/>
    <col min="3588" max="3588" width="12.81640625" style="13" customWidth="1"/>
    <col min="3589" max="3589" width="10.453125" style="13" customWidth="1"/>
    <col min="3590" max="3590" width="9.1796875" style="13" customWidth="1"/>
    <col min="3591" max="3591" width="9.08984375" style="13" customWidth="1"/>
    <col min="3592" max="3840" width="8.90625" style="13"/>
    <col min="3841" max="3841" width="34" style="13" bestFit="1" customWidth="1"/>
    <col min="3842" max="3842" width="14.6328125" style="13" bestFit="1" customWidth="1"/>
    <col min="3843" max="3843" width="17.6328125" style="13" bestFit="1" customWidth="1"/>
    <col min="3844" max="3844" width="12.81640625" style="13" customWidth="1"/>
    <col min="3845" max="3845" width="10.453125" style="13" customWidth="1"/>
    <col min="3846" max="3846" width="9.1796875" style="13" customWidth="1"/>
    <col min="3847" max="3847" width="9.08984375" style="13" customWidth="1"/>
    <col min="3848" max="4096" width="8.90625" style="13"/>
    <col min="4097" max="4097" width="34" style="13" bestFit="1" customWidth="1"/>
    <col min="4098" max="4098" width="14.6328125" style="13" bestFit="1" customWidth="1"/>
    <col min="4099" max="4099" width="17.6328125" style="13" bestFit="1" customWidth="1"/>
    <col min="4100" max="4100" width="12.81640625" style="13" customWidth="1"/>
    <col min="4101" max="4101" width="10.453125" style="13" customWidth="1"/>
    <col min="4102" max="4102" width="9.1796875" style="13" customWidth="1"/>
    <col min="4103" max="4103" width="9.08984375" style="13" customWidth="1"/>
    <col min="4104" max="4352" width="8.90625" style="13"/>
    <col min="4353" max="4353" width="34" style="13" bestFit="1" customWidth="1"/>
    <col min="4354" max="4354" width="14.6328125" style="13" bestFit="1" customWidth="1"/>
    <col min="4355" max="4355" width="17.6328125" style="13" bestFit="1" customWidth="1"/>
    <col min="4356" max="4356" width="12.81640625" style="13" customWidth="1"/>
    <col min="4357" max="4357" width="10.453125" style="13" customWidth="1"/>
    <col min="4358" max="4358" width="9.1796875" style="13" customWidth="1"/>
    <col min="4359" max="4359" width="9.08984375" style="13" customWidth="1"/>
    <col min="4360" max="4608" width="8.90625" style="13"/>
    <col min="4609" max="4609" width="34" style="13" bestFit="1" customWidth="1"/>
    <col min="4610" max="4610" width="14.6328125" style="13" bestFit="1" customWidth="1"/>
    <col min="4611" max="4611" width="17.6328125" style="13" bestFit="1" customWidth="1"/>
    <col min="4612" max="4612" width="12.81640625" style="13" customWidth="1"/>
    <col min="4613" max="4613" width="10.453125" style="13" customWidth="1"/>
    <col min="4614" max="4614" width="9.1796875" style="13" customWidth="1"/>
    <col min="4615" max="4615" width="9.08984375" style="13" customWidth="1"/>
    <col min="4616" max="4864" width="8.90625" style="13"/>
    <col min="4865" max="4865" width="34" style="13" bestFit="1" customWidth="1"/>
    <col min="4866" max="4866" width="14.6328125" style="13" bestFit="1" customWidth="1"/>
    <col min="4867" max="4867" width="17.6328125" style="13" bestFit="1" customWidth="1"/>
    <col min="4868" max="4868" width="12.81640625" style="13" customWidth="1"/>
    <col min="4869" max="4869" width="10.453125" style="13" customWidth="1"/>
    <col min="4870" max="4870" width="9.1796875" style="13" customWidth="1"/>
    <col min="4871" max="4871" width="9.08984375" style="13" customWidth="1"/>
    <col min="4872" max="5120" width="8.90625" style="13"/>
    <col min="5121" max="5121" width="34" style="13" bestFit="1" customWidth="1"/>
    <col min="5122" max="5122" width="14.6328125" style="13" bestFit="1" customWidth="1"/>
    <col min="5123" max="5123" width="17.6328125" style="13" bestFit="1" customWidth="1"/>
    <col min="5124" max="5124" width="12.81640625" style="13" customWidth="1"/>
    <col min="5125" max="5125" width="10.453125" style="13" customWidth="1"/>
    <col min="5126" max="5126" width="9.1796875" style="13" customWidth="1"/>
    <col min="5127" max="5127" width="9.08984375" style="13" customWidth="1"/>
    <col min="5128" max="5376" width="8.90625" style="13"/>
    <col min="5377" max="5377" width="34" style="13" bestFit="1" customWidth="1"/>
    <col min="5378" max="5378" width="14.6328125" style="13" bestFit="1" customWidth="1"/>
    <col min="5379" max="5379" width="17.6328125" style="13" bestFit="1" customWidth="1"/>
    <col min="5380" max="5380" width="12.81640625" style="13" customWidth="1"/>
    <col min="5381" max="5381" width="10.453125" style="13" customWidth="1"/>
    <col min="5382" max="5382" width="9.1796875" style="13" customWidth="1"/>
    <col min="5383" max="5383" width="9.08984375" style="13" customWidth="1"/>
    <col min="5384" max="5632" width="8.90625" style="13"/>
    <col min="5633" max="5633" width="34" style="13" bestFit="1" customWidth="1"/>
    <col min="5634" max="5634" width="14.6328125" style="13" bestFit="1" customWidth="1"/>
    <col min="5635" max="5635" width="17.6328125" style="13" bestFit="1" customWidth="1"/>
    <col min="5636" max="5636" width="12.81640625" style="13" customWidth="1"/>
    <col min="5637" max="5637" width="10.453125" style="13" customWidth="1"/>
    <col min="5638" max="5638" width="9.1796875" style="13" customWidth="1"/>
    <col min="5639" max="5639" width="9.08984375" style="13" customWidth="1"/>
    <col min="5640" max="5888" width="8.90625" style="13"/>
    <col min="5889" max="5889" width="34" style="13" bestFit="1" customWidth="1"/>
    <col min="5890" max="5890" width="14.6328125" style="13" bestFit="1" customWidth="1"/>
    <col min="5891" max="5891" width="17.6328125" style="13" bestFit="1" customWidth="1"/>
    <col min="5892" max="5892" width="12.81640625" style="13" customWidth="1"/>
    <col min="5893" max="5893" width="10.453125" style="13" customWidth="1"/>
    <col min="5894" max="5894" width="9.1796875" style="13" customWidth="1"/>
    <col min="5895" max="5895" width="9.08984375" style="13" customWidth="1"/>
    <col min="5896" max="6144" width="8.90625" style="13"/>
    <col min="6145" max="6145" width="34" style="13" bestFit="1" customWidth="1"/>
    <col min="6146" max="6146" width="14.6328125" style="13" bestFit="1" customWidth="1"/>
    <col min="6147" max="6147" width="17.6328125" style="13" bestFit="1" customWidth="1"/>
    <col min="6148" max="6148" width="12.81640625" style="13" customWidth="1"/>
    <col min="6149" max="6149" width="10.453125" style="13" customWidth="1"/>
    <col min="6150" max="6150" width="9.1796875" style="13" customWidth="1"/>
    <col min="6151" max="6151" width="9.08984375" style="13" customWidth="1"/>
    <col min="6152" max="6400" width="8.90625" style="13"/>
    <col min="6401" max="6401" width="34" style="13" bestFit="1" customWidth="1"/>
    <col min="6402" max="6402" width="14.6328125" style="13" bestFit="1" customWidth="1"/>
    <col min="6403" max="6403" width="17.6328125" style="13" bestFit="1" customWidth="1"/>
    <col min="6404" max="6404" width="12.81640625" style="13" customWidth="1"/>
    <col min="6405" max="6405" width="10.453125" style="13" customWidth="1"/>
    <col min="6406" max="6406" width="9.1796875" style="13" customWidth="1"/>
    <col min="6407" max="6407" width="9.08984375" style="13" customWidth="1"/>
    <col min="6408" max="6656" width="8.90625" style="13"/>
    <col min="6657" max="6657" width="34" style="13" bestFit="1" customWidth="1"/>
    <col min="6658" max="6658" width="14.6328125" style="13" bestFit="1" customWidth="1"/>
    <col min="6659" max="6659" width="17.6328125" style="13" bestFit="1" customWidth="1"/>
    <col min="6660" max="6660" width="12.81640625" style="13" customWidth="1"/>
    <col min="6661" max="6661" width="10.453125" style="13" customWidth="1"/>
    <col min="6662" max="6662" width="9.1796875" style="13" customWidth="1"/>
    <col min="6663" max="6663" width="9.08984375" style="13" customWidth="1"/>
    <col min="6664" max="6912" width="8.90625" style="13"/>
    <col min="6913" max="6913" width="34" style="13" bestFit="1" customWidth="1"/>
    <col min="6914" max="6914" width="14.6328125" style="13" bestFit="1" customWidth="1"/>
    <col min="6915" max="6915" width="17.6328125" style="13" bestFit="1" customWidth="1"/>
    <col min="6916" max="6916" width="12.81640625" style="13" customWidth="1"/>
    <col min="6917" max="6917" width="10.453125" style="13" customWidth="1"/>
    <col min="6918" max="6918" width="9.1796875" style="13" customWidth="1"/>
    <col min="6919" max="6919" width="9.08984375" style="13" customWidth="1"/>
    <col min="6920" max="7168" width="8.90625" style="13"/>
    <col min="7169" max="7169" width="34" style="13" bestFit="1" customWidth="1"/>
    <col min="7170" max="7170" width="14.6328125" style="13" bestFit="1" customWidth="1"/>
    <col min="7171" max="7171" width="17.6328125" style="13" bestFit="1" customWidth="1"/>
    <col min="7172" max="7172" width="12.81640625" style="13" customWidth="1"/>
    <col min="7173" max="7173" width="10.453125" style="13" customWidth="1"/>
    <col min="7174" max="7174" width="9.1796875" style="13" customWidth="1"/>
    <col min="7175" max="7175" width="9.08984375" style="13" customWidth="1"/>
    <col min="7176" max="7424" width="8.90625" style="13"/>
    <col min="7425" max="7425" width="34" style="13" bestFit="1" customWidth="1"/>
    <col min="7426" max="7426" width="14.6328125" style="13" bestFit="1" customWidth="1"/>
    <col min="7427" max="7427" width="17.6328125" style="13" bestFit="1" customWidth="1"/>
    <col min="7428" max="7428" width="12.81640625" style="13" customWidth="1"/>
    <col min="7429" max="7429" width="10.453125" style="13" customWidth="1"/>
    <col min="7430" max="7430" width="9.1796875" style="13" customWidth="1"/>
    <col min="7431" max="7431" width="9.08984375" style="13" customWidth="1"/>
    <col min="7432" max="7680" width="8.90625" style="13"/>
    <col min="7681" max="7681" width="34" style="13" bestFit="1" customWidth="1"/>
    <col min="7682" max="7682" width="14.6328125" style="13" bestFit="1" customWidth="1"/>
    <col min="7683" max="7683" width="17.6328125" style="13" bestFit="1" customWidth="1"/>
    <col min="7684" max="7684" width="12.81640625" style="13" customWidth="1"/>
    <col min="7685" max="7685" width="10.453125" style="13" customWidth="1"/>
    <col min="7686" max="7686" width="9.1796875" style="13" customWidth="1"/>
    <col min="7687" max="7687" width="9.08984375" style="13" customWidth="1"/>
    <col min="7688" max="7936" width="8.90625" style="13"/>
    <col min="7937" max="7937" width="34" style="13" bestFit="1" customWidth="1"/>
    <col min="7938" max="7938" width="14.6328125" style="13" bestFit="1" customWidth="1"/>
    <col min="7939" max="7939" width="17.6328125" style="13" bestFit="1" customWidth="1"/>
    <col min="7940" max="7940" width="12.81640625" style="13" customWidth="1"/>
    <col min="7941" max="7941" width="10.453125" style="13" customWidth="1"/>
    <col min="7942" max="7942" width="9.1796875" style="13" customWidth="1"/>
    <col min="7943" max="7943" width="9.08984375" style="13" customWidth="1"/>
    <col min="7944" max="8192" width="8.90625" style="13"/>
    <col min="8193" max="8193" width="34" style="13" bestFit="1" customWidth="1"/>
    <col min="8194" max="8194" width="14.6328125" style="13" bestFit="1" customWidth="1"/>
    <col min="8195" max="8195" width="17.6328125" style="13" bestFit="1" customWidth="1"/>
    <col min="8196" max="8196" width="12.81640625" style="13" customWidth="1"/>
    <col min="8197" max="8197" width="10.453125" style="13" customWidth="1"/>
    <col min="8198" max="8198" width="9.1796875" style="13" customWidth="1"/>
    <col min="8199" max="8199" width="9.08984375" style="13" customWidth="1"/>
    <col min="8200" max="8448" width="8.90625" style="13"/>
    <col min="8449" max="8449" width="34" style="13" bestFit="1" customWidth="1"/>
    <col min="8450" max="8450" width="14.6328125" style="13" bestFit="1" customWidth="1"/>
    <col min="8451" max="8451" width="17.6328125" style="13" bestFit="1" customWidth="1"/>
    <col min="8452" max="8452" width="12.81640625" style="13" customWidth="1"/>
    <col min="8453" max="8453" width="10.453125" style="13" customWidth="1"/>
    <col min="8454" max="8454" width="9.1796875" style="13" customWidth="1"/>
    <col min="8455" max="8455" width="9.08984375" style="13" customWidth="1"/>
    <col min="8456" max="8704" width="8.90625" style="13"/>
    <col min="8705" max="8705" width="34" style="13" bestFit="1" customWidth="1"/>
    <col min="8706" max="8706" width="14.6328125" style="13" bestFit="1" customWidth="1"/>
    <col min="8707" max="8707" width="17.6328125" style="13" bestFit="1" customWidth="1"/>
    <col min="8708" max="8708" width="12.81640625" style="13" customWidth="1"/>
    <col min="8709" max="8709" width="10.453125" style="13" customWidth="1"/>
    <col min="8710" max="8710" width="9.1796875" style="13" customWidth="1"/>
    <col min="8711" max="8711" width="9.08984375" style="13" customWidth="1"/>
    <col min="8712" max="8960" width="8.90625" style="13"/>
    <col min="8961" max="8961" width="34" style="13" bestFit="1" customWidth="1"/>
    <col min="8962" max="8962" width="14.6328125" style="13" bestFit="1" customWidth="1"/>
    <col min="8963" max="8963" width="17.6328125" style="13" bestFit="1" customWidth="1"/>
    <col min="8964" max="8964" width="12.81640625" style="13" customWidth="1"/>
    <col min="8965" max="8965" width="10.453125" style="13" customWidth="1"/>
    <col min="8966" max="8966" width="9.1796875" style="13" customWidth="1"/>
    <col min="8967" max="8967" width="9.08984375" style="13" customWidth="1"/>
    <col min="8968" max="9216" width="8.90625" style="13"/>
    <col min="9217" max="9217" width="34" style="13" bestFit="1" customWidth="1"/>
    <col min="9218" max="9218" width="14.6328125" style="13" bestFit="1" customWidth="1"/>
    <col min="9219" max="9219" width="17.6328125" style="13" bestFit="1" customWidth="1"/>
    <col min="9220" max="9220" width="12.81640625" style="13" customWidth="1"/>
    <col min="9221" max="9221" width="10.453125" style="13" customWidth="1"/>
    <col min="9222" max="9222" width="9.1796875" style="13" customWidth="1"/>
    <col min="9223" max="9223" width="9.08984375" style="13" customWidth="1"/>
    <col min="9224" max="9472" width="8.90625" style="13"/>
    <col min="9473" max="9473" width="34" style="13" bestFit="1" customWidth="1"/>
    <col min="9474" max="9474" width="14.6328125" style="13" bestFit="1" customWidth="1"/>
    <col min="9475" max="9475" width="17.6328125" style="13" bestFit="1" customWidth="1"/>
    <col min="9476" max="9476" width="12.81640625" style="13" customWidth="1"/>
    <col min="9477" max="9477" width="10.453125" style="13" customWidth="1"/>
    <col min="9478" max="9478" width="9.1796875" style="13" customWidth="1"/>
    <col min="9479" max="9479" width="9.08984375" style="13" customWidth="1"/>
    <col min="9480" max="9728" width="8.90625" style="13"/>
    <col min="9729" max="9729" width="34" style="13" bestFit="1" customWidth="1"/>
    <col min="9730" max="9730" width="14.6328125" style="13" bestFit="1" customWidth="1"/>
    <col min="9731" max="9731" width="17.6328125" style="13" bestFit="1" customWidth="1"/>
    <col min="9732" max="9732" width="12.81640625" style="13" customWidth="1"/>
    <col min="9733" max="9733" width="10.453125" style="13" customWidth="1"/>
    <col min="9734" max="9734" width="9.1796875" style="13" customWidth="1"/>
    <col min="9735" max="9735" width="9.08984375" style="13" customWidth="1"/>
    <col min="9736" max="9984" width="8.90625" style="13"/>
    <col min="9985" max="9985" width="34" style="13" bestFit="1" customWidth="1"/>
    <col min="9986" max="9986" width="14.6328125" style="13" bestFit="1" customWidth="1"/>
    <col min="9987" max="9987" width="17.6328125" style="13" bestFit="1" customWidth="1"/>
    <col min="9988" max="9988" width="12.81640625" style="13" customWidth="1"/>
    <col min="9989" max="9989" width="10.453125" style="13" customWidth="1"/>
    <col min="9990" max="9990" width="9.1796875" style="13" customWidth="1"/>
    <col min="9991" max="9991" width="9.08984375" style="13" customWidth="1"/>
    <col min="9992" max="10240" width="8.90625" style="13"/>
    <col min="10241" max="10241" width="34" style="13" bestFit="1" customWidth="1"/>
    <col min="10242" max="10242" width="14.6328125" style="13" bestFit="1" customWidth="1"/>
    <col min="10243" max="10243" width="17.6328125" style="13" bestFit="1" customWidth="1"/>
    <col min="10244" max="10244" width="12.81640625" style="13" customWidth="1"/>
    <col min="10245" max="10245" width="10.453125" style="13" customWidth="1"/>
    <col min="10246" max="10246" width="9.1796875" style="13" customWidth="1"/>
    <col min="10247" max="10247" width="9.08984375" style="13" customWidth="1"/>
    <col min="10248" max="10496" width="8.90625" style="13"/>
    <col min="10497" max="10497" width="34" style="13" bestFit="1" customWidth="1"/>
    <col min="10498" max="10498" width="14.6328125" style="13" bestFit="1" customWidth="1"/>
    <col min="10499" max="10499" width="17.6328125" style="13" bestFit="1" customWidth="1"/>
    <col min="10500" max="10500" width="12.81640625" style="13" customWidth="1"/>
    <col min="10501" max="10501" width="10.453125" style="13" customWidth="1"/>
    <col min="10502" max="10502" width="9.1796875" style="13" customWidth="1"/>
    <col min="10503" max="10503" width="9.08984375" style="13" customWidth="1"/>
    <col min="10504" max="10752" width="8.90625" style="13"/>
    <col min="10753" max="10753" width="34" style="13" bestFit="1" customWidth="1"/>
    <col min="10754" max="10754" width="14.6328125" style="13" bestFit="1" customWidth="1"/>
    <col min="10755" max="10755" width="17.6328125" style="13" bestFit="1" customWidth="1"/>
    <col min="10756" max="10756" width="12.81640625" style="13" customWidth="1"/>
    <col min="10757" max="10757" width="10.453125" style="13" customWidth="1"/>
    <col min="10758" max="10758" width="9.1796875" style="13" customWidth="1"/>
    <col min="10759" max="10759" width="9.08984375" style="13" customWidth="1"/>
    <col min="10760" max="11008" width="8.90625" style="13"/>
    <col min="11009" max="11009" width="34" style="13" bestFit="1" customWidth="1"/>
    <col min="11010" max="11010" width="14.6328125" style="13" bestFit="1" customWidth="1"/>
    <col min="11011" max="11011" width="17.6328125" style="13" bestFit="1" customWidth="1"/>
    <col min="11012" max="11012" width="12.81640625" style="13" customWidth="1"/>
    <col min="11013" max="11013" width="10.453125" style="13" customWidth="1"/>
    <col min="11014" max="11014" width="9.1796875" style="13" customWidth="1"/>
    <col min="11015" max="11015" width="9.08984375" style="13" customWidth="1"/>
    <col min="11016" max="11264" width="8.90625" style="13"/>
    <col min="11265" max="11265" width="34" style="13" bestFit="1" customWidth="1"/>
    <col min="11266" max="11266" width="14.6328125" style="13" bestFit="1" customWidth="1"/>
    <col min="11267" max="11267" width="17.6328125" style="13" bestFit="1" customWidth="1"/>
    <col min="11268" max="11268" width="12.81640625" style="13" customWidth="1"/>
    <col min="11269" max="11269" width="10.453125" style="13" customWidth="1"/>
    <col min="11270" max="11270" width="9.1796875" style="13" customWidth="1"/>
    <col min="11271" max="11271" width="9.08984375" style="13" customWidth="1"/>
    <col min="11272" max="11520" width="8.90625" style="13"/>
    <col min="11521" max="11521" width="34" style="13" bestFit="1" customWidth="1"/>
    <col min="11522" max="11522" width="14.6328125" style="13" bestFit="1" customWidth="1"/>
    <col min="11523" max="11523" width="17.6328125" style="13" bestFit="1" customWidth="1"/>
    <col min="11524" max="11524" width="12.81640625" style="13" customWidth="1"/>
    <col min="11525" max="11525" width="10.453125" style="13" customWidth="1"/>
    <col min="11526" max="11526" width="9.1796875" style="13" customWidth="1"/>
    <col min="11527" max="11527" width="9.08984375" style="13" customWidth="1"/>
    <col min="11528" max="11776" width="8.90625" style="13"/>
    <col min="11777" max="11777" width="34" style="13" bestFit="1" customWidth="1"/>
    <col min="11778" max="11778" width="14.6328125" style="13" bestFit="1" customWidth="1"/>
    <col min="11779" max="11779" width="17.6328125" style="13" bestFit="1" customWidth="1"/>
    <col min="11780" max="11780" width="12.81640625" style="13" customWidth="1"/>
    <col min="11781" max="11781" width="10.453125" style="13" customWidth="1"/>
    <col min="11782" max="11782" width="9.1796875" style="13" customWidth="1"/>
    <col min="11783" max="11783" width="9.08984375" style="13" customWidth="1"/>
    <col min="11784" max="12032" width="8.90625" style="13"/>
    <col min="12033" max="12033" width="34" style="13" bestFit="1" customWidth="1"/>
    <col min="12034" max="12034" width="14.6328125" style="13" bestFit="1" customWidth="1"/>
    <col min="12035" max="12035" width="17.6328125" style="13" bestFit="1" customWidth="1"/>
    <col min="12036" max="12036" width="12.81640625" style="13" customWidth="1"/>
    <col min="12037" max="12037" width="10.453125" style="13" customWidth="1"/>
    <col min="12038" max="12038" width="9.1796875" style="13" customWidth="1"/>
    <col min="12039" max="12039" width="9.08984375" style="13" customWidth="1"/>
    <col min="12040" max="12288" width="8.90625" style="13"/>
    <col min="12289" max="12289" width="34" style="13" bestFit="1" customWidth="1"/>
    <col min="12290" max="12290" width="14.6328125" style="13" bestFit="1" customWidth="1"/>
    <col min="12291" max="12291" width="17.6328125" style="13" bestFit="1" customWidth="1"/>
    <col min="12292" max="12292" width="12.81640625" style="13" customWidth="1"/>
    <col min="12293" max="12293" width="10.453125" style="13" customWidth="1"/>
    <col min="12294" max="12294" width="9.1796875" style="13" customWidth="1"/>
    <col min="12295" max="12295" width="9.08984375" style="13" customWidth="1"/>
    <col min="12296" max="12544" width="8.90625" style="13"/>
    <col min="12545" max="12545" width="34" style="13" bestFit="1" customWidth="1"/>
    <col min="12546" max="12546" width="14.6328125" style="13" bestFit="1" customWidth="1"/>
    <col min="12547" max="12547" width="17.6328125" style="13" bestFit="1" customWidth="1"/>
    <col min="12548" max="12548" width="12.81640625" style="13" customWidth="1"/>
    <col min="12549" max="12549" width="10.453125" style="13" customWidth="1"/>
    <col min="12550" max="12550" width="9.1796875" style="13" customWidth="1"/>
    <col min="12551" max="12551" width="9.08984375" style="13" customWidth="1"/>
    <col min="12552" max="12800" width="8.90625" style="13"/>
    <col min="12801" max="12801" width="34" style="13" bestFit="1" customWidth="1"/>
    <col min="12802" max="12802" width="14.6328125" style="13" bestFit="1" customWidth="1"/>
    <col min="12803" max="12803" width="17.6328125" style="13" bestFit="1" customWidth="1"/>
    <col min="12804" max="12804" width="12.81640625" style="13" customWidth="1"/>
    <col min="12805" max="12805" width="10.453125" style="13" customWidth="1"/>
    <col min="12806" max="12806" width="9.1796875" style="13" customWidth="1"/>
    <col min="12807" max="12807" width="9.08984375" style="13" customWidth="1"/>
    <col min="12808" max="13056" width="8.90625" style="13"/>
    <col min="13057" max="13057" width="34" style="13" bestFit="1" customWidth="1"/>
    <col min="13058" max="13058" width="14.6328125" style="13" bestFit="1" customWidth="1"/>
    <col min="13059" max="13059" width="17.6328125" style="13" bestFit="1" customWidth="1"/>
    <col min="13060" max="13060" width="12.81640625" style="13" customWidth="1"/>
    <col min="13061" max="13061" width="10.453125" style="13" customWidth="1"/>
    <col min="13062" max="13062" width="9.1796875" style="13" customWidth="1"/>
    <col min="13063" max="13063" width="9.08984375" style="13" customWidth="1"/>
    <col min="13064" max="13312" width="8.90625" style="13"/>
    <col min="13313" max="13313" width="34" style="13" bestFit="1" customWidth="1"/>
    <col min="13314" max="13314" width="14.6328125" style="13" bestFit="1" customWidth="1"/>
    <col min="13315" max="13315" width="17.6328125" style="13" bestFit="1" customWidth="1"/>
    <col min="13316" max="13316" width="12.81640625" style="13" customWidth="1"/>
    <col min="13317" max="13317" width="10.453125" style="13" customWidth="1"/>
    <col min="13318" max="13318" width="9.1796875" style="13" customWidth="1"/>
    <col min="13319" max="13319" width="9.08984375" style="13" customWidth="1"/>
    <col min="13320" max="13568" width="8.90625" style="13"/>
    <col min="13569" max="13569" width="34" style="13" bestFit="1" customWidth="1"/>
    <col min="13570" max="13570" width="14.6328125" style="13" bestFit="1" customWidth="1"/>
    <col min="13571" max="13571" width="17.6328125" style="13" bestFit="1" customWidth="1"/>
    <col min="13572" max="13572" width="12.81640625" style="13" customWidth="1"/>
    <col min="13573" max="13573" width="10.453125" style="13" customWidth="1"/>
    <col min="13574" max="13574" width="9.1796875" style="13" customWidth="1"/>
    <col min="13575" max="13575" width="9.08984375" style="13" customWidth="1"/>
    <col min="13576" max="13824" width="8.90625" style="13"/>
    <col min="13825" max="13825" width="34" style="13" bestFit="1" customWidth="1"/>
    <col min="13826" max="13826" width="14.6328125" style="13" bestFit="1" customWidth="1"/>
    <col min="13827" max="13827" width="17.6328125" style="13" bestFit="1" customWidth="1"/>
    <col min="13828" max="13828" width="12.81640625" style="13" customWidth="1"/>
    <col min="13829" max="13829" width="10.453125" style="13" customWidth="1"/>
    <col min="13830" max="13830" width="9.1796875" style="13" customWidth="1"/>
    <col min="13831" max="13831" width="9.08984375" style="13" customWidth="1"/>
    <col min="13832" max="14080" width="8.90625" style="13"/>
    <col min="14081" max="14081" width="34" style="13" bestFit="1" customWidth="1"/>
    <col min="14082" max="14082" width="14.6328125" style="13" bestFit="1" customWidth="1"/>
    <col min="14083" max="14083" width="17.6328125" style="13" bestFit="1" customWidth="1"/>
    <col min="14084" max="14084" width="12.81640625" style="13" customWidth="1"/>
    <col min="14085" max="14085" width="10.453125" style="13" customWidth="1"/>
    <col min="14086" max="14086" width="9.1796875" style="13" customWidth="1"/>
    <col min="14087" max="14087" width="9.08984375" style="13" customWidth="1"/>
    <col min="14088" max="14336" width="8.90625" style="13"/>
    <col min="14337" max="14337" width="34" style="13" bestFit="1" customWidth="1"/>
    <col min="14338" max="14338" width="14.6328125" style="13" bestFit="1" customWidth="1"/>
    <col min="14339" max="14339" width="17.6328125" style="13" bestFit="1" customWidth="1"/>
    <col min="14340" max="14340" width="12.81640625" style="13" customWidth="1"/>
    <col min="14341" max="14341" width="10.453125" style="13" customWidth="1"/>
    <col min="14342" max="14342" width="9.1796875" style="13" customWidth="1"/>
    <col min="14343" max="14343" width="9.08984375" style="13" customWidth="1"/>
    <col min="14344" max="14592" width="8.90625" style="13"/>
    <col min="14593" max="14593" width="34" style="13" bestFit="1" customWidth="1"/>
    <col min="14594" max="14594" width="14.6328125" style="13" bestFit="1" customWidth="1"/>
    <col min="14595" max="14595" width="17.6328125" style="13" bestFit="1" customWidth="1"/>
    <col min="14596" max="14596" width="12.81640625" style="13" customWidth="1"/>
    <col min="14597" max="14597" width="10.453125" style="13" customWidth="1"/>
    <col min="14598" max="14598" width="9.1796875" style="13" customWidth="1"/>
    <col min="14599" max="14599" width="9.08984375" style="13" customWidth="1"/>
    <col min="14600" max="14848" width="8.90625" style="13"/>
    <col min="14849" max="14849" width="34" style="13" bestFit="1" customWidth="1"/>
    <col min="14850" max="14850" width="14.6328125" style="13" bestFit="1" customWidth="1"/>
    <col min="14851" max="14851" width="17.6328125" style="13" bestFit="1" customWidth="1"/>
    <col min="14852" max="14852" width="12.81640625" style="13" customWidth="1"/>
    <col min="14853" max="14853" width="10.453125" style="13" customWidth="1"/>
    <col min="14854" max="14854" width="9.1796875" style="13" customWidth="1"/>
    <col min="14855" max="14855" width="9.08984375" style="13" customWidth="1"/>
    <col min="14856" max="15104" width="8.90625" style="13"/>
    <col min="15105" max="15105" width="34" style="13" bestFit="1" customWidth="1"/>
    <col min="15106" max="15106" width="14.6328125" style="13" bestFit="1" customWidth="1"/>
    <col min="15107" max="15107" width="17.6328125" style="13" bestFit="1" customWidth="1"/>
    <col min="15108" max="15108" width="12.81640625" style="13" customWidth="1"/>
    <col min="15109" max="15109" width="10.453125" style="13" customWidth="1"/>
    <col min="15110" max="15110" width="9.1796875" style="13" customWidth="1"/>
    <col min="15111" max="15111" width="9.08984375" style="13" customWidth="1"/>
    <col min="15112" max="15360" width="8.90625" style="13"/>
    <col min="15361" max="15361" width="34" style="13" bestFit="1" customWidth="1"/>
    <col min="15362" max="15362" width="14.6328125" style="13" bestFit="1" customWidth="1"/>
    <col min="15363" max="15363" width="17.6328125" style="13" bestFit="1" customWidth="1"/>
    <col min="15364" max="15364" width="12.81640625" style="13" customWidth="1"/>
    <col min="15365" max="15365" width="10.453125" style="13" customWidth="1"/>
    <col min="15366" max="15366" width="9.1796875" style="13" customWidth="1"/>
    <col min="15367" max="15367" width="9.08984375" style="13" customWidth="1"/>
    <col min="15368" max="15616" width="8.90625" style="13"/>
    <col min="15617" max="15617" width="34" style="13" bestFit="1" customWidth="1"/>
    <col min="15618" max="15618" width="14.6328125" style="13" bestFit="1" customWidth="1"/>
    <col min="15619" max="15619" width="17.6328125" style="13" bestFit="1" customWidth="1"/>
    <col min="15620" max="15620" width="12.81640625" style="13" customWidth="1"/>
    <col min="15621" max="15621" width="10.453125" style="13" customWidth="1"/>
    <col min="15622" max="15622" width="9.1796875" style="13" customWidth="1"/>
    <col min="15623" max="15623" width="9.08984375" style="13" customWidth="1"/>
    <col min="15624" max="15872" width="8.90625" style="13"/>
    <col min="15873" max="15873" width="34" style="13" bestFit="1" customWidth="1"/>
    <col min="15874" max="15874" width="14.6328125" style="13" bestFit="1" customWidth="1"/>
    <col min="15875" max="15875" width="17.6328125" style="13" bestFit="1" customWidth="1"/>
    <col min="15876" max="15876" width="12.81640625" style="13" customWidth="1"/>
    <col min="15877" max="15877" width="10.453125" style="13" customWidth="1"/>
    <col min="15878" max="15878" width="9.1796875" style="13" customWidth="1"/>
    <col min="15879" max="15879" width="9.08984375" style="13" customWidth="1"/>
    <col min="15880" max="16128" width="8.90625" style="13"/>
    <col min="16129" max="16129" width="34" style="13" bestFit="1" customWidth="1"/>
    <col min="16130" max="16130" width="14.6328125" style="13" bestFit="1" customWidth="1"/>
    <col min="16131" max="16131" width="17.6328125" style="13" bestFit="1" customWidth="1"/>
    <col min="16132" max="16132" width="12.81640625" style="13" customWidth="1"/>
    <col min="16133" max="16133" width="10.453125" style="13" customWidth="1"/>
    <col min="16134" max="16134" width="9.1796875" style="13" customWidth="1"/>
    <col min="16135" max="16135" width="9.08984375" style="13" customWidth="1"/>
    <col min="16136" max="16384" width="8.90625" style="13"/>
  </cols>
  <sheetData>
    <row r="1" spans="1:7" ht="17.399999999999999" x14ac:dyDescent="0.25">
      <c r="A1" s="42" t="s">
        <v>409</v>
      </c>
      <c r="B1" s="43"/>
      <c r="C1" s="44">
        <v>0.06</v>
      </c>
      <c r="D1" s="43"/>
      <c r="E1" s="43"/>
      <c r="F1" s="43"/>
      <c r="G1" s="43"/>
    </row>
    <row r="2" spans="1:7" ht="17.399999999999999" x14ac:dyDescent="0.25">
      <c r="A2" s="42" t="s">
        <v>407</v>
      </c>
      <c r="B2" s="43"/>
      <c r="C2" s="43">
        <v>120</v>
      </c>
      <c r="D2" s="43"/>
      <c r="E2" s="43"/>
      <c r="F2" s="43"/>
      <c r="G2" s="43"/>
    </row>
    <row r="3" spans="1:7" ht="27.6" customHeight="1" x14ac:dyDescent="0.25">
      <c r="A3" s="42" t="s">
        <v>406</v>
      </c>
      <c r="B3" s="43"/>
      <c r="C3" s="45">
        <v>40000</v>
      </c>
      <c r="D3" s="43"/>
      <c r="E3" s="43"/>
      <c r="F3" s="43"/>
      <c r="G3" s="43"/>
    </row>
    <row r="4" spans="1:7" ht="17.399999999999999" x14ac:dyDescent="0.25">
      <c r="A4" s="42"/>
      <c r="B4" s="198">
        <f>PMT(C1/12,C2,-C3)</f>
        <v>444.08200776659777</v>
      </c>
      <c r="C4" s="46">
        <v>120</v>
      </c>
      <c r="D4" s="46">
        <v>180</v>
      </c>
      <c r="E4" s="46">
        <v>240</v>
      </c>
      <c r="F4" s="46">
        <v>300</v>
      </c>
      <c r="G4" s="46">
        <v>360</v>
      </c>
    </row>
    <row r="5" spans="1:7" ht="17.399999999999999" x14ac:dyDescent="0.25">
      <c r="A5" s="42" t="s">
        <v>378</v>
      </c>
      <c r="B5" s="47">
        <v>0.06</v>
      </c>
      <c r="C5" s="48">
        <f t="dataTable" ref="C5:G13" dt2D="1" dtr="1" r1="C2" r2="C1"/>
        <v>444.08200776659777</v>
      </c>
      <c r="D5" s="48">
        <v>337.54273121938053</v>
      </c>
      <c r="E5" s="48">
        <v>286.57242339126594</v>
      </c>
      <c r="F5" s="48">
        <v>257.72056059420345</v>
      </c>
      <c r="G5" s="48">
        <v>239.82021006110091</v>
      </c>
    </row>
    <row r="6" spans="1:7" ht="17.399999999999999" x14ac:dyDescent="0.25">
      <c r="A6" s="43"/>
      <c r="B6" s="47">
        <v>6.5000000000000002E-2</v>
      </c>
      <c r="C6" s="48">
        <v>454.19190888010405</v>
      </c>
      <c r="D6" s="48">
        <v>348.44294611894463</v>
      </c>
      <c r="E6" s="48">
        <v>298.22925420603883</v>
      </c>
      <c r="F6" s="48">
        <v>270.08286453905583</v>
      </c>
      <c r="G6" s="48">
        <v>252.8272093971855</v>
      </c>
    </row>
    <row r="7" spans="1:7" ht="17.399999999999999" x14ac:dyDescent="0.25">
      <c r="A7" s="43"/>
      <c r="B7" s="47">
        <v>7.0000000000000007E-2</v>
      </c>
      <c r="C7" s="48">
        <v>464.43391687449622</v>
      </c>
      <c r="D7" s="48">
        <v>359.53130834097078</v>
      </c>
      <c r="E7" s="48">
        <v>310.11957424754985</v>
      </c>
      <c r="F7" s="48">
        <v>282.71167891003671</v>
      </c>
      <c r="G7" s="48">
        <v>266.12099807167328</v>
      </c>
    </row>
    <row r="8" spans="1:7" ht="17.399999999999999" x14ac:dyDescent="0.25">
      <c r="A8" s="43"/>
      <c r="B8" s="47">
        <v>7.4999999999999997E-2</v>
      </c>
      <c r="C8" s="48">
        <v>474.80707654341694</v>
      </c>
      <c r="D8" s="48">
        <v>370.80494400109529</v>
      </c>
      <c r="E8" s="48">
        <v>322.23727742072288</v>
      </c>
      <c r="F8" s="48">
        <v>295.59647111898374</v>
      </c>
      <c r="G8" s="48">
        <v>279.68580342111164</v>
      </c>
    </row>
    <row r="9" spans="1:7" ht="17.399999999999999" x14ac:dyDescent="0.25">
      <c r="A9" s="43"/>
      <c r="B9" s="47">
        <v>0.08</v>
      </c>
      <c r="C9" s="48">
        <v>485.31037742142775</v>
      </c>
      <c r="D9" s="48">
        <v>382.26083373214055</v>
      </c>
      <c r="E9" s="48">
        <v>334.57602759738512</v>
      </c>
      <c r="F9" s="48">
        <v>308.72648774920123</v>
      </c>
      <c r="G9" s="48">
        <v>293.50582955175048</v>
      </c>
    </row>
    <row r="10" spans="1:7" ht="17.399999999999999" x14ac:dyDescent="0.25">
      <c r="A10" s="43"/>
      <c r="B10" s="47">
        <v>8.5000000000000006E-2</v>
      </c>
      <c r="C10" s="48">
        <v>495.94275549804451</v>
      </c>
      <c r="D10" s="48">
        <v>393.89582317023729</v>
      </c>
      <c r="E10" s="48">
        <v>347.12929334621361</v>
      </c>
      <c r="F10" s="48">
        <v>322.09083338485249</v>
      </c>
      <c r="G10" s="48">
        <v>307.56539343373345</v>
      </c>
    </row>
    <row r="11" spans="1:7" ht="17.399999999999999" x14ac:dyDescent="0.25">
      <c r="A11" s="43"/>
      <c r="B11" s="47">
        <v>0.09</v>
      </c>
      <c r="C11" s="48">
        <v>506.70309500099785</v>
      </c>
      <c r="D11" s="48">
        <v>405.70663366471399</v>
      </c>
      <c r="E11" s="48">
        <v>359.89038234006921</v>
      </c>
      <c r="F11" s="48">
        <v>335.67854545393737</v>
      </c>
      <c r="G11" s="48">
        <v>321.84904677791309</v>
      </c>
    </row>
    <row r="12" spans="1:7" ht="17.399999999999999" x14ac:dyDescent="0.25">
      <c r="A12" s="43"/>
      <c r="B12" s="47">
        <v>9.5000000000000001E-2</v>
      </c>
      <c r="C12" s="48">
        <v>517.59023024310807</v>
      </c>
      <c r="D12" s="48">
        <v>417.68987314551458</v>
      </c>
      <c r="E12" s="48">
        <v>372.85247513340721</v>
      </c>
      <c r="F12" s="48">
        <v>349.47866434522979</v>
      </c>
      <c r="G12" s="48">
        <v>336.34168287149924</v>
      </c>
    </row>
    <row r="13" spans="1:7" ht="17.399999999999999" x14ac:dyDescent="0.25">
      <c r="A13" s="43"/>
      <c r="B13" s="47">
        <v>0.1</v>
      </c>
      <c r="C13" s="48">
        <v>528.60294752704658</v>
      </c>
      <c r="D13" s="48">
        <v>429.84204708324643</v>
      </c>
      <c r="E13" s="48">
        <v>386.00865802960311</v>
      </c>
      <c r="F13" s="48">
        <v>363.48029821602421</v>
      </c>
      <c r="G13" s="48">
        <v>351.02862803551949</v>
      </c>
    </row>
    <row r="14" spans="1:7" ht="17.399999999999999" x14ac:dyDescent="0.3">
      <c r="A14" s="18"/>
      <c r="B14" s="18"/>
      <c r="C14" s="18"/>
      <c r="D14" s="18"/>
      <c r="E14" s="18"/>
      <c r="F14" s="18"/>
      <c r="G14" s="18"/>
    </row>
    <row r="15" spans="1:7" ht="32.4" x14ac:dyDescent="0.55000000000000004">
      <c r="A15" s="14"/>
      <c r="B15" s="14"/>
      <c r="C15" s="14"/>
      <c r="D15" s="14"/>
      <c r="E15" s="14"/>
      <c r="F15" s="14"/>
      <c r="G15" s="14"/>
    </row>
  </sheetData>
  <customSheetViews>
    <customSheetView guid="{BBE43EB8-AC5B-419E-90E4-72D0C525AF66}" scale="80" showGridLines="0">
      <pageMargins left="0.75" right="0.75" top="1" bottom="1" header="0.5" footer="0.5"/>
      <headerFooter alignWithMargins="0"/>
    </customSheetView>
  </customSheetViews>
  <pageMargins left="0.75" right="0.75" top="1" bottom="1" header="0.5" footer="0.5"/>
  <pageSetup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dimension ref="A1:W23"/>
  <sheetViews>
    <sheetView topLeftCell="C1" zoomScale="110" zoomScaleNormal="110" workbookViewId="0">
      <selection activeCell="G17" sqref="G17"/>
    </sheetView>
  </sheetViews>
  <sheetFormatPr defaultColWidth="6.1796875" defaultRowHeight="15" x14ac:dyDescent="0.25"/>
  <cols>
    <col min="1" max="1" width="10.1796875" style="149" customWidth="1"/>
    <col min="2" max="2" width="10.08984375" style="149" customWidth="1"/>
    <col min="3" max="3" width="8.36328125" style="149" customWidth="1"/>
    <col min="4" max="4" width="10.08984375" style="149" customWidth="1"/>
    <col min="5" max="5" width="6.81640625" style="149" customWidth="1"/>
    <col min="6" max="6" width="6.1796875" style="149"/>
    <col min="7" max="7" width="10.7265625" style="149" bestFit="1" customWidth="1"/>
    <col min="8" max="8" width="11.90625" style="149" customWidth="1"/>
    <col min="9" max="9" width="11.26953125" style="149" customWidth="1"/>
    <col min="10" max="10" width="7.81640625" style="149" bestFit="1" customWidth="1"/>
    <col min="11" max="11" width="6.1796875" style="149"/>
    <col min="12" max="12" width="9.08984375" style="149" bestFit="1" customWidth="1"/>
    <col min="13" max="13" width="6.54296875" style="149" bestFit="1" customWidth="1"/>
    <col min="14" max="14" width="7.36328125" style="149" bestFit="1" customWidth="1"/>
    <col min="15" max="15" width="6.36328125" style="149" bestFit="1" customWidth="1"/>
    <col min="16" max="21" width="6.6328125" style="149" bestFit="1" customWidth="1"/>
    <col min="22" max="22" width="7.81640625" style="149" bestFit="1" customWidth="1"/>
    <col min="23" max="23" width="6.6328125" style="149" bestFit="1" customWidth="1"/>
    <col min="24" max="16384" width="6.1796875" style="149"/>
  </cols>
  <sheetData>
    <row r="1" spans="1:23" ht="15.6" x14ac:dyDescent="0.25">
      <c r="A1" s="199" t="s">
        <v>404</v>
      </c>
      <c r="B1" s="199" t="s">
        <v>403</v>
      </c>
      <c r="C1" s="199" t="s">
        <v>402</v>
      </c>
      <c r="D1" s="199" t="s">
        <v>401</v>
      </c>
      <c r="G1" s="199" t="s">
        <v>400</v>
      </c>
      <c r="H1" s="199" t="s">
        <v>399</v>
      </c>
      <c r="I1" s="199" t="s">
        <v>398</v>
      </c>
      <c r="J1" s="151"/>
      <c r="K1" s="38"/>
      <c r="L1" s="36"/>
      <c r="O1" s="108"/>
      <c r="P1" s="108"/>
      <c r="Q1" s="108"/>
      <c r="R1" s="108"/>
      <c r="S1" s="108"/>
      <c r="T1" s="108"/>
      <c r="U1" s="108"/>
      <c r="V1" s="108"/>
      <c r="W1" s="108"/>
    </row>
    <row r="2" spans="1:23" x14ac:dyDescent="0.25">
      <c r="A2" s="200">
        <v>100</v>
      </c>
      <c r="B2" s="200">
        <v>1000</v>
      </c>
      <c r="C2" s="200">
        <v>5.5</v>
      </c>
      <c r="D2" s="200">
        <f t="array" ref="D2:D21">B2:B21*C2:C21</f>
        <v>5500</v>
      </c>
      <c r="G2" s="154" t="s">
        <v>391</v>
      </c>
      <c r="H2" s="154">
        <v>72</v>
      </c>
      <c r="I2" s="154">
        <v>52</v>
      </c>
      <c r="J2" s="151"/>
      <c r="K2" s="151"/>
      <c r="L2" s="152"/>
      <c r="O2" s="108"/>
      <c r="P2" s="108"/>
      <c r="Q2" s="108"/>
      <c r="R2" s="108"/>
      <c r="S2" s="108"/>
      <c r="T2" s="108"/>
      <c r="U2" s="108"/>
      <c r="V2" s="108"/>
      <c r="W2" s="108"/>
    </row>
    <row r="3" spans="1:23" x14ac:dyDescent="0.25">
      <c r="A3" s="200">
        <v>101</v>
      </c>
      <c r="B3" s="200">
        <v>1200</v>
      </c>
      <c r="C3" s="200">
        <v>6.75</v>
      </c>
      <c r="D3" s="200">
        <v>8100</v>
      </c>
      <c r="G3" s="154" t="s">
        <v>390</v>
      </c>
      <c r="H3" s="154">
        <v>20</v>
      </c>
      <c r="I3" s="154">
        <v>12</v>
      </c>
      <c r="J3" s="151"/>
      <c r="K3" s="151"/>
      <c r="L3" s="38"/>
      <c r="O3" s="108"/>
      <c r="P3" s="108"/>
      <c r="Q3" s="108"/>
      <c r="R3" s="108"/>
      <c r="S3" s="108"/>
      <c r="T3" s="108"/>
      <c r="U3" s="108"/>
      <c r="V3" s="108"/>
      <c r="W3" s="108"/>
    </row>
    <row r="4" spans="1:23" x14ac:dyDescent="0.25">
      <c r="A4" s="200">
        <v>102</v>
      </c>
      <c r="B4" s="200">
        <v>1300</v>
      </c>
      <c r="C4" s="200">
        <v>2</v>
      </c>
      <c r="D4" s="200">
        <v>2600</v>
      </c>
      <c r="G4" s="154" t="s">
        <v>389</v>
      </c>
      <c r="H4" s="154">
        <v>22</v>
      </c>
      <c r="I4" s="154">
        <v>42</v>
      </c>
      <c r="J4" s="151"/>
      <c r="K4" s="151"/>
      <c r="L4" s="38"/>
      <c r="O4" s="108"/>
      <c r="P4" s="108"/>
      <c r="Q4" s="108"/>
      <c r="R4" s="108"/>
      <c r="S4" s="108"/>
      <c r="T4" s="108"/>
      <c r="U4" s="108"/>
      <c r="V4" s="108"/>
      <c r="W4" s="108"/>
    </row>
    <row r="5" spans="1:23" x14ac:dyDescent="0.25">
      <c r="A5" s="200">
        <v>103</v>
      </c>
      <c r="B5" s="200">
        <v>800</v>
      </c>
      <c r="C5" s="200">
        <v>4</v>
      </c>
      <c r="D5" s="200">
        <v>3200</v>
      </c>
      <c r="G5" s="154" t="s">
        <v>388</v>
      </c>
      <c r="H5" s="154">
        <v>64</v>
      </c>
      <c r="I5" s="154">
        <v>39</v>
      </c>
      <c r="J5" s="151"/>
      <c r="K5" s="151"/>
      <c r="L5" s="38"/>
    </row>
    <row r="6" spans="1:23" x14ac:dyDescent="0.25">
      <c r="A6" s="200">
        <v>104</v>
      </c>
      <c r="B6" s="200">
        <v>1200</v>
      </c>
      <c r="C6" s="200">
        <v>5</v>
      </c>
      <c r="D6" s="200">
        <v>6000</v>
      </c>
      <c r="G6" s="154" t="s">
        <v>387</v>
      </c>
      <c r="H6" s="154">
        <v>40</v>
      </c>
      <c r="I6" s="154">
        <v>45</v>
      </c>
      <c r="J6" s="151"/>
      <c r="K6" s="151"/>
      <c r="L6" s="38"/>
    </row>
    <row r="7" spans="1:23" x14ac:dyDescent="0.25">
      <c r="A7" s="200">
        <v>105</v>
      </c>
      <c r="B7" s="200">
        <v>1800</v>
      </c>
      <c r="C7" s="200">
        <v>0.5</v>
      </c>
      <c r="D7" s="200">
        <v>900</v>
      </c>
      <c r="G7" s="154" t="s">
        <v>386</v>
      </c>
      <c r="H7" s="154">
        <v>70</v>
      </c>
      <c r="I7" s="154">
        <v>16</v>
      </c>
      <c r="J7" s="151"/>
      <c r="K7" s="151"/>
      <c r="L7" s="38"/>
    </row>
    <row r="8" spans="1:23" x14ac:dyDescent="0.25">
      <c r="A8" s="200">
        <v>106</v>
      </c>
      <c r="B8" s="200">
        <v>145</v>
      </c>
      <c r="C8" s="200">
        <v>2</v>
      </c>
      <c r="D8" s="200">
        <v>290</v>
      </c>
      <c r="G8" s="154" t="s">
        <v>385</v>
      </c>
      <c r="H8" s="154">
        <v>90</v>
      </c>
      <c r="I8" s="154">
        <v>10</v>
      </c>
      <c r="J8" s="151"/>
      <c r="K8" s="151"/>
      <c r="L8" s="38"/>
    </row>
    <row r="9" spans="1:23" x14ac:dyDescent="0.25">
      <c r="A9" s="200">
        <v>107</v>
      </c>
      <c r="B9" s="200">
        <v>1900</v>
      </c>
      <c r="C9" s="200">
        <v>3.5</v>
      </c>
      <c r="D9" s="200">
        <v>6650</v>
      </c>
      <c r="G9" s="154" t="s">
        <v>384</v>
      </c>
      <c r="H9" s="154">
        <v>30</v>
      </c>
      <c r="I9" s="154">
        <v>42</v>
      </c>
      <c r="J9" s="151"/>
      <c r="K9" s="151"/>
      <c r="L9" s="38"/>
    </row>
    <row r="10" spans="1:23" x14ac:dyDescent="0.25">
      <c r="A10" s="200">
        <v>108</v>
      </c>
      <c r="B10" s="200">
        <v>1550</v>
      </c>
      <c r="C10" s="200">
        <v>2.25</v>
      </c>
      <c r="D10" s="200">
        <v>3487.5</v>
      </c>
      <c r="G10" s="154" t="s">
        <v>383</v>
      </c>
      <c r="H10" s="154">
        <v>34</v>
      </c>
      <c r="I10" s="154">
        <v>42</v>
      </c>
      <c r="J10" s="151"/>
      <c r="K10" s="151"/>
      <c r="L10" s="38"/>
    </row>
    <row r="11" spans="1:23" ht="15.6" x14ac:dyDescent="0.25">
      <c r="A11" s="200">
        <v>109</v>
      </c>
      <c r="B11" s="200">
        <v>2000</v>
      </c>
      <c r="C11" s="200">
        <v>2</v>
      </c>
      <c r="D11" s="200">
        <v>4000</v>
      </c>
      <c r="G11" s="153" t="s">
        <v>382</v>
      </c>
      <c r="H11" s="445">
        <f>SUMPRODUCT(H2:H10,I2:I10)</f>
        <v>13912</v>
      </c>
      <c r="I11" s="446"/>
      <c r="J11" s="38"/>
      <c r="K11" s="38"/>
      <c r="L11" s="38"/>
    </row>
    <row r="12" spans="1:23" ht="15.6" x14ac:dyDescent="0.25">
      <c r="A12" s="200">
        <v>110</v>
      </c>
      <c r="B12" s="200">
        <v>2200</v>
      </c>
      <c r="C12" s="200">
        <v>3</v>
      </c>
      <c r="D12" s="200">
        <v>6600</v>
      </c>
      <c r="G12" s="316" t="s">
        <v>974</v>
      </c>
      <c r="H12" s="448" t="s">
        <v>975</v>
      </c>
      <c r="I12" s="448"/>
      <c r="J12" s="448"/>
      <c r="K12" s="38"/>
      <c r="L12" s="38"/>
      <c r="M12" s="148"/>
    </row>
    <row r="13" spans="1:23" ht="15.6" x14ac:dyDescent="0.25">
      <c r="A13" s="200">
        <v>111</v>
      </c>
      <c r="B13" s="200">
        <v>2400</v>
      </c>
      <c r="C13" s="200">
        <v>4</v>
      </c>
      <c r="D13" s="200">
        <v>9600</v>
      </c>
      <c r="M13" s="148"/>
    </row>
    <row r="14" spans="1:23" ht="15.6" x14ac:dyDescent="0.25">
      <c r="A14" s="200">
        <v>112</v>
      </c>
      <c r="B14" s="200">
        <v>2600</v>
      </c>
      <c r="C14" s="200">
        <v>5</v>
      </c>
      <c r="D14" s="200">
        <v>13000</v>
      </c>
      <c r="M14" s="148"/>
    </row>
    <row r="15" spans="1:23" ht="15.6" x14ac:dyDescent="0.25">
      <c r="A15" s="200">
        <v>113</v>
      </c>
      <c r="B15" s="200">
        <v>2800</v>
      </c>
      <c r="C15" s="200">
        <v>6</v>
      </c>
      <c r="D15" s="200">
        <v>16800</v>
      </c>
      <c r="M15" s="148"/>
    </row>
    <row r="16" spans="1:23" ht="15.6" x14ac:dyDescent="0.25">
      <c r="A16" s="200">
        <v>114</v>
      </c>
      <c r="B16" s="200">
        <v>3000</v>
      </c>
      <c r="C16" s="200">
        <v>7</v>
      </c>
      <c r="D16" s="200">
        <v>21000</v>
      </c>
      <c r="L16" s="36"/>
      <c r="M16" s="38"/>
      <c r="N16" s="38"/>
      <c r="O16" s="38"/>
      <c r="P16" s="38"/>
      <c r="Q16" s="38"/>
      <c r="R16" s="38"/>
      <c r="S16" s="38"/>
      <c r="T16" s="38"/>
      <c r="U16" s="38"/>
    </row>
    <row r="17" spans="1:21" ht="15.6" x14ac:dyDescent="0.25">
      <c r="A17" s="200">
        <v>115</v>
      </c>
      <c r="B17" s="200">
        <v>3200</v>
      </c>
      <c r="C17" s="200">
        <v>8</v>
      </c>
      <c r="D17" s="200">
        <v>25600</v>
      </c>
      <c r="L17" s="36"/>
      <c r="M17" s="38"/>
      <c r="N17" s="38"/>
      <c r="O17" s="38"/>
      <c r="P17" s="38"/>
      <c r="Q17" s="38"/>
      <c r="R17" s="38"/>
      <c r="S17" s="38"/>
      <c r="T17" s="38"/>
      <c r="U17" s="38"/>
    </row>
    <row r="18" spans="1:21" ht="15.6" x14ac:dyDescent="0.25">
      <c r="A18" s="200">
        <v>116</v>
      </c>
      <c r="B18" s="200">
        <v>3400</v>
      </c>
      <c r="C18" s="200">
        <v>9</v>
      </c>
      <c r="D18" s="200">
        <v>30600</v>
      </c>
      <c r="L18" s="36"/>
      <c r="M18" s="150"/>
      <c r="N18" s="150"/>
      <c r="O18" s="150"/>
      <c r="P18" s="150"/>
      <c r="Q18" s="150"/>
      <c r="R18" s="150"/>
      <c r="S18" s="150"/>
      <c r="T18" s="150"/>
      <c r="U18" s="150"/>
    </row>
    <row r="19" spans="1:21" ht="15.6" x14ac:dyDescent="0.25">
      <c r="A19" s="200">
        <v>117</v>
      </c>
      <c r="B19" s="200">
        <v>3600</v>
      </c>
      <c r="C19" s="200">
        <v>10</v>
      </c>
      <c r="D19" s="200">
        <v>36000</v>
      </c>
      <c r="L19" s="36"/>
      <c r="M19" s="151"/>
      <c r="N19" s="151"/>
      <c r="O19" s="151"/>
      <c r="P19" s="151"/>
      <c r="Q19" s="151"/>
      <c r="R19" s="151"/>
      <c r="S19" s="151"/>
      <c r="T19" s="151"/>
      <c r="U19" s="151"/>
    </row>
    <row r="20" spans="1:21" x14ac:dyDescent="0.25">
      <c r="A20" s="200">
        <v>118</v>
      </c>
      <c r="B20" s="200">
        <v>3800</v>
      </c>
      <c r="C20" s="200">
        <v>11</v>
      </c>
      <c r="D20" s="200">
        <v>41800</v>
      </c>
    </row>
    <row r="21" spans="1:21" x14ac:dyDescent="0.25">
      <c r="A21" s="200">
        <v>119</v>
      </c>
      <c r="B21" s="200">
        <v>4000</v>
      </c>
      <c r="C21" s="200">
        <v>12</v>
      </c>
      <c r="D21" s="200">
        <v>48000</v>
      </c>
    </row>
    <row r="23" spans="1:21" ht="67.2" customHeight="1" x14ac:dyDescent="0.25">
      <c r="D23" s="447" t="s">
        <v>973</v>
      </c>
      <c r="E23" s="447"/>
      <c r="F23" s="447"/>
      <c r="G23" s="447"/>
      <c r="H23" s="447"/>
    </row>
  </sheetData>
  <customSheetViews>
    <customSheetView guid="{BBE43EB8-AC5B-419E-90E4-72D0C525AF66}" topLeftCell="C1">
      <pageMargins left="0.7" right="0.7" top="0.75" bottom="0.75" header="0.3" footer="0.3"/>
      <pageSetup orientation="portrait" horizontalDpi="200" verticalDpi="200" r:id="rId1"/>
    </customSheetView>
  </customSheetViews>
  <mergeCells count="3">
    <mergeCell ref="H11:I11"/>
    <mergeCell ref="D23:H23"/>
    <mergeCell ref="H12:J12"/>
  </mergeCells>
  <pageMargins left="0.7" right="0.7" top="0.75" bottom="0.75" header="0.3" footer="0.3"/>
  <pageSetup orientation="portrait" horizontalDpi="200" verticalDpi="2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4756D-E1B3-4500-8B30-FF82F56AFE30}">
  <sheetPr codeName="Sheet33"/>
  <dimension ref="A1:P34"/>
  <sheetViews>
    <sheetView topLeftCell="K13" zoomScale="110" zoomScaleNormal="110" workbookViewId="0">
      <selection activeCell="O32" sqref="O32"/>
    </sheetView>
  </sheetViews>
  <sheetFormatPr defaultColWidth="10.90625" defaultRowHeight="15" x14ac:dyDescent="0.25"/>
  <cols>
    <col min="1" max="1" width="12.6328125" style="105" bestFit="1" customWidth="1"/>
    <col min="2" max="2" width="13.08984375" style="105" bestFit="1" customWidth="1"/>
    <col min="3" max="3" width="9.1796875" style="108" bestFit="1" customWidth="1"/>
    <col min="4" max="4" width="10.453125" style="108" bestFit="1" customWidth="1"/>
    <col min="5" max="5" width="9.36328125" style="105" customWidth="1"/>
    <col min="6" max="6" width="9.7265625" style="105" customWidth="1"/>
    <col min="7" max="7" width="15.90625" style="105" bestFit="1" customWidth="1"/>
    <col min="8" max="8" width="12.81640625" style="105" customWidth="1"/>
    <col min="9" max="9" width="9.36328125" style="105" customWidth="1"/>
    <col min="10" max="10" width="9.6328125" style="108" bestFit="1" customWidth="1"/>
    <col min="11" max="11" width="10.90625" style="105"/>
    <col min="12" max="12" width="14.453125" style="105" customWidth="1"/>
    <col min="13" max="13" width="19.26953125" style="105" customWidth="1"/>
    <col min="14" max="14" width="17.90625" style="105" customWidth="1"/>
    <col min="15" max="15" width="13.26953125" style="105" bestFit="1" customWidth="1"/>
    <col min="16" max="16384" width="10.90625" style="105"/>
  </cols>
  <sheetData>
    <row r="1" spans="1:16" s="159" customFormat="1" ht="15.6" x14ac:dyDescent="0.25">
      <c r="A1" s="157" t="s">
        <v>502</v>
      </c>
      <c r="B1" s="157" t="s">
        <v>501</v>
      </c>
      <c r="C1" s="158" t="s">
        <v>500</v>
      </c>
      <c r="D1" s="158" t="s">
        <v>499</v>
      </c>
      <c r="E1" s="157" t="s">
        <v>417</v>
      </c>
      <c r="F1" s="157" t="s">
        <v>414</v>
      </c>
      <c r="G1" s="157" t="s">
        <v>498</v>
      </c>
      <c r="H1" s="157" t="s">
        <v>497</v>
      </c>
      <c r="I1" s="157" t="s">
        <v>415</v>
      </c>
      <c r="J1" s="158" t="s">
        <v>399</v>
      </c>
      <c r="L1" s="157" t="s">
        <v>501</v>
      </c>
      <c r="M1" s="158" t="s">
        <v>401</v>
      </c>
    </row>
    <row r="2" spans="1:16" x14ac:dyDescent="0.25">
      <c r="A2" s="156" t="s">
        <v>442</v>
      </c>
      <c r="B2" s="156" t="s">
        <v>441</v>
      </c>
      <c r="C2" s="154">
        <v>50</v>
      </c>
      <c r="D2" s="154">
        <v>55</v>
      </c>
      <c r="E2" s="156" t="s">
        <v>397</v>
      </c>
      <c r="F2" s="156" t="s">
        <v>428</v>
      </c>
      <c r="G2" s="156" t="s">
        <v>494</v>
      </c>
      <c r="H2" s="156" t="s">
        <v>493</v>
      </c>
      <c r="I2" s="156" t="s">
        <v>492</v>
      </c>
      <c r="J2" s="154">
        <v>2000</v>
      </c>
      <c r="L2" s="156" t="s">
        <v>441</v>
      </c>
      <c r="M2" s="155">
        <f>SUMPRODUCT(--(Product_Name=$L2),Price_Unit,Units_Sold)</f>
        <v>326650</v>
      </c>
    </row>
    <row r="3" spans="1:16" x14ac:dyDescent="0.25">
      <c r="A3" s="156" t="s">
        <v>440</v>
      </c>
      <c r="B3" s="156" t="s">
        <v>439</v>
      </c>
      <c r="C3" s="154">
        <v>15</v>
      </c>
      <c r="D3" s="154">
        <v>20</v>
      </c>
      <c r="E3" s="156" t="s">
        <v>397</v>
      </c>
      <c r="F3" s="156" t="s">
        <v>422</v>
      </c>
      <c r="G3" s="156" t="s">
        <v>471</v>
      </c>
      <c r="H3" s="156" t="s">
        <v>491</v>
      </c>
      <c r="I3" s="156" t="s">
        <v>469</v>
      </c>
      <c r="J3" s="154">
        <v>1000</v>
      </c>
      <c r="L3" s="156" t="s">
        <v>439</v>
      </c>
      <c r="M3" s="155">
        <f>SUMPRODUCT(--(Product_Name=$L3),Price_Unit,Units_Sold)</f>
        <v>83280</v>
      </c>
    </row>
    <row r="4" spans="1:16" x14ac:dyDescent="0.25">
      <c r="A4" s="156" t="s">
        <v>435</v>
      </c>
      <c r="B4" s="156" t="s">
        <v>434</v>
      </c>
      <c r="C4" s="154">
        <v>12</v>
      </c>
      <c r="D4" s="154">
        <v>15</v>
      </c>
      <c r="E4" s="156" t="s">
        <v>397</v>
      </c>
      <c r="F4" s="156" t="s">
        <v>411</v>
      </c>
      <c r="G4" s="156" t="s">
        <v>490</v>
      </c>
      <c r="H4" s="156" t="s">
        <v>489</v>
      </c>
      <c r="I4" s="156" t="s">
        <v>488</v>
      </c>
      <c r="J4" s="154">
        <v>1200</v>
      </c>
      <c r="L4" s="156" t="s">
        <v>434</v>
      </c>
      <c r="M4" s="155">
        <f>SUMPRODUCT(--(Product_Name=$L4),Price_Unit,Units_Sold)</f>
        <v>162228</v>
      </c>
    </row>
    <row r="5" spans="1:16" x14ac:dyDescent="0.25">
      <c r="A5" s="156" t="s">
        <v>430</v>
      </c>
      <c r="B5" s="156" t="s">
        <v>429</v>
      </c>
      <c r="C5" s="154">
        <v>150</v>
      </c>
      <c r="D5" s="154">
        <v>160</v>
      </c>
      <c r="E5" s="156" t="s">
        <v>397</v>
      </c>
      <c r="F5" s="156" t="s">
        <v>410</v>
      </c>
      <c r="G5" s="156" t="s">
        <v>487</v>
      </c>
      <c r="H5" s="156" t="s">
        <v>486</v>
      </c>
      <c r="I5" s="156" t="s">
        <v>485</v>
      </c>
      <c r="J5" s="154">
        <v>1250</v>
      </c>
      <c r="L5" s="156" t="s">
        <v>429</v>
      </c>
      <c r="M5" s="155">
        <f>SUMPRODUCT(--(Product_Name=$L5),Price_Unit,Units_Sold)</f>
        <v>854550</v>
      </c>
    </row>
    <row r="6" spans="1:16" x14ac:dyDescent="0.25">
      <c r="A6" s="156" t="s">
        <v>424</v>
      </c>
      <c r="B6" s="156" t="s">
        <v>423</v>
      </c>
      <c r="C6" s="154">
        <v>50</v>
      </c>
      <c r="D6" s="154">
        <v>60</v>
      </c>
      <c r="E6" s="156" t="s">
        <v>397</v>
      </c>
      <c r="F6" s="156" t="s">
        <v>428</v>
      </c>
      <c r="G6" s="156" t="s">
        <v>484</v>
      </c>
      <c r="H6" s="156" t="s">
        <v>483</v>
      </c>
      <c r="I6" s="156" t="s">
        <v>482</v>
      </c>
      <c r="J6" s="154">
        <v>1300</v>
      </c>
      <c r="L6" s="156" t="s">
        <v>423</v>
      </c>
      <c r="M6" s="317">
        <f>SUMPRODUCT(--(Product_Name=$L6),Price_Unit,Units_Sold)</f>
        <v>300900</v>
      </c>
    </row>
    <row r="7" spans="1:16" ht="17.399999999999999" x14ac:dyDescent="0.25">
      <c r="A7" s="156" t="s">
        <v>442</v>
      </c>
      <c r="B7" s="156" t="s">
        <v>441</v>
      </c>
      <c r="C7" s="154">
        <v>50</v>
      </c>
      <c r="D7" s="154">
        <v>55</v>
      </c>
      <c r="E7" s="156" t="s">
        <v>396</v>
      </c>
      <c r="F7" s="156" t="s">
        <v>422</v>
      </c>
      <c r="G7" s="156" t="s">
        <v>421</v>
      </c>
      <c r="H7" s="156" t="s">
        <v>481</v>
      </c>
      <c r="I7" s="156" t="s">
        <v>419</v>
      </c>
      <c r="J7" s="154">
        <v>1350</v>
      </c>
      <c r="L7" s="320" t="s">
        <v>974</v>
      </c>
      <c r="M7" s="319" t="s">
        <v>978</v>
      </c>
      <c r="N7" s="319"/>
      <c r="O7" s="319"/>
      <c r="P7" s="319"/>
    </row>
    <row r="8" spans="1:16" ht="17.399999999999999" x14ac:dyDescent="0.25">
      <c r="A8" s="156" t="s">
        <v>440</v>
      </c>
      <c r="B8" s="156" t="s">
        <v>439</v>
      </c>
      <c r="C8" s="154">
        <v>15</v>
      </c>
      <c r="D8" s="154">
        <v>20</v>
      </c>
      <c r="E8" s="156" t="s">
        <v>396</v>
      </c>
      <c r="F8" s="156" t="s">
        <v>411</v>
      </c>
      <c r="G8" s="156" t="s">
        <v>438</v>
      </c>
      <c r="H8" s="156" t="s">
        <v>480</v>
      </c>
      <c r="I8" s="156" t="s">
        <v>436</v>
      </c>
      <c r="J8" s="154">
        <v>1400</v>
      </c>
      <c r="O8" s="318" t="s">
        <v>977</v>
      </c>
    </row>
    <row r="9" spans="1:16" x14ac:dyDescent="0.25">
      <c r="A9" s="156" t="s">
        <v>435</v>
      </c>
      <c r="B9" s="156" t="s">
        <v>434</v>
      </c>
      <c r="C9" s="154">
        <v>12</v>
      </c>
      <c r="D9" s="154">
        <v>15</v>
      </c>
      <c r="E9" s="156" t="s">
        <v>396</v>
      </c>
      <c r="F9" s="156" t="s">
        <v>410</v>
      </c>
      <c r="G9" s="156" t="s">
        <v>433</v>
      </c>
      <c r="H9" s="156" t="s">
        <v>479</v>
      </c>
      <c r="I9" s="156" t="s">
        <v>431</v>
      </c>
      <c r="J9" s="154">
        <v>9000</v>
      </c>
      <c r="L9" s="111" t="s">
        <v>976</v>
      </c>
      <c r="M9" s="111" t="s">
        <v>976</v>
      </c>
      <c r="N9" s="111" t="b">
        <f>L9=M9</f>
        <v>1</v>
      </c>
      <c r="O9" s="111">
        <f>--N9</f>
        <v>1</v>
      </c>
    </row>
    <row r="10" spans="1:16" x14ac:dyDescent="0.25">
      <c r="A10" s="156" t="s">
        <v>430</v>
      </c>
      <c r="B10" s="156" t="s">
        <v>429</v>
      </c>
      <c r="C10" s="154">
        <v>150</v>
      </c>
      <c r="D10" s="154">
        <v>160</v>
      </c>
      <c r="E10" s="156" t="s">
        <v>396</v>
      </c>
      <c r="F10" s="156" t="s">
        <v>428</v>
      </c>
      <c r="G10" s="156" t="s">
        <v>427</v>
      </c>
      <c r="H10" s="156" t="s">
        <v>478</v>
      </c>
      <c r="I10" s="156" t="s">
        <v>425</v>
      </c>
      <c r="J10" s="154">
        <v>800</v>
      </c>
      <c r="L10" s="111" t="s">
        <v>976</v>
      </c>
      <c r="M10" s="111" t="s">
        <v>492</v>
      </c>
      <c r="N10" s="111" t="b">
        <f>L10=M10</f>
        <v>0</v>
      </c>
      <c r="O10" s="111">
        <f>--N10</f>
        <v>0</v>
      </c>
    </row>
    <row r="11" spans="1:16" x14ac:dyDescent="0.25">
      <c r="A11" s="156" t="s">
        <v>424</v>
      </c>
      <c r="B11" s="156" t="s">
        <v>423</v>
      </c>
      <c r="C11" s="154">
        <v>50</v>
      </c>
      <c r="D11" s="154">
        <v>60</v>
      </c>
      <c r="E11" s="156" t="s">
        <v>396</v>
      </c>
      <c r="F11" s="156" t="s">
        <v>422</v>
      </c>
      <c r="G11" s="156" t="s">
        <v>421</v>
      </c>
      <c r="H11" s="156" t="s">
        <v>477</v>
      </c>
      <c r="I11" s="156" t="s">
        <v>419</v>
      </c>
      <c r="J11" s="154">
        <v>1700</v>
      </c>
    </row>
    <row r="12" spans="1:16" x14ac:dyDescent="0.25">
      <c r="A12" s="156" t="s">
        <v>442</v>
      </c>
      <c r="B12" s="156" t="s">
        <v>441</v>
      </c>
      <c r="C12" s="154">
        <v>50</v>
      </c>
      <c r="D12" s="154">
        <v>55</v>
      </c>
      <c r="E12" s="156" t="s">
        <v>395</v>
      </c>
      <c r="F12" s="156" t="s">
        <v>411</v>
      </c>
      <c r="G12" s="156" t="s">
        <v>451</v>
      </c>
      <c r="H12" s="156" t="s">
        <v>476</v>
      </c>
      <c r="I12" s="156" t="s">
        <v>449</v>
      </c>
      <c r="J12" s="154">
        <v>650</v>
      </c>
    </row>
    <row r="13" spans="1:16" ht="15.6" x14ac:dyDescent="0.25">
      <c r="A13" s="156" t="s">
        <v>440</v>
      </c>
      <c r="B13" s="156" t="s">
        <v>439</v>
      </c>
      <c r="C13" s="154">
        <v>15</v>
      </c>
      <c r="D13" s="154">
        <v>20</v>
      </c>
      <c r="E13" s="156" t="s">
        <v>395</v>
      </c>
      <c r="F13" s="156" t="s">
        <v>410</v>
      </c>
      <c r="G13" s="156" t="s">
        <v>460</v>
      </c>
      <c r="H13" s="156" t="s">
        <v>475</v>
      </c>
      <c r="I13" s="156" t="s">
        <v>458</v>
      </c>
      <c r="J13" s="154">
        <v>780</v>
      </c>
      <c r="L13" s="157" t="s">
        <v>501</v>
      </c>
      <c r="M13" s="157" t="s">
        <v>428</v>
      </c>
      <c r="N13" s="157" t="s">
        <v>422</v>
      </c>
      <c r="O13" s="157" t="s">
        <v>411</v>
      </c>
      <c r="P13" s="157" t="s">
        <v>410</v>
      </c>
    </row>
    <row r="14" spans="1:16" x14ac:dyDescent="0.25">
      <c r="A14" s="156" t="s">
        <v>435</v>
      </c>
      <c r="B14" s="156" t="s">
        <v>434</v>
      </c>
      <c r="C14" s="154">
        <v>12</v>
      </c>
      <c r="D14" s="154">
        <v>15</v>
      </c>
      <c r="E14" s="156" t="s">
        <v>395</v>
      </c>
      <c r="F14" s="156" t="s">
        <v>428</v>
      </c>
      <c r="G14" s="156" t="s">
        <v>474</v>
      </c>
      <c r="H14" s="156" t="s">
        <v>473</v>
      </c>
      <c r="I14" s="156" t="s">
        <v>472</v>
      </c>
      <c r="J14" s="154">
        <v>820</v>
      </c>
      <c r="L14" s="156" t="s">
        <v>441</v>
      </c>
      <c r="M14" s="111">
        <f t="shared" ref="M14:P18" si="0">SUMPRODUCT(--(Product_Name=$L14), --(Region_product_costing=M$13), Price_Unit, Units_Sold)</f>
        <v>132850</v>
      </c>
      <c r="N14" s="111">
        <f t="shared" si="0"/>
        <v>112300</v>
      </c>
      <c r="O14" s="111">
        <f t="shared" si="0"/>
        <v>32500</v>
      </c>
      <c r="P14" s="111">
        <f t="shared" si="0"/>
        <v>49000</v>
      </c>
    </row>
    <row r="15" spans="1:16" x14ac:dyDescent="0.25">
      <c r="A15" s="156" t="s">
        <v>430</v>
      </c>
      <c r="B15" s="156" t="s">
        <v>429</v>
      </c>
      <c r="C15" s="154">
        <v>150</v>
      </c>
      <c r="D15" s="154">
        <v>160</v>
      </c>
      <c r="E15" s="156" t="s">
        <v>395</v>
      </c>
      <c r="F15" s="156" t="s">
        <v>422</v>
      </c>
      <c r="G15" s="156" t="s">
        <v>471</v>
      </c>
      <c r="H15" s="156" t="s">
        <v>470</v>
      </c>
      <c r="I15" s="156" t="s">
        <v>469</v>
      </c>
      <c r="J15" s="154">
        <v>780</v>
      </c>
      <c r="L15" s="156" t="s">
        <v>439</v>
      </c>
      <c r="M15" s="111">
        <f t="shared" si="0"/>
        <v>13500</v>
      </c>
      <c r="N15" s="111">
        <f t="shared" si="0"/>
        <v>28425</v>
      </c>
      <c r="O15" s="111">
        <f t="shared" si="0"/>
        <v>29655</v>
      </c>
      <c r="P15" s="111">
        <f t="shared" si="0"/>
        <v>11700</v>
      </c>
    </row>
    <row r="16" spans="1:16" x14ac:dyDescent="0.25">
      <c r="A16" s="156" t="s">
        <v>424</v>
      </c>
      <c r="B16" s="156" t="s">
        <v>423</v>
      </c>
      <c r="C16" s="154">
        <v>50</v>
      </c>
      <c r="D16" s="154">
        <v>60</v>
      </c>
      <c r="E16" s="156" t="s">
        <v>395</v>
      </c>
      <c r="F16" s="156" t="s">
        <v>411</v>
      </c>
      <c r="G16" s="156" t="s">
        <v>468</v>
      </c>
      <c r="H16" s="156" t="s">
        <v>467</v>
      </c>
      <c r="I16" s="156" t="s">
        <v>466</v>
      </c>
      <c r="J16" s="154">
        <v>850</v>
      </c>
      <c r="L16" s="156" t="s">
        <v>434</v>
      </c>
      <c r="M16" s="111">
        <f t="shared" si="0"/>
        <v>9840</v>
      </c>
      <c r="N16" s="111">
        <f t="shared" si="0"/>
        <v>7872</v>
      </c>
      <c r="O16" s="111">
        <f t="shared" si="0"/>
        <v>24672</v>
      </c>
      <c r="P16" s="111">
        <f t="shared" si="0"/>
        <v>119844</v>
      </c>
    </row>
    <row r="17" spans="1:16" x14ac:dyDescent="0.25">
      <c r="A17" s="156" t="s">
        <v>442</v>
      </c>
      <c r="B17" s="156" t="s">
        <v>441</v>
      </c>
      <c r="C17" s="154">
        <v>50</v>
      </c>
      <c r="D17" s="154">
        <v>55</v>
      </c>
      <c r="E17" s="156" t="s">
        <v>394</v>
      </c>
      <c r="F17" s="156" t="s">
        <v>410</v>
      </c>
      <c r="G17" s="156" t="s">
        <v>448</v>
      </c>
      <c r="H17" s="156" t="s">
        <v>465</v>
      </c>
      <c r="I17" s="156" t="s">
        <v>446</v>
      </c>
      <c r="J17" s="154">
        <v>980</v>
      </c>
      <c r="L17" s="156" t="s">
        <v>429</v>
      </c>
      <c r="M17" s="111">
        <f t="shared" si="0"/>
        <v>254550</v>
      </c>
      <c r="N17" s="111">
        <f t="shared" si="0"/>
        <v>117000</v>
      </c>
      <c r="O17" s="111">
        <f t="shared" si="0"/>
        <v>147750</v>
      </c>
      <c r="P17" s="111">
        <f t="shared" si="0"/>
        <v>335250</v>
      </c>
    </row>
    <row r="18" spans="1:16" x14ac:dyDescent="0.25">
      <c r="A18" s="156" t="s">
        <v>440</v>
      </c>
      <c r="B18" s="156" t="s">
        <v>439</v>
      </c>
      <c r="C18" s="154">
        <v>15</v>
      </c>
      <c r="D18" s="154">
        <v>20</v>
      </c>
      <c r="E18" s="156" t="s">
        <v>394</v>
      </c>
      <c r="F18" s="156" t="s">
        <v>428</v>
      </c>
      <c r="G18" s="156" t="s">
        <v>457</v>
      </c>
      <c r="H18" s="156" t="s">
        <v>456</v>
      </c>
      <c r="I18" s="156" t="s">
        <v>464</v>
      </c>
      <c r="J18" s="154">
        <v>900</v>
      </c>
      <c r="L18" s="156" t="s">
        <v>423</v>
      </c>
      <c r="M18" s="111">
        <f t="shared" si="0"/>
        <v>97900</v>
      </c>
      <c r="N18" s="111">
        <f t="shared" si="0"/>
        <v>127600</v>
      </c>
      <c r="O18" s="111">
        <f t="shared" si="0"/>
        <v>42500</v>
      </c>
      <c r="P18" s="111">
        <f t="shared" si="0"/>
        <v>32900</v>
      </c>
    </row>
    <row r="19" spans="1:16" x14ac:dyDescent="0.25">
      <c r="A19" s="156" t="s">
        <v>435</v>
      </c>
      <c r="B19" s="156" t="s">
        <v>434</v>
      </c>
      <c r="C19" s="154">
        <v>12</v>
      </c>
      <c r="D19" s="154">
        <v>15</v>
      </c>
      <c r="E19" s="156" t="s">
        <v>394</v>
      </c>
      <c r="F19" s="156" t="s">
        <v>422</v>
      </c>
      <c r="G19" s="156" t="s">
        <v>454</v>
      </c>
      <c r="H19" s="156" t="s">
        <v>463</v>
      </c>
      <c r="I19" s="156" t="s">
        <v>452</v>
      </c>
      <c r="J19" s="154">
        <v>656</v>
      </c>
    </row>
    <row r="20" spans="1:16" x14ac:dyDescent="0.25">
      <c r="A20" s="156" t="s">
        <v>430</v>
      </c>
      <c r="B20" s="156" t="s">
        <v>429</v>
      </c>
      <c r="C20" s="154">
        <v>150</v>
      </c>
      <c r="D20" s="154">
        <v>160</v>
      </c>
      <c r="E20" s="156" t="s">
        <v>394</v>
      </c>
      <c r="F20" s="156" t="s">
        <v>411</v>
      </c>
      <c r="G20" s="156" t="s">
        <v>462</v>
      </c>
      <c r="H20" s="156" t="s">
        <v>462</v>
      </c>
      <c r="I20" s="156" t="s">
        <v>461</v>
      </c>
      <c r="J20" s="154">
        <v>985</v>
      </c>
    </row>
    <row r="21" spans="1:16" ht="15.6" x14ac:dyDescent="0.25">
      <c r="A21" s="156" t="s">
        <v>424</v>
      </c>
      <c r="B21" s="156" t="s">
        <v>423</v>
      </c>
      <c r="C21" s="154">
        <v>50</v>
      </c>
      <c r="D21" s="154">
        <v>60</v>
      </c>
      <c r="E21" s="156" t="s">
        <v>394</v>
      </c>
      <c r="F21" s="156" t="s">
        <v>410</v>
      </c>
      <c r="G21" s="156" t="s">
        <v>460</v>
      </c>
      <c r="H21" s="156" t="s">
        <v>459</v>
      </c>
      <c r="I21" s="156" t="s">
        <v>458</v>
      </c>
      <c r="J21" s="154">
        <v>658</v>
      </c>
      <c r="L21" s="157" t="s">
        <v>501</v>
      </c>
      <c r="M21" s="157" t="s">
        <v>428</v>
      </c>
    </row>
    <row r="22" spans="1:16" x14ac:dyDescent="0.25">
      <c r="A22" s="156" t="s">
        <v>442</v>
      </c>
      <c r="B22" s="156" t="s">
        <v>441</v>
      </c>
      <c r="C22" s="154">
        <v>50</v>
      </c>
      <c r="D22" s="154">
        <v>55</v>
      </c>
      <c r="E22" s="156" t="s">
        <v>392</v>
      </c>
      <c r="F22" s="156" t="s">
        <v>428</v>
      </c>
      <c r="G22" s="156" t="s">
        <v>457</v>
      </c>
      <c r="H22" s="156" t="s">
        <v>456</v>
      </c>
      <c r="I22" s="156" t="s">
        <v>455</v>
      </c>
      <c r="J22" s="154">
        <v>657</v>
      </c>
      <c r="L22" s="156" t="s">
        <v>441</v>
      </c>
      <c r="M22" s="111">
        <f>SUMPRODUCT(--(Product_Name=$L22), --(Region_product_costing=$M$21), Price_Unit, Units_Sold)</f>
        <v>132850</v>
      </c>
    </row>
    <row r="23" spans="1:16" x14ac:dyDescent="0.25">
      <c r="A23" s="156" t="s">
        <v>440</v>
      </c>
      <c r="B23" s="156" t="s">
        <v>439</v>
      </c>
      <c r="C23" s="154">
        <v>15</v>
      </c>
      <c r="D23" s="154">
        <v>20</v>
      </c>
      <c r="E23" s="156" t="s">
        <v>392</v>
      </c>
      <c r="F23" s="156" t="s">
        <v>422</v>
      </c>
      <c r="G23" s="156" t="s">
        <v>454</v>
      </c>
      <c r="H23" s="156" t="s">
        <v>453</v>
      </c>
      <c r="I23" s="156" t="s">
        <v>452</v>
      </c>
      <c r="J23" s="154">
        <v>895</v>
      </c>
      <c r="L23" s="156" t="s">
        <v>439</v>
      </c>
      <c r="M23" s="111">
        <f>SUMPRODUCT(--(Product_Name=$L23), --(Region_product_costing=$M$21), Price_Unit, Units_Sold)</f>
        <v>13500</v>
      </c>
    </row>
    <row r="24" spans="1:16" x14ac:dyDescent="0.25">
      <c r="A24" s="156" t="s">
        <v>435</v>
      </c>
      <c r="B24" s="156" t="s">
        <v>434</v>
      </c>
      <c r="C24" s="154">
        <v>12</v>
      </c>
      <c r="D24" s="154">
        <v>15</v>
      </c>
      <c r="E24" s="156" t="s">
        <v>392</v>
      </c>
      <c r="F24" s="156" t="s">
        <v>411</v>
      </c>
      <c r="G24" s="156" t="s">
        <v>451</v>
      </c>
      <c r="H24" s="156" t="s">
        <v>450</v>
      </c>
      <c r="I24" s="156" t="s">
        <v>449</v>
      </c>
      <c r="J24" s="154">
        <v>856</v>
      </c>
      <c r="L24" s="156" t="s">
        <v>434</v>
      </c>
      <c r="M24" s="111">
        <f>SUMPRODUCT(--(Product_Name=$L24), --(Region_product_costing=$M$21), Price_Unit, Units_Sold)</f>
        <v>9840</v>
      </c>
    </row>
    <row r="25" spans="1:16" x14ac:dyDescent="0.25">
      <c r="A25" s="156" t="s">
        <v>430</v>
      </c>
      <c r="B25" s="156" t="s">
        <v>429</v>
      </c>
      <c r="C25" s="154">
        <v>150</v>
      </c>
      <c r="D25" s="154">
        <v>160</v>
      </c>
      <c r="E25" s="156" t="s">
        <v>392</v>
      </c>
      <c r="F25" s="156" t="s">
        <v>410</v>
      </c>
      <c r="G25" s="156" t="s">
        <v>448</v>
      </c>
      <c r="H25" s="156" t="s">
        <v>447</v>
      </c>
      <c r="I25" s="156" t="s">
        <v>446</v>
      </c>
      <c r="J25" s="154">
        <v>985</v>
      </c>
      <c r="L25" s="156" t="s">
        <v>429</v>
      </c>
      <c r="M25" s="111">
        <f>SUMPRODUCT(--(Product_Name=$L25), --(Region_product_costing=$M$21), Price_Unit, Units_Sold)</f>
        <v>254550</v>
      </c>
    </row>
    <row r="26" spans="1:16" x14ac:dyDescent="0.25">
      <c r="A26" s="156" t="s">
        <v>424</v>
      </c>
      <c r="B26" s="156" t="s">
        <v>423</v>
      </c>
      <c r="C26" s="154">
        <v>50</v>
      </c>
      <c r="D26" s="154">
        <v>60</v>
      </c>
      <c r="E26" s="156" t="s">
        <v>392</v>
      </c>
      <c r="F26" s="156" t="s">
        <v>428</v>
      </c>
      <c r="G26" s="156" t="s">
        <v>445</v>
      </c>
      <c r="H26" s="156" t="s">
        <v>444</v>
      </c>
      <c r="I26" s="156" t="s">
        <v>443</v>
      </c>
      <c r="J26" s="154">
        <v>658</v>
      </c>
      <c r="L26" s="156" t="s">
        <v>423</v>
      </c>
      <c r="M26" s="111">
        <f>SUMPRODUCT(--(Product_Name=$L26), --(Region_product_costing=$M$21), Price_Unit, Units_Sold)</f>
        <v>97900</v>
      </c>
    </row>
    <row r="27" spans="1:16" x14ac:dyDescent="0.25">
      <c r="A27" s="156" t="s">
        <v>442</v>
      </c>
      <c r="B27" s="156" t="s">
        <v>441</v>
      </c>
      <c r="C27" s="154">
        <v>50</v>
      </c>
      <c r="D27" s="154">
        <v>55</v>
      </c>
      <c r="E27" s="156" t="s">
        <v>412</v>
      </c>
      <c r="F27" s="156" t="s">
        <v>422</v>
      </c>
      <c r="G27" s="156" t="s">
        <v>421</v>
      </c>
      <c r="H27" s="156" t="s">
        <v>420</v>
      </c>
      <c r="I27" s="156" t="s">
        <v>419</v>
      </c>
      <c r="J27" s="154">
        <v>896</v>
      </c>
    </row>
    <row r="28" spans="1:16" x14ac:dyDescent="0.25">
      <c r="A28" s="156" t="s">
        <v>440</v>
      </c>
      <c r="B28" s="156" t="s">
        <v>439</v>
      </c>
      <c r="C28" s="154">
        <v>15</v>
      </c>
      <c r="D28" s="154">
        <v>20</v>
      </c>
      <c r="E28" s="156" t="s">
        <v>412</v>
      </c>
      <c r="F28" s="156" t="s">
        <v>411</v>
      </c>
      <c r="G28" s="156" t="s">
        <v>438</v>
      </c>
      <c r="H28" s="156" t="s">
        <v>437</v>
      </c>
      <c r="I28" s="156" t="s">
        <v>436</v>
      </c>
      <c r="J28" s="154">
        <v>577</v>
      </c>
    </row>
    <row r="29" spans="1:16" ht="15.6" x14ac:dyDescent="0.25">
      <c r="A29" s="156" t="s">
        <v>435</v>
      </c>
      <c r="B29" s="156" t="s">
        <v>434</v>
      </c>
      <c r="C29" s="154">
        <v>12</v>
      </c>
      <c r="D29" s="154">
        <v>15</v>
      </c>
      <c r="E29" s="156" t="s">
        <v>412</v>
      </c>
      <c r="F29" s="156" t="s">
        <v>410</v>
      </c>
      <c r="G29" s="156" t="s">
        <v>433</v>
      </c>
      <c r="H29" s="156" t="s">
        <v>432</v>
      </c>
      <c r="I29" s="156" t="s">
        <v>431</v>
      </c>
      <c r="J29" s="154">
        <v>987</v>
      </c>
      <c r="L29" s="157" t="s">
        <v>501</v>
      </c>
      <c r="M29" s="157" t="s">
        <v>397</v>
      </c>
    </row>
    <row r="30" spans="1:16" x14ac:dyDescent="0.25">
      <c r="A30" s="156" t="s">
        <v>430</v>
      </c>
      <c r="B30" s="156" t="s">
        <v>429</v>
      </c>
      <c r="C30" s="154">
        <v>150</v>
      </c>
      <c r="D30" s="154">
        <v>160</v>
      </c>
      <c r="E30" s="156" t="s">
        <v>412</v>
      </c>
      <c r="F30" s="156" t="s">
        <v>428</v>
      </c>
      <c r="G30" s="156" t="s">
        <v>427</v>
      </c>
      <c r="H30" s="156" t="s">
        <v>426</v>
      </c>
      <c r="I30" s="156" t="s">
        <v>425</v>
      </c>
      <c r="J30" s="154">
        <v>897</v>
      </c>
      <c r="L30" s="156" t="s">
        <v>441</v>
      </c>
      <c r="M30" s="111">
        <f>SUMPRODUCT(--(Product_Name=$L30), --(Month=$M$29), Price_Unit, Units_Sold)</f>
        <v>100000</v>
      </c>
    </row>
    <row r="31" spans="1:16" x14ac:dyDescent="0.25">
      <c r="A31" s="156" t="s">
        <v>424</v>
      </c>
      <c r="B31" s="156" t="s">
        <v>423</v>
      </c>
      <c r="C31" s="154">
        <v>50</v>
      </c>
      <c r="D31" s="154">
        <v>60</v>
      </c>
      <c r="E31" s="156" t="s">
        <v>412</v>
      </c>
      <c r="F31" s="156" t="s">
        <v>422</v>
      </c>
      <c r="G31" s="156" t="s">
        <v>421</v>
      </c>
      <c r="H31" s="156" t="s">
        <v>420</v>
      </c>
      <c r="I31" s="156" t="s">
        <v>419</v>
      </c>
      <c r="J31" s="154">
        <v>852</v>
      </c>
      <c r="L31" s="156" t="s">
        <v>439</v>
      </c>
      <c r="M31" s="111">
        <f>SUMPRODUCT(--(Product_Name=$L31), --(Month=$M$29), Price_Unit, Units_Sold)</f>
        <v>15000</v>
      </c>
    </row>
    <row r="32" spans="1:16" x14ac:dyDescent="0.25">
      <c r="L32" s="156" t="s">
        <v>434</v>
      </c>
      <c r="M32" s="111">
        <f>SUMPRODUCT(--(Product_Name=$L32), --(Month=$M$29), Price_Unit, Units_Sold)</f>
        <v>14400</v>
      </c>
    </row>
    <row r="33" spans="12:13" x14ac:dyDescent="0.25">
      <c r="L33" s="156" t="s">
        <v>429</v>
      </c>
      <c r="M33" s="111">
        <f>SUMPRODUCT(--(Product_Name=$L33), --(Month=$M$29), Price_Unit, Units_Sold)</f>
        <v>187500</v>
      </c>
    </row>
    <row r="34" spans="12:13" x14ac:dyDescent="0.25">
      <c r="L34" s="156" t="s">
        <v>423</v>
      </c>
      <c r="M34" s="111">
        <f>SUMPRODUCT(--(Product_Name=$L34), --(Month=$M$29), Price_Unit, Units_Sold)</f>
        <v>65000</v>
      </c>
    </row>
  </sheetData>
  <dataValidations count="2">
    <dataValidation type="list" allowBlank="1" showInputMessage="1" showErrorMessage="1" sqref="M21" xr:uid="{49E37D8A-99ED-46CF-9879-79E556095D9F}">
      <formula1>"East, West, North, South"</formula1>
    </dataValidation>
    <dataValidation type="list" allowBlank="1" showInputMessage="1" showErrorMessage="1" sqref="M29" xr:uid="{F223B0BD-C5A3-4133-9208-6A711ED868A1}">
      <formula1>"Jan, Feb, Mar, Apr, May, Jun, Jul, Aug, Sep, Oct, Nov, Dec"</formula1>
    </dataValidation>
  </dataValidation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68F76-A111-4649-B1B7-ADC5663BAEB4}">
  <sheetPr codeName="Sheet34"/>
  <dimension ref="A1:I13"/>
  <sheetViews>
    <sheetView zoomScale="120" zoomScaleNormal="120" workbookViewId="0">
      <selection activeCell="C14" sqref="C14"/>
    </sheetView>
  </sheetViews>
  <sheetFormatPr defaultColWidth="8.7265625" defaultRowHeight="15" x14ac:dyDescent="0.25"/>
  <cols>
    <col min="1" max="1" width="10" style="52" customWidth="1"/>
    <col min="2" max="2" width="12.453125" style="52" customWidth="1"/>
    <col min="3" max="3" width="15" style="52" customWidth="1"/>
    <col min="4" max="4" width="13.90625" style="52" customWidth="1"/>
    <col min="5" max="5" width="12.36328125" style="52" customWidth="1"/>
    <col min="6" max="6" width="8.7265625" style="52"/>
    <col min="7" max="7" width="11.26953125" style="52" customWidth="1"/>
    <col min="8" max="8" width="8.7265625" style="52"/>
    <col min="9" max="9" width="16.08984375" style="52" customWidth="1"/>
    <col min="10" max="16384" width="8.7265625" style="52"/>
  </cols>
  <sheetData>
    <row r="1" spans="1:9" s="51" customFormat="1" ht="15.6" x14ac:dyDescent="0.25">
      <c r="A1" s="123" t="s">
        <v>691</v>
      </c>
      <c r="B1" s="123" t="s">
        <v>692</v>
      </c>
      <c r="C1" s="123" t="s">
        <v>693</v>
      </c>
      <c r="D1" s="123" t="s">
        <v>694</v>
      </c>
      <c r="E1" s="123" t="s">
        <v>695</v>
      </c>
    </row>
    <row r="2" spans="1:9" x14ac:dyDescent="0.25">
      <c r="A2" s="125" t="s">
        <v>696</v>
      </c>
      <c r="B2" s="125" t="s">
        <v>699</v>
      </c>
      <c r="C2" s="125" t="s">
        <v>703</v>
      </c>
      <c r="D2" s="125" t="s">
        <v>706</v>
      </c>
      <c r="E2" s="125" t="s">
        <v>708</v>
      </c>
    </row>
    <row r="3" spans="1:9" ht="15.6" x14ac:dyDescent="0.25">
      <c r="A3" s="125" t="s">
        <v>697</v>
      </c>
      <c r="B3" s="125" t="s">
        <v>700</v>
      </c>
      <c r="C3" s="125" t="s">
        <v>704</v>
      </c>
      <c r="D3" s="125" t="s">
        <v>707</v>
      </c>
      <c r="E3" s="125" t="s">
        <v>709</v>
      </c>
      <c r="G3" s="51"/>
    </row>
    <row r="4" spans="1:9" x14ac:dyDescent="0.25">
      <c r="A4" s="125" t="s">
        <v>698</v>
      </c>
      <c r="B4" s="125" t="s">
        <v>701</v>
      </c>
      <c r="C4" s="125" t="s">
        <v>705</v>
      </c>
      <c r="D4" s="125"/>
      <c r="E4" s="125" t="s">
        <v>710</v>
      </c>
    </row>
    <row r="5" spans="1:9" x14ac:dyDescent="0.25">
      <c r="A5" s="125"/>
      <c r="B5" s="125" t="s">
        <v>702</v>
      </c>
      <c r="C5" s="125"/>
      <c r="D5" s="125"/>
      <c r="E5" s="125" t="s">
        <v>711</v>
      </c>
    </row>
    <row r="6" spans="1:9" ht="15.6" x14ac:dyDescent="0.25">
      <c r="A6" s="125"/>
      <c r="B6" s="125"/>
      <c r="C6" s="125"/>
      <c r="D6" s="125"/>
      <c r="E6" s="125" t="s">
        <v>712</v>
      </c>
      <c r="G6" s="51"/>
    </row>
    <row r="8" spans="1:9" x14ac:dyDescent="0.25">
      <c r="C8"/>
      <c r="D8"/>
      <c r="E8"/>
    </row>
    <row r="9" spans="1:9" ht="15.6" x14ac:dyDescent="0.25">
      <c r="C9" s="53" t="s">
        <v>713</v>
      </c>
      <c r="D9" s="53" t="s">
        <v>766</v>
      </c>
      <c r="E9"/>
    </row>
    <row r="10" spans="1:9" x14ac:dyDescent="0.25">
      <c r="C10" s="54" t="s">
        <v>695</v>
      </c>
      <c r="D10" s="54" t="s">
        <v>709</v>
      </c>
    </row>
    <row r="11" spans="1:9" x14ac:dyDescent="0.25">
      <c r="C11"/>
      <c r="D11"/>
    </row>
    <row r="12" spans="1:9" ht="15.6" x14ac:dyDescent="0.25">
      <c r="C12"/>
      <c r="D12" s="449" t="s">
        <v>979</v>
      </c>
      <c r="E12" s="449"/>
      <c r="F12" s="449"/>
      <c r="G12" s="449"/>
      <c r="H12" s="449"/>
      <c r="I12" s="449"/>
    </row>
    <row r="13" spans="1:9" x14ac:dyDescent="0.25">
      <c r="C13"/>
      <c r="D13"/>
    </row>
  </sheetData>
  <mergeCells count="1">
    <mergeCell ref="D12:I12"/>
  </mergeCells>
  <dataValidations count="2">
    <dataValidation type="list" allowBlank="1" showInputMessage="1" showErrorMessage="1" sqref="C10" xr:uid="{A118C734-F696-4C0C-8FF7-AA39479EC81C}">
      <formula1>Columns</formula1>
    </dataValidation>
    <dataValidation type="list" allowBlank="1" showInputMessage="1" showErrorMessage="1" sqref="D10" xr:uid="{BD985492-1E1B-4B94-8E98-AFB054A296B1}">
      <formula1>INDIRECT($C$10)</formula1>
    </dataValidation>
  </dataValidations>
  <pageMargins left="0.7" right="0.7" top="0.75" bottom="0.75" header="0.3" footer="0.3"/>
  <pageSetup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D42C2-D21E-4A47-AD27-4A7184C3FC3D}">
  <sheetPr codeName="Sheet35"/>
  <dimension ref="A1:K60"/>
  <sheetViews>
    <sheetView zoomScale="120" zoomScaleNormal="120" workbookViewId="0">
      <selection activeCell="A63" sqref="A63"/>
    </sheetView>
  </sheetViews>
  <sheetFormatPr defaultRowHeight="15" x14ac:dyDescent="0.25"/>
  <cols>
    <col min="1" max="1" width="9.90625" customWidth="1"/>
    <col min="2" max="3" width="8.7265625" style="52"/>
    <col min="4" max="4" width="10.6328125" style="52" customWidth="1"/>
    <col min="5" max="5" width="11.26953125" style="52" customWidth="1"/>
    <col min="6" max="6" width="9.54296875" style="52" customWidth="1"/>
    <col min="7" max="7" width="9" style="52" customWidth="1"/>
    <col min="8" max="8" width="11.26953125" style="52" customWidth="1"/>
    <col min="10" max="10" width="11" customWidth="1"/>
  </cols>
  <sheetData>
    <row r="1" spans="1:11" s="50" customFormat="1" ht="15.6" x14ac:dyDescent="0.3">
      <c r="A1" s="57" t="s">
        <v>37</v>
      </c>
      <c r="B1" s="58" t="s">
        <v>93</v>
      </c>
      <c r="C1" s="58" t="s">
        <v>96</v>
      </c>
      <c r="D1" s="59" t="s">
        <v>95</v>
      </c>
      <c r="E1" s="58" t="s">
        <v>94</v>
      </c>
      <c r="F1" s="58" t="s">
        <v>92</v>
      </c>
      <c r="G1" s="58" t="s">
        <v>714</v>
      </c>
      <c r="H1" s="58" t="s">
        <v>721</v>
      </c>
    </row>
    <row r="2" spans="1:11" ht="15.6" x14ac:dyDescent="0.3">
      <c r="A2" s="56" t="s">
        <v>702</v>
      </c>
      <c r="B2" s="54">
        <v>24</v>
      </c>
      <c r="C2" s="54">
        <v>29</v>
      </c>
      <c r="D2" s="54">
        <v>56</v>
      </c>
      <c r="E2" s="54">
        <v>25</v>
      </c>
      <c r="F2" s="54">
        <v>22</v>
      </c>
      <c r="G2" s="54">
        <v>38</v>
      </c>
      <c r="H2" s="54">
        <v>50</v>
      </c>
      <c r="J2" s="453" t="s">
        <v>730</v>
      </c>
      <c r="K2" s="454"/>
    </row>
    <row r="3" spans="1:11" x14ac:dyDescent="0.25">
      <c r="A3" s="56" t="s">
        <v>697</v>
      </c>
      <c r="B3" s="54">
        <v>69</v>
      </c>
      <c r="C3" s="54">
        <v>28</v>
      </c>
      <c r="D3" s="54">
        <v>48</v>
      </c>
      <c r="E3" s="54">
        <v>23</v>
      </c>
      <c r="F3" s="54">
        <v>40</v>
      </c>
      <c r="G3" s="54">
        <v>32</v>
      </c>
      <c r="H3" s="54">
        <v>78</v>
      </c>
      <c r="J3" s="54" t="s">
        <v>722</v>
      </c>
      <c r="K3" s="54" t="s">
        <v>723</v>
      </c>
    </row>
    <row r="4" spans="1:11" x14ac:dyDescent="0.25">
      <c r="A4" s="56" t="s">
        <v>715</v>
      </c>
      <c r="B4" s="54">
        <v>69</v>
      </c>
      <c r="C4" s="54">
        <v>98</v>
      </c>
      <c r="D4" s="54">
        <v>59</v>
      </c>
      <c r="E4" s="54">
        <v>54</v>
      </c>
      <c r="F4" s="54">
        <v>93</v>
      </c>
      <c r="G4" s="54">
        <v>77</v>
      </c>
      <c r="H4" s="54">
        <v>79</v>
      </c>
      <c r="J4" s="54" t="s">
        <v>724</v>
      </c>
      <c r="K4" s="54" t="s">
        <v>725</v>
      </c>
    </row>
    <row r="5" spans="1:11" x14ac:dyDescent="0.25">
      <c r="A5" s="56" t="s">
        <v>716</v>
      </c>
      <c r="B5" s="54">
        <v>61</v>
      </c>
      <c r="C5" s="54">
        <v>98</v>
      </c>
      <c r="D5" s="54">
        <v>33</v>
      </c>
      <c r="E5" s="54">
        <v>20</v>
      </c>
      <c r="F5" s="54">
        <v>26</v>
      </c>
      <c r="G5" s="54">
        <v>100</v>
      </c>
      <c r="H5" s="54">
        <v>21</v>
      </c>
      <c r="J5" s="54" t="s">
        <v>726</v>
      </c>
      <c r="K5" s="54" t="s">
        <v>727</v>
      </c>
    </row>
    <row r="6" spans="1:11" x14ac:dyDescent="0.25">
      <c r="A6" s="56" t="s">
        <v>702</v>
      </c>
      <c r="B6" s="54">
        <v>48</v>
      </c>
      <c r="C6" s="54">
        <v>57</v>
      </c>
      <c r="D6" s="54">
        <v>36</v>
      </c>
      <c r="E6" s="54">
        <v>34</v>
      </c>
      <c r="F6" s="54">
        <v>53</v>
      </c>
      <c r="G6" s="54">
        <v>91</v>
      </c>
      <c r="H6" s="54">
        <v>73</v>
      </c>
      <c r="J6" s="54" t="s">
        <v>728</v>
      </c>
      <c r="K6" s="54" t="s">
        <v>729</v>
      </c>
    </row>
    <row r="7" spans="1:11" x14ac:dyDescent="0.25">
      <c r="A7" s="56" t="s">
        <v>717</v>
      </c>
      <c r="B7" s="54">
        <v>32</v>
      </c>
      <c r="C7" s="54">
        <v>71</v>
      </c>
      <c r="D7" s="54">
        <v>99</v>
      </c>
      <c r="E7" s="54">
        <v>51</v>
      </c>
      <c r="F7" s="54">
        <v>100</v>
      </c>
      <c r="G7" s="54">
        <v>63</v>
      </c>
      <c r="H7" s="54">
        <v>48</v>
      </c>
    </row>
    <row r="8" spans="1:11" x14ac:dyDescent="0.25">
      <c r="A8" s="56" t="s">
        <v>718</v>
      </c>
      <c r="B8" s="54">
        <v>97</v>
      </c>
      <c r="C8" s="54">
        <v>39</v>
      </c>
      <c r="D8" s="54">
        <v>92</v>
      </c>
      <c r="E8" s="54">
        <v>61</v>
      </c>
      <c r="F8" s="54">
        <v>46</v>
      </c>
      <c r="G8" s="54">
        <v>20</v>
      </c>
      <c r="H8" s="54">
        <v>54</v>
      </c>
    </row>
    <row r="9" spans="1:11" x14ac:dyDescent="0.25">
      <c r="A9" s="56" t="s">
        <v>719</v>
      </c>
      <c r="B9" s="54">
        <v>90</v>
      </c>
      <c r="C9" s="54">
        <v>49</v>
      </c>
      <c r="D9" s="54">
        <v>36</v>
      </c>
      <c r="E9" s="54">
        <v>20</v>
      </c>
      <c r="F9" s="54">
        <v>20</v>
      </c>
      <c r="G9" s="54">
        <v>29</v>
      </c>
      <c r="H9" s="54">
        <v>62</v>
      </c>
    </row>
    <row r="10" spans="1:11" x14ac:dyDescent="0.25">
      <c r="A10" s="56" t="s">
        <v>720</v>
      </c>
      <c r="B10" s="54">
        <v>88</v>
      </c>
      <c r="C10" s="54">
        <v>26</v>
      </c>
      <c r="D10" s="54">
        <v>47</v>
      </c>
      <c r="E10" s="54">
        <v>60</v>
      </c>
      <c r="F10" s="54">
        <v>71</v>
      </c>
      <c r="G10" s="54">
        <v>45</v>
      </c>
      <c r="H10" s="54">
        <v>72</v>
      </c>
    </row>
    <row r="13" spans="1:11" ht="15.6" x14ac:dyDescent="0.25">
      <c r="D13" s="65" t="s">
        <v>731</v>
      </c>
      <c r="E13" s="62" t="s">
        <v>736</v>
      </c>
    </row>
    <row r="14" spans="1:11" ht="15.6" x14ac:dyDescent="0.3">
      <c r="D14" s="61" t="s">
        <v>439</v>
      </c>
      <c r="E14" s="60">
        <v>12</v>
      </c>
      <c r="G14" s="451" t="s">
        <v>730</v>
      </c>
      <c r="H14" s="452"/>
    </row>
    <row r="15" spans="1:11" x14ac:dyDescent="0.25">
      <c r="D15" s="61" t="s">
        <v>423</v>
      </c>
      <c r="E15" s="60">
        <v>-6</v>
      </c>
      <c r="F15"/>
      <c r="G15" s="60" t="s">
        <v>495</v>
      </c>
      <c r="H15" s="60" t="s">
        <v>729</v>
      </c>
    </row>
    <row r="16" spans="1:11" x14ac:dyDescent="0.25">
      <c r="D16" s="61" t="s">
        <v>441</v>
      </c>
      <c r="E16" s="60">
        <v>20</v>
      </c>
      <c r="F16"/>
      <c r="G16" s="60" t="s">
        <v>735</v>
      </c>
      <c r="H16" s="60" t="s">
        <v>723</v>
      </c>
    </row>
    <row r="17" spans="1:8" x14ac:dyDescent="0.25">
      <c r="D17" s="61" t="s">
        <v>732</v>
      </c>
      <c r="E17" s="60">
        <v>45</v>
      </c>
    </row>
    <row r="18" spans="1:8" x14ac:dyDescent="0.25">
      <c r="D18" s="61" t="s">
        <v>733</v>
      </c>
      <c r="E18" s="60">
        <v>-60</v>
      </c>
    </row>
    <row r="19" spans="1:8" x14ac:dyDescent="0.25">
      <c r="D19" s="61" t="s">
        <v>734</v>
      </c>
      <c r="E19" s="60">
        <v>500</v>
      </c>
    </row>
    <row r="21" spans="1:8" ht="48" customHeight="1" x14ac:dyDescent="0.25">
      <c r="B21" s="455" t="s">
        <v>980</v>
      </c>
      <c r="C21" s="455"/>
      <c r="D21" s="455"/>
      <c r="E21" s="455"/>
      <c r="F21" s="455"/>
      <c r="G21" s="455"/>
      <c r="H21" s="455"/>
    </row>
    <row r="25" spans="1:8" ht="21" x14ac:dyDescent="0.5">
      <c r="A25" s="450" t="s">
        <v>981</v>
      </c>
      <c r="B25" s="450"/>
      <c r="C25" s="450"/>
      <c r="D25" s="450"/>
      <c r="E25" s="450"/>
      <c r="F25" s="450"/>
      <c r="G25" s="450"/>
      <c r="H25" s="450"/>
    </row>
    <row r="26" spans="1:8" ht="15.6" x14ac:dyDescent="0.3">
      <c r="A26" s="57" t="s">
        <v>37</v>
      </c>
      <c r="B26" s="58" t="s">
        <v>93</v>
      </c>
      <c r="C26" s="58" t="s">
        <v>96</v>
      </c>
      <c r="D26" s="59" t="s">
        <v>95</v>
      </c>
      <c r="E26" s="58" t="s">
        <v>94</v>
      </c>
      <c r="F26" s="58" t="s">
        <v>92</v>
      </c>
      <c r="G26" s="58" t="s">
        <v>714</v>
      </c>
      <c r="H26" s="58" t="s">
        <v>721</v>
      </c>
    </row>
    <row r="27" spans="1:8" x14ac:dyDescent="0.25">
      <c r="A27" s="56" t="s">
        <v>702</v>
      </c>
      <c r="B27" s="54">
        <v>24</v>
      </c>
      <c r="C27" s="54">
        <v>29</v>
      </c>
      <c r="D27" s="54">
        <v>56</v>
      </c>
      <c r="E27" s="54">
        <v>25</v>
      </c>
      <c r="F27" s="54">
        <v>22</v>
      </c>
      <c r="G27" s="54">
        <v>38</v>
      </c>
      <c r="H27" s="54">
        <v>50</v>
      </c>
    </row>
    <row r="28" spans="1:8" x14ac:dyDescent="0.25">
      <c r="A28" s="56" t="s">
        <v>697</v>
      </c>
      <c r="B28" s="54">
        <v>69</v>
      </c>
      <c r="C28" s="54">
        <v>28</v>
      </c>
      <c r="D28" s="54">
        <v>48</v>
      </c>
      <c r="E28" s="54">
        <v>23</v>
      </c>
      <c r="F28" s="54">
        <v>40</v>
      </c>
      <c r="G28" s="54">
        <v>32</v>
      </c>
      <c r="H28" s="54">
        <v>78</v>
      </c>
    </row>
    <row r="29" spans="1:8" x14ac:dyDescent="0.25">
      <c r="A29" s="56" t="s">
        <v>715</v>
      </c>
      <c r="B29" s="54">
        <v>69</v>
      </c>
      <c r="C29" s="54">
        <v>98</v>
      </c>
      <c r="D29" s="54">
        <v>59</v>
      </c>
      <c r="E29" s="54">
        <v>54</v>
      </c>
      <c r="F29" s="54">
        <v>93</v>
      </c>
      <c r="G29" s="54">
        <v>77</v>
      </c>
      <c r="H29" s="54">
        <v>79</v>
      </c>
    </row>
    <row r="30" spans="1:8" x14ac:dyDescent="0.25">
      <c r="A30" s="56" t="s">
        <v>716</v>
      </c>
      <c r="B30" s="54">
        <v>61</v>
      </c>
      <c r="C30" s="54">
        <v>98</v>
      </c>
      <c r="D30" s="54">
        <v>33</v>
      </c>
      <c r="E30" s="54">
        <v>20</v>
      </c>
      <c r="F30" s="54">
        <v>26</v>
      </c>
      <c r="G30" s="54">
        <v>100</v>
      </c>
      <c r="H30" s="54">
        <v>21</v>
      </c>
    </row>
    <row r="31" spans="1:8" x14ac:dyDescent="0.25">
      <c r="A31" s="56" t="s">
        <v>702</v>
      </c>
      <c r="B31" s="54">
        <v>48</v>
      </c>
      <c r="C31" s="54">
        <v>57</v>
      </c>
      <c r="D31" s="54">
        <v>36</v>
      </c>
      <c r="E31" s="54">
        <v>34</v>
      </c>
      <c r="F31" s="54">
        <v>53</v>
      </c>
      <c r="G31" s="54">
        <v>91</v>
      </c>
      <c r="H31" s="54">
        <v>73</v>
      </c>
    </row>
    <row r="32" spans="1:8" x14ac:dyDescent="0.25">
      <c r="A32" s="56" t="s">
        <v>717</v>
      </c>
      <c r="B32" s="54">
        <v>32</v>
      </c>
      <c r="C32" s="54">
        <v>71</v>
      </c>
      <c r="D32" s="54">
        <v>99</v>
      </c>
      <c r="E32" s="54">
        <v>51</v>
      </c>
      <c r="F32" s="54">
        <v>100</v>
      </c>
      <c r="G32" s="54">
        <v>63</v>
      </c>
      <c r="H32" s="54">
        <v>48</v>
      </c>
    </row>
    <row r="33" spans="1:8" x14ac:dyDescent="0.25">
      <c r="A33" s="56" t="s">
        <v>718</v>
      </c>
      <c r="B33" s="54">
        <v>97</v>
      </c>
      <c r="C33" s="54">
        <v>39</v>
      </c>
      <c r="D33" s="54">
        <v>92</v>
      </c>
      <c r="E33" s="54">
        <v>61</v>
      </c>
      <c r="F33" s="54">
        <v>46</v>
      </c>
      <c r="G33" s="54">
        <v>20</v>
      </c>
      <c r="H33" s="54">
        <v>54</v>
      </c>
    </row>
    <row r="34" spans="1:8" x14ac:dyDescent="0.25">
      <c r="A34" s="56" t="s">
        <v>719</v>
      </c>
      <c r="B34" s="54">
        <v>90</v>
      </c>
      <c r="C34" s="54">
        <v>49</v>
      </c>
      <c r="D34" s="54">
        <v>36</v>
      </c>
      <c r="E34" s="54">
        <v>20</v>
      </c>
      <c r="F34" s="54">
        <v>20</v>
      </c>
      <c r="G34" s="54">
        <v>29</v>
      </c>
      <c r="H34" s="54">
        <v>62</v>
      </c>
    </row>
    <row r="35" spans="1:8" x14ac:dyDescent="0.25">
      <c r="A35" s="56" t="s">
        <v>720</v>
      </c>
      <c r="B35" s="54">
        <v>88</v>
      </c>
      <c r="C35" s="54">
        <v>26</v>
      </c>
      <c r="D35" s="54">
        <v>47</v>
      </c>
      <c r="E35" s="54">
        <v>60</v>
      </c>
      <c r="F35" s="54">
        <v>71</v>
      </c>
      <c r="G35" s="54">
        <v>45</v>
      </c>
      <c r="H35" s="54">
        <v>72</v>
      </c>
    </row>
    <row r="37" spans="1:8" ht="21" x14ac:dyDescent="0.5">
      <c r="A37" s="450" t="s">
        <v>982</v>
      </c>
      <c r="B37" s="450"/>
      <c r="C37" s="450"/>
      <c r="D37" s="450"/>
      <c r="E37" s="450"/>
      <c r="F37" s="450"/>
      <c r="G37" s="450"/>
      <c r="H37" s="450"/>
    </row>
    <row r="38" spans="1:8" ht="15.6" x14ac:dyDescent="0.3">
      <c r="A38" s="57" t="s">
        <v>37</v>
      </c>
      <c r="B38" s="58" t="s">
        <v>93</v>
      </c>
      <c r="C38" s="58" t="s">
        <v>96</v>
      </c>
      <c r="D38" s="59" t="s">
        <v>95</v>
      </c>
      <c r="E38" s="58" t="s">
        <v>94</v>
      </c>
      <c r="F38" s="58" t="s">
        <v>92</v>
      </c>
      <c r="G38" s="58" t="s">
        <v>714</v>
      </c>
      <c r="H38" s="58" t="s">
        <v>721</v>
      </c>
    </row>
    <row r="39" spans="1:8" x14ac:dyDescent="0.25">
      <c r="A39" s="56" t="s">
        <v>702</v>
      </c>
      <c r="B39" s="54">
        <v>24</v>
      </c>
      <c r="C39" s="54">
        <v>29</v>
      </c>
      <c r="D39" s="54">
        <v>56</v>
      </c>
      <c r="E39" s="54">
        <v>25</v>
      </c>
      <c r="F39" s="54">
        <v>22</v>
      </c>
      <c r="G39" s="54">
        <v>38</v>
      </c>
      <c r="H39" s="54">
        <v>50</v>
      </c>
    </row>
    <row r="40" spans="1:8" x14ac:dyDescent="0.25">
      <c r="A40" s="56" t="s">
        <v>697</v>
      </c>
      <c r="B40" s="54">
        <v>69</v>
      </c>
      <c r="C40" s="54">
        <v>28</v>
      </c>
      <c r="D40" s="54">
        <v>48</v>
      </c>
      <c r="E40" s="54">
        <v>23</v>
      </c>
      <c r="F40" s="54">
        <v>40</v>
      </c>
      <c r="G40" s="54">
        <v>32</v>
      </c>
      <c r="H40" s="54">
        <v>78</v>
      </c>
    </row>
    <row r="41" spans="1:8" x14ac:dyDescent="0.25">
      <c r="A41" s="56" t="s">
        <v>715</v>
      </c>
      <c r="B41" s="54">
        <v>69</v>
      </c>
      <c r="C41" s="54">
        <v>98</v>
      </c>
      <c r="D41" s="54">
        <v>59</v>
      </c>
      <c r="E41" s="54">
        <v>54</v>
      </c>
      <c r="F41" s="54">
        <v>93</v>
      </c>
      <c r="G41" s="54">
        <v>77</v>
      </c>
      <c r="H41" s="54">
        <v>79</v>
      </c>
    </row>
    <row r="42" spans="1:8" x14ac:dyDescent="0.25">
      <c r="A42" s="56" t="s">
        <v>716</v>
      </c>
      <c r="B42" s="54">
        <v>61</v>
      </c>
      <c r="C42" s="54">
        <v>98</v>
      </c>
      <c r="D42" s="54">
        <v>33</v>
      </c>
      <c r="E42" s="54">
        <v>20</v>
      </c>
      <c r="F42" s="54">
        <v>26</v>
      </c>
      <c r="G42" s="54">
        <v>100</v>
      </c>
      <c r="H42" s="54">
        <v>21</v>
      </c>
    </row>
    <row r="43" spans="1:8" x14ac:dyDescent="0.25">
      <c r="A43" s="56" t="s">
        <v>702</v>
      </c>
      <c r="B43" s="54">
        <v>48</v>
      </c>
      <c r="C43" s="54">
        <v>57</v>
      </c>
      <c r="D43" s="54">
        <v>36</v>
      </c>
      <c r="E43" s="54">
        <v>34</v>
      </c>
      <c r="F43" s="54">
        <v>53</v>
      </c>
      <c r="G43" s="54">
        <v>91</v>
      </c>
      <c r="H43" s="54">
        <v>73</v>
      </c>
    </row>
    <row r="44" spans="1:8" x14ac:dyDescent="0.25">
      <c r="A44" s="56" t="s">
        <v>717</v>
      </c>
      <c r="B44" s="54">
        <v>32</v>
      </c>
      <c r="C44" s="54">
        <v>71</v>
      </c>
      <c r="D44" s="54">
        <v>99</v>
      </c>
      <c r="E44" s="54">
        <v>51</v>
      </c>
      <c r="F44" s="54">
        <v>100</v>
      </c>
      <c r="G44" s="54">
        <v>63</v>
      </c>
      <c r="H44" s="54">
        <v>48</v>
      </c>
    </row>
    <row r="45" spans="1:8" x14ac:dyDescent="0.25">
      <c r="A45" s="56" t="s">
        <v>718</v>
      </c>
      <c r="B45" s="54">
        <v>97</v>
      </c>
      <c r="C45" s="54">
        <v>39</v>
      </c>
      <c r="D45" s="54">
        <v>92</v>
      </c>
      <c r="E45" s="54">
        <v>61</v>
      </c>
      <c r="F45" s="54">
        <v>46</v>
      </c>
      <c r="G45" s="54">
        <v>20</v>
      </c>
      <c r="H45" s="54">
        <v>54</v>
      </c>
    </row>
    <row r="46" spans="1:8" x14ac:dyDescent="0.25">
      <c r="A46" s="56" t="s">
        <v>719</v>
      </c>
      <c r="B46" s="54">
        <v>90</v>
      </c>
      <c r="C46" s="54">
        <v>49</v>
      </c>
      <c r="D46" s="54">
        <v>36</v>
      </c>
      <c r="E46" s="54">
        <v>20</v>
      </c>
      <c r="F46" s="54">
        <v>20</v>
      </c>
      <c r="G46" s="54">
        <v>29</v>
      </c>
      <c r="H46" s="54">
        <v>62</v>
      </c>
    </row>
    <row r="47" spans="1:8" x14ac:dyDescent="0.25">
      <c r="A47" s="56" t="s">
        <v>720</v>
      </c>
      <c r="B47" s="54">
        <v>88</v>
      </c>
      <c r="C47" s="54">
        <v>26</v>
      </c>
      <c r="D47" s="54">
        <v>47</v>
      </c>
      <c r="E47" s="54">
        <v>60</v>
      </c>
      <c r="F47" s="54">
        <v>71</v>
      </c>
      <c r="G47" s="54">
        <v>45</v>
      </c>
      <c r="H47" s="54">
        <v>72</v>
      </c>
    </row>
    <row r="50" spans="1:8" ht="21" x14ac:dyDescent="0.5">
      <c r="A50" s="450" t="s">
        <v>983</v>
      </c>
      <c r="B50" s="450"/>
      <c r="C50" s="450"/>
      <c r="D50" s="450"/>
      <c r="E50" s="450"/>
      <c r="F50" s="450"/>
      <c r="G50" s="450"/>
      <c r="H50" s="450"/>
    </row>
    <row r="51" spans="1:8" ht="15.6" x14ac:dyDescent="0.3">
      <c r="A51" s="57" t="s">
        <v>37</v>
      </c>
      <c r="B51" s="58" t="s">
        <v>93</v>
      </c>
      <c r="C51" s="58" t="s">
        <v>96</v>
      </c>
      <c r="D51" s="59" t="s">
        <v>95</v>
      </c>
      <c r="E51" s="58" t="s">
        <v>94</v>
      </c>
      <c r="F51" s="58" t="s">
        <v>92</v>
      </c>
      <c r="G51" s="58" t="s">
        <v>714</v>
      </c>
      <c r="H51" s="58" t="s">
        <v>721</v>
      </c>
    </row>
    <row r="52" spans="1:8" x14ac:dyDescent="0.25">
      <c r="A52" s="56" t="s">
        <v>702</v>
      </c>
      <c r="B52" s="54">
        <v>24</v>
      </c>
      <c r="C52" s="54">
        <v>29</v>
      </c>
      <c r="D52" s="54">
        <v>56</v>
      </c>
      <c r="E52" s="54">
        <v>25</v>
      </c>
      <c r="F52" s="54">
        <v>22</v>
      </c>
      <c r="G52" s="54">
        <v>38</v>
      </c>
      <c r="H52" s="54">
        <v>50</v>
      </c>
    </row>
    <row r="53" spans="1:8" x14ac:dyDescent="0.25">
      <c r="A53" s="56" t="s">
        <v>697</v>
      </c>
      <c r="B53" s="54">
        <v>69</v>
      </c>
      <c r="C53" s="54">
        <v>28</v>
      </c>
      <c r="D53" s="54">
        <v>48</v>
      </c>
      <c r="E53" s="54">
        <v>23</v>
      </c>
      <c r="F53" s="54">
        <v>40</v>
      </c>
      <c r="G53" s="54">
        <v>32</v>
      </c>
      <c r="H53" s="54">
        <v>78</v>
      </c>
    </row>
    <row r="54" spans="1:8" x14ac:dyDescent="0.25">
      <c r="A54" s="56" t="s">
        <v>715</v>
      </c>
      <c r="B54" s="54">
        <v>69</v>
      </c>
      <c r="C54" s="54">
        <v>98</v>
      </c>
      <c r="D54" s="54">
        <v>59</v>
      </c>
      <c r="E54" s="54">
        <v>54</v>
      </c>
      <c r="F54" s="54">
        <v>93</v>
      </c>
      <c r="G54" s="54">
        <v>77</v>
      </c>
      <c r="H54" s="54">
        <v>79</v>
      </c>
    </row>
    <row r="55" spans="1:8" x14ac:dyDescent="0.25">
      <c r="A55" s="56" t="s">
        <v>716</v>
      </c>
      <c r="B55" s="54">
        <v>61</v>
      </c>
      <c r="C55" s="54">
        <v>98</v>
      </c>
      <c r="D55" s="54">
        <v>33</v>
      </c>
      <c r="E55" s="54">
        <v>20</v>
      </c>
      <c r="F55" s="54">
        <v>26</v>
      </c>
      <c r="G55" s="54">
        <v>100</v>
      </c>
      <c r="H55" s="54">
        <v>21</v>
      </c>
    </row>
    <row r="56" spans="1:8" x14ac:dyDescent="0.25">
      <c r="A56" s="56" t="s">
        <v>702</v>
      </c>
      <c r="B56" s="54">
        <v>48</v>
      </c>
      <c r="C56" s="54">
        <v>57</v>
      </c>
      <c r="D56" s="54">
        <v>36</v>
      </c>
      <c r="E56" s="54">
        <v>34</v>
      </c>
      <c r="F56" s="54">
        <v>53</v>
      </c>
      <c r="G56" s="54">
        <v>91</v>
      </c>
      <c r="H56" s="54">
        <v>73</v>
      </c>
    </row>
    <row r="57" spans="1:8" x14ac:dyDescent="0.25">
      <c r="A57" s="56" t="s">
        <v>717</v>
      </c>
      <c r="B57" s="54">
        <v>32</v>
      </c>
      <c r="C57" s="54">
        <v>71</v>
      </c>
      <c r="D57" s="54">
        <v>99</v>
      </c>
      <c r="E57" s="54">
        <v>51</v>
      </c>
      <c r="F57" s="54">
        <v>100</v>
      </c>
      <c r="G57" s="54">
        <v>63</v>
      </c>
      <c r="H57" s="54">
        <v>48</v>
      </c>
    </row>
    <row r="58" spans="1:8" x14ac:dyDescent="0.25">
      <c r="A58" s="56" t="s">
        <v>718</v>
      </c>
      <c r="B58" s="54">
        <v>97</v>
      </c>
      <c r="C58" s="54">
        <v>39</v>
      </c>
      <c r="D58" s="54">
        <v>92</v>
      </c>
      <c r="E58" s="54">
        <v>61</v>
      </c>
      <c r="F58" s="54">
        <v>46</v>
      </c>
      <c r="G58" s="54">
        <v>20</v>
      </c>
      <c r="H58" s="54">
        <v>54</v>
      </c>
    </row>
    <row r="59" spans="1:8" x14ac:dyDescent="0.25">
      <c r="A59" s="56" t="s">
        <v>719</v>
      </c>
      <c r="B59" s="54">
        <v>90</v>
      </c>
      <c r="C59" s="54">
        <v>49</v>
      </c>
      <c r="D59" s="54">
        <v>36</v>
      </c>
      <c r="E59" s="54">
        <v>20</v>
      </c>
      <c r="F59" s="54">
        <v>20</v>
      </c>
      <c r="G59" s="54">
        <v>29</v>
      </c>
      <c r="H59" s="54">
        <v>62</v>
      </c>
    </row>
    <row r="60" spans="1:8" x14ac:dyDescent="0.25">
      <c r="A60" s="56" t="s">
        <v>720</v>
      </c>
      <c r="B60" s="54">
        <v>88</v>
      </c>
      <c r="C60" s="54">
        <v>26</v>
      </c>
      <c r="D60" s="54">
        <v>47</v>
      </c>
      <c r="E60" s="54">
        <v>60</v>
      </c>
      <c r="F60" s="54">
        <v>71</v>
      </c>
      <c r="G60" s="54">
        <v>45</v>
      </c>
      <c r="H60" s="54">
        <v>72</v>
      </c>
    </row>
  </sheetData>
  <mergeCells count="6">
    <mergeCell ref="A37:H37"/>
    <mergeCell ref="A50:H50"/>
    <mergeCell ref="G14:H14"/>
    <mergeCell ref="J2:K2"/>
    <mergeCell ref="B21:H21"/>
    <mergeCell ref="A25:H25"/>
  </mergeCells>
  <conditionalFormatting sqref="A26:H35">
    <cfRule type="dataBar" priority="11">
      <dataBar>
        <cfvo type="min"/>
        <cfvo type="max"/>
        <color rgb="FF008AEF"/>
      </dataBar>
      <extLst>
        <ext xmlns:x14="http://schemas.microsoft.com/office/spreadsheetml/2009/9/main" uri="{B025F937-C7B1-47D3-B67F-A62EFF666E3E}">
          <x14:id>{B73F29CA-EE0D-4556-ABBE-BC0BECAD98DD}</x14:id>
        </ext>
      </extLst>
    </cfRule>
  </conditionalFormatting>
  <conditionalFormatting sqref="A38:H47">
    <cfRule type="colorScale" priority="9">
      <colorScale>
        <cfvo type="min"/>
        <cfvo type="percentile" val="50"/>
        <cfvo type="max"/>
        <color rgb="FFF8696B"/>
        <color rgb="FFFFEB84"/>
        <color rgb="FF63BE7B"/>
      </colorScale>
    </cfRule>
  </conditionalFormatting>
  <conditionalFormatting sqref="B2:H10">
    <cfRule type="cellIs" dxfId="7" priority="16" operator="greaterThan">
      <formula>75</formula>
    </cfRule>
    <cfRule type="cellIs" dxfId="6" priority="17" operator="between">
      <formula>50</formula>
      <formula>75</formula>
    </cfRule>
    <cfRule type="cellIs" dxfId="5" priority="18" operator="between">
      <formula>35</formula>
      <formula>50</formula>
    </cfRule>
    <cfRule type="cellIs" dxfId="4" priority="19" operator="lessThan">
      <formula>35</formula>
    </cfRule>
  </conditionalFormatting>
  <conditionalFormatting sqref="E14:E19">
    <cfRule type="cellIs" dxfId="3" priority="7" operator="lessThan">
      <formula>0</formula>
    </cfRule>
    <cfRule type="cellIs" dxfId="2" priority="8" operator="greaterThan">
      <formula>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B73F29CA-EE0D-4556-ABBE-BC0BECAD98DD}">
            <x14:dataBar minLength="0" maxLength="100" border="1" negativeBarBorderColorSameAsPositive="0">
              <x14:cfvo type="autoMin"/>
              <x14:cfvo type="autoMax"/>
              <x14:borderColor rgb="FF008AEF"/>
              <x14:negativeFillColor rgb="FFFF0000"/>
              <x14:negativeBorderColor rgb="FFFF0000"/>
              <x14:axisColor rgb="FF000000"/>
            </x14:dataBar>
          </x14:cfRule>
          <xm:sqref>A26:H35</xm:sqref>
        </x14:conditionalFormatting>
        <x14:conditionalFormatting xmlns:xm="http://schemas.microsoft.com/office/excel/2006/main">
          <x14:cfRule type="iconSet" priority="1" id="{6D7D052C-DE7E-4B90-BB13-1DDBC1B70341}">
            <x14:iconSet iconSet="3Triangles">
              <x14:cfvo type="percent">
                <xm:f>0</xm:f>
              </x14:cfvo>
              <x14:cfvo type="num">
                <xm:f>35</xm:f>
              </x14:cfvo>
              <x14:cfvo type="num">
                <xm:f>60</xm:f>
              </x14:cfvo>
            </x14:iconSet>
          </x14:cfRule>
          <xm:sqref>A51:H60</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AF17-F8E0-4A4E-A95A-051BE0F2996C}">
  <sheetPr codeName="Sheet36"/>
  <dimension ref="A1:D31"/>
  <sheetViews>
    <sheetView zoomScale="120" zoomScaleNormal="120" workbookViewId="0">
      <selection activeCell="D11" sqref="D11"/>
    </sheetView>
  </sheetViews>
  <sheetFormatPr defaultColWidth="8.7265625" defaultRowHeight="15" x14ac:dyDescent="0.25"/>
  <cols>
    <col min="1" max="1" width="18.90625" style="60" customWidth="1"/>
    <col min="2" max="2" width="10.54296875" style="52" bestFit="1" customWidth="1"/>
    <col min="3" max="3" width="8.7265625" style="52"/>
    <col min="4" max="4" width="30.6328125" style="52" bestFit="1" customWidth="1"/>
    <col min="5" max="16384" width="8.7265625" style="52"/>
  </cols>
  <sheetData>
    <row r="1" spans="1:4" s="51" customFormat="1" ht="19.8" customHeight="1" x14ac:dyDescent="0.25">
      <c r="A1" s="63" t="s">
        <v>518</v>
      </c>
    </row>
    <row r="2" spans="1:4" x14ac:dyDescent="0.25">
      <c r="A2" s="64">
        <v>44652</v>
      </c>
      <c r="B2" s="52" t="str">
        <f>TEXT($A2, "DDDD")</f>
        <v>Friday</v>
      </c>
    </row>
    <row r="3" spans="1:4" x14ac:dyDescent="0.25">
      <c r="A3" s="64">
        <v>44653</v>
      </c>
      <c r="B3" s="52" t="str">
        <f t="shared" ref="B3:B31" si="0">TEXT($A3, "DDDD")</f>
        <v>Saturday</v>
      </c>
    </row>
    <row r="4" spans="1:4" x14ac:dyDescent="0.25">
      <c r="A4" s="64">
        <v>44654</v>
      </c>
      <c r="B4" s="52" t="str">
        <f t="shared" si="0"/>
        <v>Sunday</v>
      </c>
    </row>
    <row r="5" spans="1:4" ht="17.399999999999999" x14ac:dyDescent="0.25">
      <c r="A5" s="64">
        <v>44655</v>
      </c>
      <c r="B5" s="52" t="str">
        <f t="shared" si="0"/>
        <v>Monday</v>
      </c>
      <c r="D5" s="321" t="s">
        <v>984</v>
      </c>
    </row>
    <row r="6" spans="1:4" x14ac:dyDescent="0.25">
      <c r="A6" s="64">
        <v>44656</v>
      </c>
      <c r="B6" s="52" t="str">
        <f t="shared" si="0"/>
        <v>Tuesday</v>
      </c>
      <c r="D6" s="322" t="s">
        <v>985</v>
      </c>
    </row>
    <row r="7" spans="1:4" x14ac:dyDescent="0.25">
      <c r="A7" s="64">
        <v>44657</v>
      </c>
      <c r="B7" s="52" t="str">
        <f t="shared" si="0"/>
        <v>Wednesday</v>
      </c>
      <c r="D7" s="322" t="s">
        <v>986</v>
      </c>
    </row>
    <row r="8" spans="1:4" x14ac:dyDescent="0.25">
      <c r="A8" s="64">
        <v>44658</v>
      </c>
      <c r="B8" s="52" t="str">
        <f t="shared" si="0"/>
        <v>Thursday</v>
      </c>
    </row>
    <row r="9" spans="1:4" x14ac:dyDescent="0.25">
      <c r="A9" s="64">
        <v>44659</v>
      </c>
      <c r="B9" s="52" t="str">
        <f t="shared" si="0"/>
        <v>Friday</v>
      </c>
    </row>
    <row r="10" spans="1:4" x14ac:dyDescent="0.25">
      <c r="A10" s="64">
        <v>44660</v>
      </c>
      <c r="B10" s="52" t="str">
        <f t="shared" si="0"/>
        <v>Saturday</v>
      </c>
    </row>
    <row r="11" spans="1:4" x14ac:dyDescent="0.25">
      <c r="A11" s="64">
        <v>44661</v>
      </c>
      <c r="B11" s="52" t="str">
        <f t="shared" si="0"/>
        <v>Sunday</v>
      </c>
    </row>
    <row r="12" spans="1:4" x14ac:dyDescent="0.25">
      <c r="A12" s="64">
        <v>44662</v>
      </c>
      <c r="B12" s="52" t="str">
        <f t="shared" si="0"/>
        <v>Monday</v>
      </c>
    </row>
    <row r="13" spans="1:4" x14ac:dyDescent="0.25">
      <c r="A13" s="64">
        <v>44663</v>
      </c>
      <c r="B13" s="52" t="str">
        <f t="shared" si="0"/>
        <v>Tuesday</v>
      </c>
    </row>
    <row r="14" spans="1:4" x14ac:dyDescent="0.25">
      <c r="A14" s="64">
        <v>44664</v>
      </c>
      <c r="B14" s="52" t="str">
        <f t="shared" si="0"/>
        <v>Wednesday</v>
      </c>
    </row>
    <row r="15" spans="1:4" x14ac:dyDescent="0.25">
      <c r="A15" s="64">
        <v>44665</v>
      </c>
      <c r="B15" s="52" t="str">
        <f t="shared" si="0"/>
        <v>Thursday</v>
      </c>
    </row>
    <row r="16" spans="1:4" x14ac:dyDescent="0.25">
      <c r="A16" s="64">
        <v>44666</v>
      </c>
      <c r="B16" s="52" t="str">
        <f t="shared" si="0"/>
        <v>Friday</v>
      </c>
    </row>
    <row r="17" spans="1:2" x14ac:dyDescent="0.25">
      <c r="A17" s="64">
        <v>44667</v>
      </c>
      <c r="B17" s="52" t="str">
        <f t="shared" si="0"/>
        <v>Saturday</v>
      </c>
    </row>
    <row r="18" spans="1:2" x14ac:dyDescent="0.25">
      <c r="A18" s="64">
        <v>44668</v>
      </c>
      <c r="B18" s="52" t="str">
        <f t="shared" si="0"/>
        <v>Sunday</v>
      </c>
    </row>
    <row r="19" spans="1:2" x14ac:dyDescent="0.25">
      <c r="A19" s="64">
        <v>44669</v>
      </c>
      <c r="B19" s="52" t="str">
        <f t="shared" si="0"/>
        <v>Monday</v>
      </c>
    </row>
    <row r="20" spans="1:2" x14ac:dyDescent="0.25">
      <c r="A20" s="64">
        <v>44670</v>
      </c>
      <c r="B20" s="52" t="str">
        <f t="shared" si="0"/>
        <v>Tuesday</v>
      </c>
    </row>
    <row r="21" spans="1:2" x14ac:dyDescent="0.25">
      <c r="A21" s="64">
        <v>44671</v>
      </c>
      <c r="B21" s="52" t="str">
        <f t="shared" si="0"/>
        <v>Wednesday</v>
      </c>
    </row>
    <row r="22" spans="1:2" x14ac:dyDescent="0.25">
      <c r="A22" s="64">
        <v>44672</v>
      </c>
      <c r="B22" s="52" t="str">
        <f t="shared" si="0"/>
        <v>Thursday</v>
      </c>
    </row>
    <row r="23" spans="1:2" x14ac:dyDescent="0.25">
      <c r="A23" s="64">
        <v>44673</v>
      </c>
      <c r="B23" s="52" t="str">
        <f t="shared" si="0"/>
        <v>Friday</v>
      </c>
    </row>
    <row r="24" spans="1:2" x14ac:dyDescent="0.25">
      <c r="A24" s="64">
        <v>44674</v>
      </c>
      <c r="B24" s="52" t="str">
        <f t="shared" si="0"/>
        <v>Saturday</v>
      </c>
    </row>
    <row r="25" spans="1:2" x14ac:dyDescent="0.25">
      <c r="A25" s="64">
        <v>44675</v>
      </c>
      <c r="B25" s="52" t="str">
        <f t="shared" si="0"/>
        <v>Sunday</v>
      </c>
    </row>
    <row r="26" spans="1:2" x14ac:dyDescent="0.25">
      <c r="A26" s="64">
        <v>44676</v>
      </c>
      <c r="B26" s="52" t="str">
        <f t="shared" si="0"/>
        <v>Monday</v>
      </c>
    </row>
    <row r="27" spans="1:2" x14ac:dyDescent="0.25">
      <c r="A27" s="64">
        <v>44677</v>
      </c>
      <c r="B27" s="52" t="str">
        <f t="shared" si="0"/>
        <v>Tuesday</v>
      </c>
    </row>
    <row r="28" spans="1:2" x14ac:dyDescent="0.25">
      <c r="A28" s="64">
        <v>44678</v>
      </c>
      <c r="B28" s="52" t="str">
        <f t="shared" si="0"/>
        <v>Wednesday</v>
      </c>
    </row>
    <row r="29" spans="1:2" x14ac:dyDescent="0.25">
      <c r="A29" s="64">
        <v>44679</v>
      </c>
      <c r="B29" s="52" t="str">
        <f t="shared" si="0"/>
        <v>Thursday</v>
      </c>
    </row>
    <row r="30" spans="1:2" x14ac:dyDescent="0.25">
      <c r="A30" s="64">
        <v>44680</v>
      </c>
      <c r="B30" s="52" t="str">
        <f t="shared" si="0"/>
        <v>Friday</v>
      </c>
    </row>
    <row r="31" spans="1:2" x14ac:dyDescent="0.25">
      <c r="A31" s="64">
        <v>44681</v>
      </c>
      <c r="B31" s="52" t="str">
        <f t="shared" si="0"/>
        <v>Saturday</v>
      </c>
    </row>
  </sheetData>
  <conditionalFormatting sqref="A2:A31">
    <cfRule type="expression" dxfId="1" priority="1">
      <formula>TEXT($A2,"DDD")="Sun"</formula>
    </cfRule>
    <cfRule type="expression" dxfId="0" priority="3">
      <formula>TEXT($A2,"DDD")="Sat"</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53C5E-B783-414F-8E71-729E0F3E0953}">
  <sheetPr codeName="Sheet31"/>
  <dimension ref="A1:J18"/>
  <sheetViews>
    <sheetView topLeftCell="D1" zoomScale="130" zoomScaleNormal="130" workbookViewId="0">
      <selection activeCell="G13" sqref="G13"/>
    </sheetView>
  </sheetViews>
  <sheetFormatPr defaultColWidth="8.7265625" defaultRowHeight="13.8" x14ac:dyDescent="0.25"/>
  <cols>
    <col min="1" max="1" width="12.1796875" style="30" customWidth="1"/>
    <col min="2" max="2" width="13.26953125" style="30" customWidth="1"/>
    <col min="3" max="3" width="11.81640625" style="30" customWidth="1"/>
    <col min="4" max="4" width="11.90625" style="30" bestFit="1" customWidth="1"/>
    <col min="5" max="5" width="12.6328125" style="30" customWidth="1"/>
    <col min="6" max="6" width="12.81640625" style="30" bestFit="1" customWidth="1"/>
    <col min="7" max="7" width="12.54296875" style="30" customWidth="1"/>
    <col min="8" max="8" width="12.26953125" style="30" customWidth="1"/>
    <col min="9" max="9" width="38.6328125" style="30" bestFit="1" customWidth="1"/>
    <col min="10" max="16384" width="8.7265625" style="30"/>
  </cols>
  <sheetData>
    <row r="1" spans="1:10" ht="15" x14ac:dyDescent="0.25">
      <c r="A1" s="26" t="s">
        <v>417</v>
      </c>
      <c r="B1" s="20" t="s">
        <v>34</v>
      </c>
      <c r="C1" s="20" t="s">
        <v>495</v>
      </c>
      <c r="F1" s="21" t="s">
        <v>689</v>
      </c>
      <c r="G1" s="31">
        <v>3</v>
      </c>
      <c r="I1"/>
      <c r="J1"/>
    </row>
    <row r="2" spans="1:10" ht="15.6" x14ac:dyDescent="0.25">
      <c r="A2" s="32" t="s">
        <v>397</v>
      </c>
      <c r="B2" s="193">
        <v>10</v>
      </c>
      <c r="C2" s="193">
        <v>17</v>
      </c>
      <c r="F2" s="21" t="s">
        <v>34</v>
      </c>
      <c r="G2" s="195">
        <f ca="1">OFFSET($A$1,$G$1,MATCH($F2,$B$1:$C$1,0))</f>
        <v>30</v>
      </c>
      <c r="H2" s="327" t="s">
        <v>974</v>
      </c>
      <c r="I2" s="326" t="s">
        <v>988</v>
      </c>
    </row>
    <row r="3" spans="1:10" x14ac:dyDescent="0.25">
      <c r="A3" s="32" t="s">
        <v>396</v>
      </c>
      <c r="B3" s="193">
        <v>20</v>
      </c>
      <c r="C3" s="193">
        <v>33</v>
      </c>
      <c r="F3" s="21" t="s">
        <v>495</v>
      </c>
      <c r="G3" s="195">
        <f ca="1">OFFSET($A$1,$G$1,MATCH($F3,$B$1:$C$1,0))</f>
        <v>36</v>
      </c>
      <c r="I3" s="326" t="s">
        <v>989</v>
      </c>
    </row>
    <row r="4" spans="1:10" x14ac:dyDescent="0.25">
      <c r="A4" s="32" t="s">
        <v>395</v>
      </c>
      <c r="B4" s="193">
        <v>30</v>
      </c>
      <c r="C4" s="193">
        <v>36</v>
      </c>
      <c r="F4" s="21" t="s">
        <v>382</v>
      </c>
      <c r="G4" s="195">
        <f ca="1">SUM(G2,G3)</f>
        <v>66</v>
      </c>
    </row>
    <row r="5" spans="1:10" ht="15" x14ac:dyDescent="0.25">
      <c r="A5" s="32" t="s">
        <v>394</v>
      </c>
      <c r="B5" s="193">
        <v>40</v>
      </c>
      <c r="C5" s="193">
        <v>41</v>
      </c>
      <c r="G5"/>
      <c r="H5"/>
    </row>
    <row r="6" spans="1:10" x14ac:dyDescent="0.25">
      <c r="A6" s="32" t="s">
        <v>393</v>
      </c>
      <c r="B6" s="193">
        <v>50</v>
      </c>
      <c r="C6" s="193">
        <v>33</v>
      </c>
      <c r="E6" s="33"/>
      <c r="F6" s="29"/>
    </row>
    <row r="7" spans="1:10" ht="15.6" x14ac:dyDescent="0.25">
      <c r="A7" s="32" t="s">
        <v>392</v>
      </c>
      <c r="B7" s="193">
        <v>60</v>
      </c>
      <c r="C7" s="193">
        <v>36</v>
      </c>
      <c r="D7" s="33"/>
      <c r="F7" s="202" t="s">
        <v>417</v>
      </c>
      <c r="G7" s="202" t="s">
        <v>397</v>
      </c>
      <c r="H7" s="202" t="s">
        <v>396</v>
      </c>
      <c r="I7" s="202" t="s">
        <v>395</v>
      </c>
    </row>
    <row r="8" spans="1:10" ht="15" x14ac:dyDescent="0.25">
      <c r="A8" s="32" t="s">
        <v>412</v>
      </c>
      <c r="B8" s="193">
        <v>70</v>
      </c>
      <c r="C8" s="193">
        <v>27</v>
      </c>
      <c r="F8" s="54" t="s">
        <v>34</v>
      </c>
      <c r="G8" s="132">
        <f ca="1">OFFSET($A$1, MATCH(G$7, $A$2:$A$10,0), MATCH($F8,$B$1:$C$1,0))</f>
        <v>10</v>
      </c>
      <c r="H8" s="132">
        <f t="shared" ref="H8:I9" ca="1" si="0">OFFSET($A$1, MATCH(H$7, $A$2:$A$10,0), MATCH($F8,$B$1:$C$1,0))</f>
        <v>20</v>
      </c>
      <c r="I8" s="132">
        <f t="shared" ca="1" si="0"/>
        <v>30</v>
      </c>
    </row>
    <row r="9" spans="1:10" ht="15" x14ac:dyDescent="0.25">
      <c r="A9" s="32" t="s">
        <v>413</v>
      </c>
      <c r="B9" s="193">
        <v>80</v>
      </c>
      <c r="C9" s="193"/>
      <c r="E9"/>
      <c r="F9" s="54" t="s">
        <v>495</v>
      </c>
      <c r="G9" s="132">
        <f ca="1">OFFSET($A$1, MATCH(G$7, $A$2:$A$10,0), MATCH($F9,$B$1:$C$1,0))</f>
        <v>17</v>
      </c>
      <c r="H9" s="132">
        <f t="shared" ca="1" si="0"/>
        <v>33</v>
      </c>
      <c r="I9" s="132">
        <f t="shared" ca="1" si="0"/>
        <v>36</v>
      </c>
    </row>
    <row r="10" spans="1:10" ht="15.6" x14ac:dyDescent="0.25">
      <c r="A10" s="35" t="s">
        <v>690</v>
      </c>
      <c r="B10" s="194">
        <v>90</v>
      </c>
      <c r="C10" s="194"/>
      <c r="E10"/>
      <c r="F10" s="191" t="s">
        <v>382</v>
      </c>
      <c r="G10" s="191">
        <f ca="1">SUM(G8:G9)</f>
        <v>27</v>
      </c>
      <c r="H10" s="191">
        <f ca="1">SUM(H8:H9)</f>
        <v>53</v>
      </c>
      <c r="I10" s="191">
        <f ca="1">SUM(I8:I9)</f>
        <v>66</v>
      </c>
    </row>
    <row r="11" spans="1:10" ht="15" x14ac:dyDescent="0.25">
      <c r="A11" s="29"/>
      <c r="B11" s="34"/>
      <c r="C11" s="34"/>
      <c r="E11"/>
    </row>
    <row r="12" spans="1:10" ht="15" x14ac:dyDescent="0.25">
      <c r="D12" s="31">
        <v>-3</v>
      </c>
      <c r="F12"/>
      <c r="G12"/>
    </row>
    <row r="13" spans="1:10" x14ac:dyDescent="0.25">
      <c r="D13" s="31">
        <v>-2</v>
      </c>
    </row>
    <row r="14" spans="1:10" x14ac:dyDescent="0.25">
      <c r="D14" s="31">
        <v>-1</v>
      </c>
    </row>
    <row r="15" spans="1:10" s="29" customFormat="1" x14ac:dyDescent="0.25">
      <c r="A15" s="31">
        <v>-3</v>
      </c>
      <c r="B15" s="31">
        <v>-2</v>
      </c>
      <c r="C15" s="324">
        <v>-1</v>
      </c>
      <c r="D15" s="323" t="s">
        <v>987</v>
      </c>
      <c r="E15" s="325">
        <v>1</v>
      </c>
      <c r="F15" s="31">
        <v>2</v>
      </c>
      <c r="G15" s="31">
        <v>3</v>
      </c>
    </row>
    <row r="16" spans="1:10" x14ac:dyDescent="0.25">
      <c r="D16" s="31">
        <v>1</v>
      </c>
    </row>
    <row r="17" spans="4:4" x14ac:dyDescent="0.25">
      <c r="D17" s="31">
        <v>2</v>
      </c>
    </row>
    <row r="18" spans="4:4" x14ac:dyDescent="0.25">
      <c r="D18" s="31">
        <v>3</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7"/>
  <dimension ref="A1:F69"/>
  <sheetViews>
    <sheetView zoomScale="130" zoomScaleNormal="130" workbookViewId="0">
      <selection activeCell="G5" sqref="G5"/>
    </sheetView>
  </sheetViews>
  <sheetFormatPr defaultRowHeight="13.2" x14ac:dyDescent="0.25"/>
  <cols>
    <col min="1" max="1" width="10.81640625" style="13" bestFit="1" customWidth="1"/>
    <col min="2" max="2" width="9.08984375" style="13" customWidth="1"/>
    <col min="3" max="3" width="9.08984375" style="15" bestFit="1" customWidth="1"/>
    <col min="4" max="4" width="8.90625" style="13"/>
    <col min="5" max="5" width="7.90625" style="13" bestFit="1" customWidth="1"/>
    <col min="6" max="256" width="8.90625" style="13"/>
    <col min="257" max="257" width="9.08984375" style="13" bestFit="1" customWidth="1"/>
    <col min="258" max="258" width="9.08984375" style="13" customWidth="1"/>
    <col min="259" max="259" width="9.08984375" style="13" bestFit="1" customWidth="1"/>
    <col min="260" max="260" width="8.90625" style="13"/>
    <col min="261" max="261" width="7.90625" style="13" bestFit="1" customWidth="1"/>
    <col min="262" max="512" width="8.90625" style="13"/>
    <col min="513" max="513" width="9.08984375" style="13" bestFit="1" customWidth="1"/>
    <col min="514" max="514" width="9.08984375" style="13" customWidth="1"/>
    <col min="515" max="515" width="9.08984375" style="13" bestFit="1" customWidth="1"/>
    <col min="516" max="516" width="8.90625" style="13"/>
    <col min="517" max="517" width="7.90625" style="13" bestFit="1" customWidth="1"/>
    <col min="518" max="768" width="8.90625" style="13"/>
    <col min="769" max="769" width="9.08984375" style="13" bestFit="1" customWidth="1"/>
    <col min="770" max="770" width="9.08984375" style="13" customWidth="1"/>
    <col min="771" max="771" width="9.08984375" style="13" bestFit="1" customWidth="1"/>
    <col min="772" max="772" width="8.90625" style="13"/>
    <col min="773" max="773" width="7.90625" style="13" bestFit="1" customWidth="1"/>
    <col min="774" max="1024" width="8.90625" style="13"/>
    <col min="1025" max="1025" width="9.08984375" style="13" bestFit="1" customWidth="1"/>
    <col min="1026" max="1026" width="9.08984375" style="13" customWidth="1"/>
    <col min="1027" max="1027" width="9.08984375" style="13" bestFit="1" customWidth="1"/>
    <col min="1028" max="1028" width="8.90625" style="13"/>
    <col min="1029" max="1029" width="7.90625" style="13" bestFit="1" customWidth="1"/>
    <col min="1030" max="1280" width="8.90625" style="13"/>
    <col min="1281" max="1281" width="9.08984375" style="13" bestFit="1" customWidth="1"/>
    <col min="1282" max="1282" width="9.08984375" style="13" customWidth="1"/>
    <col min="1283" max="1283" width="9.08984375" style="13" bestFit="1" customWidth="1"/>
    <col min="1284" max="1284" width="8.90625" style="13"/>
    <col min="1285" max="1285" width="7.90625" style="13" bestFit="1" customWidth="1"/>
    <col min="1286" max="1536" width="8.90625" style="13"/>
    <col min="1537" max="1537" width="9.08984375" style="13" bestFit="1" customWidth="1"/>
    <col min="1538" max="1538" width="9.08984375" style="13" customWidth="1"/>
    <col min="1539" max="1539" width="9.08984375" style="13" bestFit="1" customWidth="1"/>
    <col min="1540" max="1540" width="8.90625" style="13"/>
    <col min="1541" max="1541" width="7.90625" style="13" bestFit="1" customWidth="1"/>
    <col min="1542" max="1792" width="8.90625" style="13"/>
    <col min="1793" max="1793" width="9.08984375" style="13" bestFit="1" customWidth="1"/>
    <col min="1794" max="1794" width="9.08984375" style="13" customWidth="1"/>
    <col min="1795" max="1795" width="9.08984375" style="13" bestFit="1" customWidth="1"/>
    <col min="1796" max="1796" width="8.90625" style="13"/>
    <col min="1797" max="1797" width="7.90625" style="13" bestFit="1" customWidth="1"/>
    <col min="1798" max="2048" width="8.90625" style="13"/>
    <col min="2049" max="2049" width="9.08984375" style="13" bestFit="1" customWidth="1"/>
    <col min="2050" max="2050" width="9.08984375" style="13" customWidth="1"/>
    <col min="2051" max="2051" width="9.08984375" style="13" bestFit="1" customWidth="1"/>
    <col min="2052" max="2052" width="8.90625" style="13"/>
    <col min="2053" max="2053" width="7.90625" style="13" bestFit="1" customWidth="1"/>
    <col min="2054" max="2304" width="8.90625" style="13"/>
    <col min="2305" max="2305" width="9.08984375" style="13" bestFit="1" customWidth="1"/>
    <col min="2306" max="2306" width="9.08984375" style="13" customWidth="1"/>
    <col min="2307" max="2307" width="9.08984375" style="13" bestFit="1" customWidth="1"/>
    <col min="2308" max="2308" width="8.90625" style="13"/>
    <col min="2309" max="2309" width="7.90625" style="13" bestFit="1" customWidth="1"/>
    <col min="2310" max="2560" width="8.90625" style="13"/>
    <col min="2561" max="2561" width="9.08984375" style="13" bestFit="1" customWidth="1"/>
    <col min="2562" max="2562" width="9.08984375" style="13" customWidth="1"/>
    <col min="2563" max="2563" width="9.08984375" style="13" bestFit="1" customWidth="1"/>
    <col min="2564" max="2564" width="8.90625" style="13"/>
    <col min="2565" max="2565" width="7.90625" style="13" bestFit="1" customWidth="1"/>
    <col min="2566" max="2816" width="8.90625" style="13"/>
    <col min="2817" max="2817" width="9.08984375" style="13" bestFit="1" customWidth="1"/>
    <col min="2818" max="2818" width="9.08984375" style="13" customWidth="1"/>
    <col min="2819" max="2819" width="9.08984375" style="13" bestFit="1" customWidth="1"/>
    <col min="2820" max="2820" width="8.90625" style="13"/>
    <col min="2821" max="2821" width="7.90625" style="13" bestFit="1" customWidth="1"/>
    <col min="2822" max="3072" width="8.90625" style="13"/>
    <col min="3073" max="3073" width="9.08984375" style="13" bestFit="1" customWidth="1"/>
    <col min="3074" max="3074" width="9.08984375" style="13" customWidth="1"/>
    <col min="3075" max="3075" width="9.08984375" style="13" bestFit="1" customWidth="1"/>
    <col min="3076" max="3076" width="8.90625" style="13"/>
    <col min="3077" max="3077" width="7.90625" style="13" bestFit="1" customWidth="1"/>
    <col min="3078" max="3328" width="8.90625" style="13"/>
    <col min="3329" max="3329" width="9.08984375" style="13" bestFit="1" customWidth="1"/>
    <col min="3330" max="3330" width="9.08984375" style="13" customWidth="1"/>
    <col min="3331" max="3331" width="9.08984375" style="13" bestFit="1" customWidth="1"/>
    <col min="3332" max="3332" width="8.90625" style="13"/>
    <col min="3333" max="3333" width="7.90625" style="13" bestFit="1" customWidth="1"/>
    <col min="3334" max="3584" width="8.90625" style="13"/>
    <col min="3585" max="3585" width="9.08984375" style="13" bestFit="1" customWidth="1"/>
    <col min="3586" max="3586" width="9.08984375" style="13" customWidth="1"/>
    <col min="3587" max="3587" width="9.08984375" style="13" bestFit="1" customWidth="1"/>
    <col min="3588" max="3588" width="8.90625" style="13"/>
    <col min="3589" max="3589" width="7.90625" style="13" bestFit="1" customWidth="1"/>
    <col min="3590" max="3840" width="8.90625" style="13"/>
    <col min="3841" max="3841" width="9.08984375" style="13" bestFit="1" customWidth="1"/>
    <col min="3842" max="3842" width="9.08984375" style="13" customWidth="1"/>
    <col min="3843" max="3843" width="9.08984375" style="13" bestFit="1" customWidth="1"/>
    <col min="3844" max="3844" width="8.90625" style="13"/>
    <col min="3845" max="3845" width="7.90625" style="13" bestFit="1" customWidth="1"/>
    <col min="3846" max="4096" width="8.90625" style="13"/>
    <col min="4097" max="4097" width="9.08984375" style="13" bestFit="1" customWidth="1"/>
    <col min="4098" max="4098" width="9.08984375" style="13" customWidth="1"/>
    <col min="4099" max="4099" width="9.08984375" style="13" bestFit="1" customWidth="1"/>
    <col min="4100" max="4100" width="8.90625" style="13"/>
    <col min="4101" max="4101" width="7.90625" style="13" bestFit="1" customWidth="1"/>
    <col min="4102" max="4352" width="8.90625" style="13"/>
    <col min="4353" max="4353" width="9.08984375" style="13" bestFit="1" customWidth="1"/>
    <col min="4354" max="4354" width="9.08984375" style="13" customWidth="1"/>
    <col min="4355" max="4355" width="9.08984375" style="13" bestFit="1" customWidth="1"/>
    <col min="4356" max="4356" width="8.90625" style="13"/>
    <col min="4357" max="4357" width="7.90625" style="13" bestFit="1" customWidth="1"/>
    <col min="4358" max="4608" width="8.90625" style="13"/>
    <col min="4609" max="4609" width="9.08984375" style="13" bestFit="1" customWidth="1"/>
    <col min="4610" max="4610" width="9.08984375" style="13" customWidth="1"/>
    <col min="4611" max="4611" width="9.08984375" style="13" bestFit="1" customWidth="1"/>
    <col min="4612" max="4612" width="8.90625" style="13"/>
    <col min="4613" max="4613" width="7.90625" style="13" bestFit="1" customWidth="1"/>
    <col min="4614" max="4864" width="8.90625" style="13"/>
    <col min="4865" max="4865" width="9.08984375" style="13" bestFit="1" customWidth="1"/>
    <col min="4866" max="4866" width="9.08984375" style="13" customWidth="1"/>
    <col min="4867" max="4867" width="9.08984375" style="13" bestFit="1" customWidth="1"/>
    <col min="4868" max="4868" width="8.90625" style="13"/>
    <col min="4869" max="4869" width="7.90625" style="13" bestFit="1" customWidth="1"/>
    <col min="4870" max="5120" width="8.90625" style="13"/>
    <col min="5121" max="5121" width="9.08984375" style="13" bestFit="1" customWidth="1"/>
    <col min="5122" max="5122" width="9.08984375" style="13" customWidth="1"/>
    <col min="5123" max="5123" width="9.08984375" style="13" bestFit="1" customWidth="1"/>
    <col min="5124" max="5124" width="8.90625" style="13"/>
    <col min="5125" max="5125" width="7.90625" style="13" bestFit="1" customWidth="1"/>
    <col min="5126" max="5376" width="8.90625" style="13"/>
    <col min="5377" max="5377" width="9.08984375" style="13" bestFit="1" customWidth="1"/>
    <col min="5378" max="5378" width="9.08984375" style="13" customWidth="1"/>
    <col min="5379" max="5379" width="9.08984375" style="13" bestFit="1" customWidth="1"/>
    <col min="5380" max="5380" width="8.90625" style="13"/>
    <col min="5381" max="5381" width="7.90625" style="13" bestFit="1" customWidth="1"/>
    <col min="5382" max="5632" width="8.90625" style="13"/>
    <col min="5633" max="5633" width="9.08984375" style="13" bestFit="1" customWidth="1"/>
    <col min="5634" max="5634" width="9.08984375" style="13" customWidth="1"/>
    <col min="5635" max="5635" width="9.08984375" style="13" bestFit="1" customWidth="1"/>
    <col min="5636" max="5636" width="8.90625" style="13"/>
    <col min="5637" max="5637" width="7.90625" style="13" bestFit="1" customWidth="1"/>
    <col min="5638" max="5888" width="8.90625" style="13"/>
    <col min="5889" max="5889" width="9.08984375" style="13" bestFit="1" customWidth="1"/>
    <col min="5890" max="5890" width="9.08984375" style="13" customWidth="1"/>
    <col min="5891" max="5891" width="9.08984375" style="13" bestFit="1" customWidth="1"/>
    <col min="5892" max="5892" width="8.90625" style="13"/>
    <col min="5893" max="5893" width="7.90625" style="13" bestFit="1" customWidth="1"/>
    <col min="5894" max="6144" width="8.90625" style="13"/>
    <col min="6145" max="6145" width="9.08984375" style="13" bestFit="1" customWidth="1"/>
    <col min="6146" max="6146" width="9.08984375" style="13" customWidth="1"/>
    <col min="6147" max="6147" width="9.08984375" style="13" bestFit="1" customWidth="1"/>
    <col min="6148" max="6148" width="8.90625" style="13"/>
    <col min="6149" max="6149" width="7.90625" style="13" bestFit="1" customWidth="1"/>
    <col min="6150" max="6400" width="8.90625" style="13"/>
    <col min="6401" max="6401" width="9.08984375" style="13" bestFit="1" customWidth="1"/>
    <col min="6402" max="6402" width="9.08984375" style="13" customWidth="1"/>
    <col min="6403" max="6403" width="9.08984375" style="13" bestFit="1" customWidth="1"/>
    <col min="6404" max="6404" width="8.90625" style="13"/>
    <col min="6405" max="6405" width="7.90625" style="13" bestFit="1" customWidth="1"/>
    <col min="6406" max="6656" width="8.90625" style="13"/>
    <col min="6657" max="6657" width="9.08984375" style="13" bestFit="1" customWidth="1"/>
    <col min="6658" max="6658" width="9.08984375" style="13" customWidth="1"/>
    <col min="6659" max="6659" width="9.08984375" style="13" bestFit="1" customWidth="1"/>
    <col min="6660" max="6660" width="8.90625" style="13"/>
    <col min="6661" max="6661" width="7.90625" style="13" bestFit="1" customWidth="1"/>
    <col min="6662" max="6912" width="8.90625" style="13"/>
    <col min="6913" max="6913" width="9.08984375" style="13" bestFit="1" customWidth="1"/>
    <col min="6914" max="6914" width="9.08984375" style="13" customWidth="1"/>
    <col min="6915" max="6915" width="9.08984375" style="13" bestFit="1" customWidth="1"/>
    <col min="6916" max="6916" width="8.90625" style="13"/>
    <col min="6917" max="6917" width="7.90625" style="13" bestFit="1" customWidth="1"/>
    <col min="6918" max="7168" width="8.90625" style="13"/>
    <col min="7169" max="7169" width="9.08984375" style="13" bestFit="1" customWidth="1"/>
    <col min="7170" max="7170" width="9.08984375" style="13" customWidth="1"/>
    <col min="7171" max="7171" width="9.08984375" style="13" bestFit="1" customWidth="1"/>
    <col min="7172" max="7172" width="8.90625" style="13"/>
    <col min="7173" max="7173" width="7.90625" style="13" bestFit="1" customWidth="1"/>
    <col min="7174" max="7424" width="8.90625" style="13"/>
    <col min="7425" max="7425" width="9.08984375" style="13" bestFit="1" customWidth="1"/>
    <col min="7426" max="7426" width="9.08984375" style="13" customWidth="1"/>
    <col min="7427" max="7427" width="9.08984375" style="13" bestFit="1" customWidth="1"/>
    <col min="7428" max="7428" width="8.90625" style="13"/>
    <col min="7429" max="7429" width="7.90625" style="13" bestFit="1" customWidth="1"/>
    <col min="7430" max="7680" width="8.90625" style="13"/>
    <col min="7681" max="7681" width="9.08984375" style="13" bestFit="1" customWidth="1"/>
    <col min="7682" max="7682" width="9.08984375" style="13" customWidth="1"/>
    <col min="7683" max="7683" width="9.08984375" style="13" bestFit="1" customWidth="1"/>
    <col min="7684" max="7684" width="8.90625" style="13"/>
    <col min="7685" max="7685" width="7.90625" style="13" bestFit="1" customWidth="1"/>
    <col min="7686" max="7936" width="8.90625" style="13"/>
    <col min="7937" max="7937" width="9.08984375" style="13" bestFit="1" customWidth="1"/>
    <col min="7938" max="7938" width="9.08984375" style="13" customWidth="1"/>
    <col min="7939" max="7939" width="9.08984375" style="13" bestFit="1" customWidth="1"/>
    <col min="7940" max="7940" width="8.90625" style="13"/>
    <col min="7941" max="7941" width="7.90625" style="13" bestFit="1" customWidth="1"/>
    <col min="7942" max="8192" width="8.90625" style="13"/>
    <col min="8193" max="8193" width="9.08984375" style="13" bestFit="1" customWidth="1"/>
    <col min="8194" max="8194" width="9.08984375" style="13" customWidth="1"/>
    <col min="8195" max="8195" width="9.08984375" style="13" bestFit="1" customWidth="1"/>
    <col min="8196" max="8196" width="8.90625" style="13"/>
    <col min="8197" max="8197" width="7.90625" style="13" bestFit="1" customWidth="1"/>
    <col min="8198" max="8448" width="8.90625" style="13"/>
    <col min="8449" max="8449" width="9.08984375" style="13" bestFit="1" customWidth="1"/>
    <col min="8450" max="8450" width="9.08984375" style="13" customWidth="1"/>
    <col min="8451" max="8451" width="9.08984375" style="13" bestFit="1" customWidth="1"/>
    <col min="8452" max="8452" width="8.90625" style="13"/>
    <col min="8453" max="8453" width="7.90625" style="13" bestFit="1" customWidth="1"/>
    <col min="8454" max="8704" width="8.90625" style="13"/>
    <col min="8705" max="8705" width="9.08984375" style="13" bestFit="1" customWidth="1"/>
    <col min="8706" max="8706" width="9.08984375" style="13" customWidth="1"/>
    <col min="8707" max="8707" width="9.08984375" style="13" bestFit="1" customWidth="1"/>
    <col min="8708" max="8708" width="8.90625" style="13"/>
    <col min="8709" max="8709" width="7.90625" style="13" bestFit="1" customWidth="1"/>
    <col min="8710" max="8960" width="8.90625" style="13"/>
    <col min="8961" max="8961" width="9.08984375" style="13" bestFit="1" customWidth="1"/>
    <col min="8962" max="8962" width="9.08984375" style="13" customWidth="1"/>
    <col min="8963" max="8963" width="9.08984375" style="13" bestFit="1" customWidth="1"/>
    <col min="8964" max="8964" width="8.90625" style="13"/>
    <col min="8965" max="8965" width="7.90625" style="13" bestFit="1" customWidth="1"/>
    <col min="8966" max="9216" width="8.90625" style="13"/>
    <col min="9217" max="9217" width="9.08984375" style="13" bestFit="1" customWidth="1"/>
    <col min="9218" max="9218" width="9.08984375" style="13" customWidth="1"/>
    <col min="9219" max="9219" width="9.08984375" style="13" bestFit="1" customWidth="1"/>
    <col min="9220" max="9220" width="8.90625" style="13"/>
    <col min="9221" max="9221" width="7.90625" style="13" bestFit="1" customWidth="1"/>
    <col min="9222" max="9472" width="8.90625" style="13"/>
    <col min="9473" max="9473" width="9.08984375" style="13" bestFit="1" customWidth="1"/>
    <col min="9474" max="9474" width="9.08984375" style="13" customWidth="1"/>
    <col min="9475" max="9475" width="9.08984375" style="13" bestFit="1" customWidth="1"/>
    <col min="9476" max="9476" width="8.90625" style="13"/>
    <col min="9477" max="9477" width="7.90625" style="13" bestFit="1" customWidth="1"/>
    <col min="9478" max="9728" width="8.90625" style="13"/>
    <col min="9729" max="9729" width="9.08984375" style="13" bestFit="1" customWidth="1"/>
    <col min="9730" max="9730" width="9.08984375" style="13" customWidth="1"/>
    <col min="9731" max="9731" width="9.08984375" style="13" bestFit="1" customWidth="1"/>
    <col min="9732" max="9732" width="8.90625" style="13"/>
    <col min="9733" max="9733" width="7.90625" style="13" bestFit="1" customWidth="1"/>
    <col min="9734" max="9984" width="8.90625" style="13"/>
    <col min="9985" max="9985" width="9.08984375" style="13" bestFit="1" customWidth="1"/>
    <col min="9986" max="9986" width="9.08984375" style="13" customWidth="1"/>
    <col min="9987" max="9987" width="9.08984375" style="13" bestFit="1" customWidth="1"/>
    <col min="9988" max="9988" width="8.90625" style="13"/>
    <col min="9989" max="9989" width="7.90625" style="13" bestFit="1" customWidth="1"/>
    <col min="9990" max="10240" width="8.90625" style="13"/>
    <col min="10241" max="10241" width="9.08984375" style="13" bestFit="1" customWidth="1"/>
    <col min="10242" max="10242" width="9.08984375" style="13" customWidth="1"/>
    <col min="10243" max="10243" width="9.08984375" style="13" bestFit="1" customWidth="1"/>
    <col min="10244" max="10244" width="8.90625" style="13"/>
    <col min="10245" max="10245" width="7.90625" style="13" bestFit="1" customWidth="1"/>
    <col min="10246" max="10496" width="8.90625" style="13"/>
    <col min="10497" max="10497" width="9.08984375" style="13" bestFit="1" customWidth="1"/>
    <col min="10498" max="10498" width="9.08984375" style="13" customWidth="1"/>
    <col min="10499" max="10499" width="9.08984375" style="13" bestFit="1" customWidth="1"/>
    <col min="10500" max="10500" width="8.90625" style="13"/>
    <col min="10501" max="10501" width="7.90625" style="13" bestFit="1" customWidth="1"/>
    <col min="10502" max="10752" width="8.90625" style="13"/>
    <col min="10753" max="10753" width="9.08984375" style="13" bestFit="1" customWidth="1"/>
    <col min="10754" max="10754" width="9.08984375" style="13" customWidth="1"/>
    <col min="10755" max="10755" width="9.08984375" style="13" bestFit="1" customWidth="1"/>
    <col min="10756" max="10756" width="8.90625" style="13"/>
    <col min="10757" max="10757" width="7.90625" style="13" bestFit="1" customWidth="1"/>
    <col min="10758" max="11008" width="8.90625" style="13"/>
    <col min="11009" max="11009" width="9.08984375" style="13" bestFit="1" customWidth="1"/>
    <col min="11010" max="11010" width="9.08984375" style="13" customWidth="1"/>
    <col min="11011" max="11011" width="9.08984375" style="13" bestFit="1" customWidth="1"/>
    <col min="11012" max="11012" width="8.90625" style="13"/>
    <col min="11013" max="11013" width="7.90625" style="13" bestFit="1" customWidth="1"/>
    <col min="11014" max="11264" width="8.90625" style="13"/>
    <col min="11265" max="11265" width="9.08984375" style="13" bestFit="1" customWidth="1"/>
    <col min="11266" max="11266" width="9.08984375" style="13" customWidth="1"/>
    <col min="11267" max="11267" width="9.08984375" style="13" bestFit="1" customWidth="1"/>
    <col min="11268" max="11268" width="8.90625" style="13"/>
    <col min="11269" max="11269" width="7.90625" style="13" bestFit="1" customWidth="1"/>
    <col min="11270" max="11520" width="8.90625" style="13"/>
    <col min="11521" max="11521" width="9.08984375" style="13" bestFit="1" customWidth="1"/>
    <col min="11522" max="11522" width="9.08984375" style="13" customWidth="1"/>
    <col min="11523" max="11523" width="9.08984375" style="13" bestFit="1" customWidth="1"/>
    <col min="11524" max="11524" width="8.90625" style="13"/>
    <col min="11525" max="11525" width="7.90625" style="13" bestFit="1" customWidth="1"/>
    <col min="11526" max="11776" width="8.90625" style="13"/>
    <col min="11777" max="11777" width="9.08984375" style="13" bestFit="1" customWidth="1"/>
    <col min="11778" max="11778" width="9.08984375" style="13" customWidth="1"/>
    <col min="11779" max="11779" width="9.08984375" style="13" bestFit="1" customWidth="1"/>
    <col min="11780" max="11780" width="8.90625" style="13"/>
    <col min="11781" max="11781" width="7.90625" style="13" bestFit="1" customWidth="1"/>
    <col min="11782" max="12032" width="8.90625" style="13"/>
    <col min="12033" max="12033" width="9.08984375" style="13" bestFit="1" customWidth="1"/>
    <col min="12034" max="12034" width="9.08984375" style="13" customWidth="1"/>
    <col min="12035" max="12035" width="9.08984375" style="13" bestFit="1" customWidth="1"/>
    <col min="12036" max="12036" width="8.90625" style="13"/>
    <col min="12037" max="12037" width="7.90625" style="13" bestFit="1" customWidth="1"/>
    <col min="12038" max="12288" width="8.90625" style="13"/>
    <col min="12289" max="12289" width="9.08984375" style="13" bestFit="1" customWidth="1"/>
    <col min="12290" max="12290" width="9.08984375" style="13" customWidth="1"/>
    <col min="12291" max="12291" width="9.08984375" style="13" bestFit="1" customWidth="1"/>
    <col min="12292" max="12292" width="8.90625" style="13"/>
    <col min="12293" max="12293" width="7.90625" style="13" bestFit="1" customWidth="1"/>
    <col min="12294" max="12544" width="8.90625" style="13"/>
    <col min="12545" max="12545" width="9.08984375" style="13" bestFit="1" customWidth="1"/>
    <col min="12546" max="12546" width="9.08984375" style="13" customWidth="1"/>
    <col min="12547" max="12547" width="9.08984375" style="13" bestFit="1" customWidth="1"/>
    <col min="12548" max="12548" width="8.90625" style="13"/>
    <col min="12549" max="12549" width="7.90625" style="13" bestFit="1" customWidth="1"/>
    <col min="12550" max="12800" width="8.90625" style="13"/>
    <col min="12801" max="12801" width="9.08984375" style="13" bestFit="1" customWidth="1"/>
    <col min="12802" max="12802" width="9.08984375" style="13" customWidth="1"/>
    <col min="12803" max="12803" width="9.08984375" style="13" bestFit="1" customWidth="1"/>
    <col min="12804" max="12804" width="8.90625" style="13"/>
    <col min="12805" max="12805" width="7.90625" style="13" bestFit="1" customWidth="1"/>
    <col min="12806" max="13056" width="8.90625" style="13"/>
    <col min="13057" max="13057" width="9.08984375" style="13" bestFit="1" customWidth="1"/>
    <col min="13058" max="13058" width="9.08984375" style="13" customWidth="1"/>
    <col min="13059" max="13059" width="9.08984375" style="13" bestFit="1" customWidth="1"/>
    <col min="13060" max="13060" width="8.90625" style="13"/>
    <col min="13061" max="13061" width="7.90625" style="13" bestFit="1" customWidth="1"/>
    <col min="13062" max="13312" width="8.90625" style="13"/>
    <col min="13313" max="13313" width="9.08984375" style="13" bestFit="1" customWidth="1"/>
    <col min="13314" max="13314" width="9.08984375" style="13" customWidth="1"/>
    <col min="13315" max="13315" width="9.08984375" style="13" bestFit="1" customWidth="1"/>
    <col min="13316" max="13316" width="8.90625" style="13"/>
    <col min="13317" max="13317" width="7.90625" style="13" bestFit="1" customWidth="1"/>
    <col min="13318" max="13568" width="8.90625" style="13"/>
    <col min="13569" max="13569" width="9.08984375" style="13" bestFit="1" customWidth="1"/>
    <col min="13570" max="13570" width="9.08984375" style="13" customWidth="1"/>
    <col min="13571" max="13571" width="9.08984375" style="13" bestFit="1" customWidth="1"/>
    <col min="13572" max="13572" width="8.90625" style="13"/>
    <col min="13573" max="13573" width="7.90625" style="13" bestFit="1" customWidth="1"/>
    <col min="13574" max="13824" width="8.90625" style="13"/>
    <col min="13825" max="13825" width="9.08984375" style="13" bestFit="1" customWidth="1"/>
    <col min="13826" max="13826" width="9.08984375" style="13" customWidth="1"/>
    <col min="13827" max="13827" width="9.08984375" style="13" bestFit="1" customWidth="1"/>
    <col min="13828" max="13828" width="8.90625" style="13"/>
    <col min="13829" max="13829" width="7.90625" style="13" bestFit="1" customWidth="1"/>
    <col min="13830" max="14080" width="8.90625" style="13"/>
    <col min="14081" max="14081" width="9.08984375" style="13" bestFit="1" customWidth="1"/>
    <col min="14082" max="14082" width="9.08984375" style="13" customWidth="1"/>
    <col min="14083" max="14083" width="9.08984375" style="13" bestFit="1" customWidth="1"/>
    <col min="14084" max="14084" width="8.90625" style="13"/>
    <col min="14085" max="14085" width="7.90625" style="13" bestFit="1" customWidth="1"/>
    <col min="14086" max="14336" width="8.90625" style="13"/>
    <col min="14337" max="14337" width="9.08984375" style="13" bestFit="1" customWidth="1"/>
    <col min="14338" max="14338" width="9.08984375" style="13" customWidth="1"/>
    <col min="14339" max="14339" width="9.08984375" style="13" bestFit="1" customWidth="1"/>
    <col min="14340" max="14340" width="8.90625" style="13"/>
    <col min="14341" max="14341" width="7.90625" style="13" bestFit="1" customWidth="1"/>
    <col min="14342" max="14592" width="8.90625" style="13"/>
    <col min="14593" max="14593" width="9.08984375" style="13" bestFit="1" customWidth="1"/>
    <col min="14594" max="14594" width="9.08984375" style="13" customWidth="1"/>
    <col min="14595" max="14595" width="9.08984375" style="13" bestFit="1" customWidth="1"/>
    <col min="14596" max="14596" width="8.90625" style="13"/>
    <col min="14597" max="14597" width="7.90625" style="13" bestFit="1" customWidth="1"/>
    <col min="14598" max="14848" width="8.90625" style="13"/>
    <col min="14849" max="14849" width="9.08984375" style="13" bestFit="1" customWidth="1"/>
    <col min="14850" max="14850" width="9.08984375" style="13" customWidth="1"/>
    <col min="14851" max="14851" width="9.08984375" style="13" bestFit="1" customWidth="1"/>
    <col min="14852" max="14852" width="8.90625" style="13"/>
    <col min="14853" max="14853" width="7.90625" style="13" bestFit="1" customWidth="1"/>
    <col min="14854" max="15104" width="8.90625" style="13"/>
    <col min="15105" max="15105" width="9.08984375" style="13" bestFit="1" customWidth="1"/>
    <col min="15106" max="15106" width="9.08984375" style="13" customWidth="1"/>
    <col min="15107" max="15107" width="9.08984375" style="13" bestFit="1" customWidth="1"/>
    <col min="15108" max="15108" width="8.90625" style="13"/>
    <col min="15109" max="15109" width="7.90625" style="13" bestFit="1" customWidth="1"/>
    <col min="15110" max="15360" width="8.90625" style="13"/>
    <col min="15361" max="15361" width="9.08984375" style="13" bestFit="1" customWidth="1"/>
    <col min="15362" max="15362" width="9.08984375" style="13" customWidth="1"/>
    <col min="15363" max="15363" width="9.08984375" style="13" bestFit="1" customWidth="1"/>
    <col min="15364" max="15364" width="8.90625" style="13"/>
    <col min="15365" max="15365" width="7.90625" style="13" bestFit="1" customWidth="1"/>
    <col min="15366" max="15616" width="8.90625" style="13"/>
    <col min="15617" max="15617" width="9.08984375" style="13" bestFit="1" customWidth="1"/>
    <col min="15618" max="15618" width="9.08984375" style="13" customWidth="1"/>
    <col min="15619" max="15619" width="9.08984375" style="13" bestFit="1" customWidth="1"/>
    <col min="15620" max="15620" width="8.90625" style="13"/>
    <col min="15621" max="15621" width="7.90625" style="13" bestFit="1" customWidth="1"/>
    <col min="15622" max="15872" width="8.90625" style="13"/>
    <col min="15873" max="15873" width="9.08984375" style="13" bestFit="1" customWidth="1"/>
    <col min="15874" max="15874" width="9.08984375" style="13" customWidth="1"/>
    <col min="15875" max="15875" width="9.08984375" style="13" bestFit="1" customWidth="1"/>
    <col min="15876" max="15876" width="8.90625" style="13"/>
    <col min="15877" max="15877" width="7.90625" style="13" bestFit="1" customWidth="1"/>
    <col min="15878" max="16128" width="8.90625" style="13"/>
    <col min="16129" max="16129" width="9.08984375" style="13" bestFit="1" customWidth="1"/>
    <col min="16130" max="16130" width="9.08984375" style="13" customWidth="1"/>
    <col min="16131" max="16131" width="9.08984375" style="13" bestFit="1" customWidth="1"/>
    <col min="16132" max="16132" width="8.90625" style="13"/>
    <col min="16133" max="16133" width="7.90625" style="13" bestFit="1" customWidth="1"/>
    <col min="16134" max="16384" width="8.90625" style="13"/>
  </cols>
  <sheetData>
    <row r="1" spans="1:6" x14ac:dyDescent="0.25">
      <c r="A1" s="16"/>
      <c r="C1" s="13"/>
      <c r="D1" s="37"/>
      <c r="E1" s="37"/>
    </row>
    <row r="3" spans="1:6" ht="15.6" x14ac:dyDescent="0.3">
      <c r="A3" s="330" t="s">
        <v>974</v>
      </c>
      <c r="B3" s="456" t="s">
        <v>990</v>
      </c>
      <c r="C3" s="457"/>
      <c r="D3" s="457"/>
      <c r="E3" s="457"/>
      <c r="F3" s="457"/>
    </row>
    <row r="4" spans="1:6" ht="33" customHeight="1" x14ac:dyDescent="0.25">
      <c r="B4" s="458" t="s">
        <v>995</v>
      </c>
      <c r="C4" s="458"/>
      <c r="D4" s="458"/>
      <c r="E4" s="458"/>
      <c r="F4" s="458"/>
    </row>
    <row r="5" spans="1:6" ht="15.6" x14ac:dyDescent="0.3">
      <c r="A5" s="459" t="s">
        <v>996</v>
      </c>
      <c r="B5" s="459"/>
      <c r="C5" s="459"/>
      <c r="D5" s="459"/>
      <c r="E5" s="459"/>
    </row>
    <row r="6" spans="1:6" x14ac:dyDescent="0.25">
      <c r="A6" s="333" t="s">
        <v>417</v>
      </c>
      <c r="B6" s="333" t="s">
        <v>508</v>
      </c>
      <c r="C6" s="334" t="s">
        <v>414</v>
      </c>
      <c r="D6" s="335" t="s">
        <v>509</v>
      </c>
      <c r="E6" s="335" t="s">
        <v>36</v>
      </c>
    </row>
    <row r="7" spans="1:6" x14ac:dyDescent="0.25">
      <c r="A7" s="17" t="s">
        <v>397</v>
      </c>
      <c r="B7" s="17" t="s">
        <v>503</v>
      </c>
      <c r="C7" s="332" t="s">
        <v>428</v>
      </c>
      <c r="D7" s="49">
        <v>47</v>
      </c>
      <c r="E7" s="336">
        <v>391600</v>
      </c>
    </row>
    <row r="8" spans="1:6" x14ac:dyDescent="0.25">
      <c r="A8" s="17" t="s">
        <v>397</v>
      </c>
      <c r="B8" s="17" t="s">
        <v>504</v>
      </c>
      <c r="C8" s="332" t="s">
        <v>428</v>
      </c>
      <c r="D8" s="49">
        <v>25</v>
      </c>
      <c r="E8" s="336">
        <v>107600</v>
      </c>
    </row>
    <row r="9" spans="1:6" x14ac:dyDescent="0.25">
      <c r="A9" s="17" t="s">
        <v>397</v>
      </c>
      <c r="B9" s="17" t="s">
        <v>507</v>
      </c>
      <c r="C9" s="332" t="s">
        <v>422</v>
      </c>
      <c r="D9" s="49">
        <v>58</v>
      </c>
      <c r="E9" s="336">
        <v>283800</v>
      </c>
    </row>
    <row r="10" spans="1:6" x14ac:dyDescent="0.25">
      <c r="A10" s="17" t="s">
        <v>397</v>
      </c>
      <c r="B10" s="17" t="s">
        <v>505</v>
      </c>
      <c r="C10" s="332" t="s">
        <v>422</v>
      </c>
      <c r="D10" s="49">
        <v>39</v>
      </c>
      <c r="E10" s="336">
        <v>226700</v>
      </c>
    </row>
    <row r="11" spans="1:6" x14ac:dyDescent="0.25">
      <c r="A11" s="17" t="s">
        <v>397</v>
      </c>
      <c r="B11" s="17" t="s">
        <v>506</v>
      </c>
      <c r="C11" s="332" t="s">
        <v>422</v>
      </c>
      <c r="D11" s="49">
        <v>35</v>
      </c>
      <c r="E11" s="336">
        <v>507200</v>
      </c>
    </row>
    <row r="12" spans="1:6" x14ac:dyDescent="0.25">
      <c r="A12" s="17" t="s">
        <v>396</v>
      </c>
      <c r="B12" s="17" t="s">
        <v>503</v>
      </c>
      <c r="C12" s="332" t="s">
        <v>428</v>
      </c>
      <c r="D12" s="49">
        <v>29</v>
      </c>
      <c r="E12" s="336">
        <v>154200</v>
      </c>
    </row>
    <row r="13" spans="1:6" x14ac:dyDescent="0.25">
      <c r="A13" s="17" t="s">
        <v>396</v>
      </c>
      <c r="B13" s="17" t="s">
        <v>504</v>
      </c>
      <c r="C13" s="332" t="s">
        <v>428</v>
      </c>
      <c r="D13" s="49">
        <v>52</v>
      </c>
      <c r="E13" s="336">
        <v>233800</v>
      </c>
    </row>
    <row r="14" spans="1:6" x14ac:dyDescent="0.25">
      <c r="A14" s="17" t="s">
        <v>396</v>
      </c>
      <c r="B14" s="17" t="s">
        <v>507</v>
      </c>
      <c r="C14" s="332" t="s">
        <v>422</v>
      </c>
      <c r="D14" s="49">
        <v>44</v>
      </c>
      <c r="E14" s="336">
        <v>558400</v>
      </c>
    </row>
    <row r="15" spans="1:6" x14ac:dyDescent="0.25">
      <c r="A15" s="17" t="s">
        <v>396</v>
      </c>
      <c r="B15" s="17" t="s">
        <v>505</v>
      </c>
      <c r="C15" s="332" t="s">
        <v>422</v>
      </c>
      <c r="D15" s="49">
        <v>46</v>
      </c>
      <c r="E15" s="336">
        <v>350400</v>
      </c>
    </row>
    <row r="16" spans="1:6" x14ac:dyDescent="0.25">
      <c r="A16" s="17" t="s">
        <v>396</v>
      </c>
      <c r="B16" s="17" t="s">
        <v>506</v>
      </c>
      <c r="C16" s="332" t="s">
        <v>422</v>
      </c>
      <c r="D16" s="49">
        <v>74</v>
      </c>
      <c r="E16" s="336">
        <v>411800</v>
      </c>
    </row>
    <row r="17" spans="1:5" x14ac:dyDescent="0.25">
      <c r="A17" s="17" t="s">
        <v>395</v>
      </c>
      <c r="B17" s="17" t="s">
        <v>503</v>
      </c>
      <c r="C17" s="332" t="s">
        <v>428</v>
      </c>
      <c r="D17" s="49">
        <v>14</v>
      </c>
      <c r="E17" s="336">
        <v>162200</v>
      </c>
    </row>
    <row r="18" spans="1:5" x14ac:dyDescent="0.25">
      <c r="A18" s="17" t="s">
        <v>395</v>
      </c>
      <c r="B18" s="17" t="s">
        <v>504</v>
      </c>
      <c r="C18" s="332" t="s">
        <v>428</v>
      </c>
      <c r="D18" s="49">
        <v>36</v>
      </c>
      <c r="E18" s="336">
        <v>134300</v>
      </c>
    </row>
    <row r="19" spans="1:5" x14ac:dyDescent="0.25">
      <c r="A19" s="17" t="s">
        <v>395</v>
      </c>
      <c r="B19" s="17" t="s">
        <v>507</v>
      </c>
      <c r="C19" s="332" t="s">
        <v>422</v>
      </c>
      <c r="D19" s="49">
        <v>30</v>
      </c>
      <c r="E19" s="336">
        <v>353100</v>
      </c>
    </row>
    <row r="20" spans="1:5" x14ac:dyDescent="0.25">
      <c r="A20" s="17" t="s">
        <v>395</v>
      </c>
      <c r="B20" s="17" t="s">
        <v>505</v>
      </c>
      <c r="C20" s="332" t="s">
        <v>422</v>
      </c>
      <c r="D20" s="49">
        <v>44</v>
      </c>
      <c r="E20" s="336">
        <v>532100</v>
      </c>
    </row>
    <row r="21" spans="1:5" x14ac:dyDescent="0.25">
      <c r="A21" s="17" t="s">
        <v>395</v>
      </c>
      <c r="B21" s="17" t="s">
        <v>506</v>
      </c>
      <c r="C21" s="332" t="s">
        <v>422</v>
      </c>
      <c r="D21" s="49">
        <v>57</v>
      </c>
      <c r="E21" s="336">
        <v>258400</v>
      </c>
    </row>
    <row r="25" spans="1:5" ht="15.6" x14ac:dyDescent="0.3">
      <c r="A25" s="459" t="s">
        <v>997</v>
      </c>
      <c r="B25" s="459"/>
      <c r="C25" s="459"/>
      <c r="D25" s="459"/>
      <c r="E25" s="459"/>
    </row>
    <row r="26" spans="1:5" x14ac:dyDescent="0.25">
      <c r="A26" s="337" t="s">
        <v>417</v>
      </c>
      <c r="B26" s="338" t="s">
        <v>508</v>
      </c>
      <c r="C26" s="339" t="s">
        <v>414</v>
      </c>
      <c r="D26" s="340" t="s">
        <v>509</v>
      </c>
      <c r="E26" s="340" t="s">
        <v>36</v>
      </c>
    </row>
    <row r="27" spans="1:5" x14ac:dyDescent="0.25">
      <c r="A27" s="341" t="s">
        <v>397</v>
      </c>
      <c r="B27" s="342" t="s">
        <v>503</v>
      </c>
      <c r="C27" s="343" t="s">
        <v>428</v>
      </c>
      <c r="D27" s="344">
        <v>47</v>
      </c>
      <c r="E27" s="345">
        <v>391600</v>
      </c>
    </row>
    <row r="28" spans="1:5" x14ac:dyDescent="0.25">
      <c r="A28" s="341" t="s">
        <v>397</v>
      </c>
      <c r="B28" s="342" t="s">
        <v>504</v>
      </c>
      <c r="C28" s="343" t="s">
        <v>428</v>
      </c>
      <c r="D28" s="344">
        <v>25</v>
      </c>
      <c r="E28" s="345">
        <v>107600</v>
      </c>
    </row>
    <row r="29" spans="1:5" x14ac:dyDescent="0.25">
      <c r="A29" s="341" t="s">
        <v>397</v>
      </c>
      <c r="B29" s="342" t="s">
        <v>507</v>
      </c>
      <c r="C29" s="343" t="s">
        <v>422</v>
      </c>
      <c r="D29" s="344">
        <v>58</v>
      </c>
      <c r="E29" s="345">
        <v>283800</v>
      </c>
    </row>
    <row r="30" spans="1:5" x14ac:dyDescent="0.25">
      <c r="A30" s="341" t="s">
        <v>397</v>
      </c>
      <c r="B30" s="342" t="s">
        <v>505</v>
      </c>
      <c r="C30" s="343" t="s">
        <v>422</v>
      </c>
      <c r="D30" s="344">
        <v>39</v>
      </c>
      <c r="E30" s="345">
        <v>226700</v>
      </c>
    </row>
    <row r="31" spans="1:5" x14ac:dyDescent="0.25">
      <c r="A31" s="341" t="s">
        <v>397</v>
      </c>
      <c r="B31" s="342" t="s">
        <v>506</v>
      </c>
      <c r="C31" s="343" t="s">
        <v>422</v>
      </c>
      <c r="D31" s="344">
        <v>35</v>
      </c>
      <c r="E31" s="345">
        <v>507200</v>
      </c>
    </row>
    <row r="32" spans="1:5" x14ac:dyDescent="0.25">
      <c r="A32" s="346" t="s">
        <v>991</v>
      </c>
      <c r="B32" s="342"/>
      <c r="C32" s="343"/>
      <c r="D32" s="344"/>
      <c r="E32" s="345">
        <f>SUBTOTAL(9,E27:E31)</f>
        <v>1516900</v>
      </c>
    </row>
    <row r="33" spans="1:5" x14ac:dyDescent="0.25">
      <c r="A33" s="341" t="s">
        <v>396</v>
      </c>
      <c r="B33" s="342" t="s">
        <v>503</v>
      </c>
      <c r="C33" s="343" t="s">
        <v>428</v>
      </c>
      <c r="D33" s="344">
        <v>29</v>
      </c>
      <c r="E33" s="345">
        <v>154200</v>
      </c>
    </row>
    <row r="34" spans="1:5" x14ac:dyDescent="0.25">
      <c r="A34" s="341" t="s">
        <v>396</v>
      </c>
      <c r="B34" s="342" t="s">
        <v>504</v>
      </c>
      <c r="C34" s="343" t="s">
        <v>428</v>
      </c>
      <c r="D34" s="344">
        <v>52</v>
      </c>
      <c r="E34" s="345">
        <v>233800</v>
      </c>
    </row>
    <row r="35" spans="1:5" x14ac:dyDescent="0.25">
      <c r="A35" s="341" t="s">
        <v>396</v>
      </c>
      <c r="B35" s="342" t="s">
        <v>507</v>
      </c>
      <c r="C35" s="343" t="s">
        <v>422</v>
      </c>
      <c r="D35" s="344">
        <v>44</v>
      </c>
      <c r="E35" s="345">
        <v>558400</v>
      </c>
    </row>
    <row r="36" spans="1:5" x14ac:dyDescent="0.25">
      <c r="A36" s="341" t="s">
        <v>396</v>
      </c>
      <c r="B36" s="342" t="s">
        <v>505</v>
      </c>
      <c r="C36" s="343" t="s">
        <v>422</v>
      </c>
      <c r="D36" s="344">
        <v>46</v>
      </c>
      <c r="E36" s="345">
        <v>350400</v>
      </c>
    </row>
    <row r="37" spans="1:5" x14ac:dyDescent="0.25">
      <c r="A37" s="341" t="s">
        <v>396</v>
      </c>
      <c r="B37" s="342" t="s">
        <v>506</v>
      </c>
      <c r="C37" s="343" t="s">
        <v>422</v>
      </c>
      <c r="D37" s="344">
        <v>74</v>
      </c>
      <c r="E37" s="345">
        <v>411800</v>
      </c>
    </row>
    <row r="38" spans="1:5" x14ac:dyDescent="0.25">
      <c r="A38" s="346" t="s">
        <v>992</v>
      </c>
      <c r="B38" s="342"/>
      <c r="C38" s="343"/>
      <c r="D38" s="344"/>
      <c r="E38" s="345">
        <f>SUBTOTAL(9,E33:E37)</f>
        <v>1708600</v>
      </c>
    </row>
    <row r="39" spans="1:5" x14ac:dyDescent="0.25">
      <c r="A39" s="341" t="s">
        <v>395</v>
      </c>
      <c r="B39" s="342" t="s">
        <v>503</v>
      </c>
      <c r="C39" s="343" t="s">
        <v>428</v>
      </c>
      <c r="D39" s="344">
        <v>14</v>
      </c>
      <c r="E39" s="345">
        <v>162200</v>
      </c>
    </row>
    <row r="40" spans="1:5" x14ac:dyDescent="0.25">
      <c r="A40" s="341" t="s">
        <v>395</v>
      </c>
      <c r="B40" s="342" t="s">
        <v>504</v>
      </c>
      <c r="C40" s="343" t="s">
        <v>428</v>
      </c>
      <c r="D40" s="344">
        <v>36</v>
      </c>
      <c r="E40" s="345">
        <v>134300</v>
      </c>
    </row>
    <row r="41" spans="1:5" x14ac:dyDescent="0.25">
      <c r="A41" s="341" t="s">
        <v>395</v>
      </c>
      <c r="B41" s="342" t="s">
        <v>507</v>
      </c>
      <c r="C41" s="343" t="s">
        <v>422</v>
      </c>
      <c r="D41" s="344">
        <v>30</v>
      </c>
      <c r="E41" s="345">
        <v>353100</v>
      </c>
    </row>
    <row r="42" spans="1:5" x14ac:dyDescent="0.25">
      <c r="A42" s="341" t="s">
        <v>395</v>
      </c>
      <c r="B42" s="342" t="s">
        <v>505</v>
      </c>
      <c r="C42" s="343" t="s">
        <v>422</v>
      </c>
      <c r="D42" s="344">
        <v>44</v>
      </c>
      <c r="E42" s="345">
        <v>532100</v>
      </c>
    </row>
    <row r="43" spans="1:5" x14ac:dyDescent="0.25">
      <c r="A43" s="341" t="s">
        <v>395</v>
      </c>
      <c r="B43" s="342" t="s">
        <v>506</v>
      </c>
      <c r="C43" s="343" t="s">
        <v>422</v>
      </c>
      <c r="D43" s="344">
        <v>57</v>
      </c>
      <c r="E43" s="345">
        <v>258400</v>
      </c>
    </row>
    <row r="44" spans="1:5" x14ac:dyDescent="0.25">
      <c r="A44" s="351" t="s">
        <v>993</v>
      </c>
      <c r="B44" s="347"/>
      <c r="C44" s="348"/>
      <c r="D44" s="349"/>
      <c r="E44" s="350">
        <f>SUBTOTAL(9,E39:E43)</f>
        <v>1440100</v>
      </c>
    </row>
    <row r="45" spans="1:5" x14ac:dyDescent="0.25">
      <c r="A45" s="351" t="s">
        <v>994</v>
      </c>
      <c r="B45" s="347"/>
      <c r="C45" s="348"/>
      <c r="D45" s="349"/>
      <c r="E45" s="350">
        <f>SUBTOTAL(9,E27:E43)</f>
        <v>4665600</v>
      </c>
    </row>
    <row r="49" spans="1:5" ht="15.6" x14ac:dyDescent="0.3">
      <c r="A49" s="459" t="s">
        <v>998</v>
      </c>
      <c r="B49" s="459"/>
      <c r="C49" s="459"/>
      <c r="D49" s="459"/>
      <c r="E49" s="459"/>
    </row>
    <row r="50" spans="1:5" x14ac:dyDescent="0.25">
      <c r="A50" s="333" t="s">
        <v>417</v>
      </c>
      <c r="B50" s="333" t="s">
        <v>508</v>
      </c>
      <c r="C50" s="334" t="s">
        <v>414</v>
      </c>
      <c r="D50" s="335" t="s">
        <v>509</v>
      </c>
      <c r="E50" s="335" t="s">
        <v>36</v>
      </c>
    </row>
    <row r="51" spans="1:5" x14ac:dyDescent="0.25">
      <c r="A51" s="17" t="s">
        <v>397</v>
      </c>
      <c r="B51" s="17" t="s">
        <v>503</v>
      </c>
      <c r="C51" s="332" t="s">
        <v>428</v>
      </c>
      <c r="D51" s="49">
        <v>47</v>
      </c>
      <c r="E51" s="336">
        <v>391600</v>
      </c>
    </row>
    <row r="52" spans="1:5" x14ac:dyDescent="0.25">
      <c r="A52" s="17" t="s">
        <v>397</v>
      </c>
      <c r="B52" s="17" t="s">
        <v>504</v>
      </c>
      <c r="C52" s="332" t="s">
        <v>428</v>
      </c>
      <c r="D52" s="49">
        <v>25</v>
      </c>
      <c r="E52" s="336">
        <v>107600</v>
      </c>
    </row>
    <row r="53" spans="1:5" x14ac:dyDescent="0.25">
      <c r="A53" s="17" t="s">
        <v>397</v>
      </c>
      <c r="B53" s="17" t="s">
        <v>507</v>
      </c>
      <c r="C53" s="332" t="s">
        <v>422</v>
      </c>
      <c r="D53" s="49">
        <v>58</v>
      </c>
      <c r="E53" s="336">
        <v>283800</v>
      </c>
    </row>
    <row r="54" spans="1:5" x14ac:dyDescent="0.25">
      <c r="A54" s="17" t="s">
        <v>397</v>
      </c>
      <c r="B54" s="17" t="s">
        <v>505</v>
      </c>
      <c r="C54" s="332" t="s">
        <v>422</v>
      </c>
      <c r="D54" s="49">
        <v>39</v>
      </c>
      <c r="E54" s="336">
        <v>226700</v>
      </c>
    </row>
    <row r="55" spans="1:5" x14ac:dyDescent="0.25">
      <c r="A55" s="17" t="s">
        <v>397</v>
      </c>
      <c r="B55" s="17" t="s">
        <v>506</v>
      </c>
      <c r="C55" s="332" t="s">
        <v>422</v>
      </c>
      <c r="D55" s="49">
        <v>35</v>
      </c>
      <c r="E55" s="336">
        <v>507200</v>
      </c>
    </row>
    <row r="56" spans="1:5" x14ac:dyDescent="0.25">
      <c r="A56" s="328" t="s">
        <v>999</v>
      </c>
      <c r="B56" s="17"/>
      <c r="C56" s="332"/>
      <c r="D56" s="49"/>
      <c r="E56" s="336">
        <f>SUBTOTAL(4,E51:E55)</f>
        <v>507200</v>
      </c>
    </row>
    <row r="57" spans="1:5" x14ac:dyDescent="0.25">
      <c r="A57" s="17" t="s">
        <v>396</v>
      </c>
      <c r="B57" s="17" t="s">
        <v>503</v>
      </c>
      <c r="C57" s="332" t="s">
        <v>428</v>
      </c>
      <c r="D57" s="49">
        <v>29</v>
      </c>
      <c r="E57" s="336">
        <v>154200</v>
      </c>
    </row>
    <row r="58" spans="1:5" x14ac:dyDescent="0.25">
      <c r="A58" s="17" t="s">
        <v>396</v>
      </c>
      <c r="B58" s="17" t="s">
        <v>504</v>
      </c>
      <c r="C58" s="332" t="s">
        <v>428</v>
      </c>
      <c r="D58" s="49">
        <v>52</v>
      </c>
      <c r="E58" s="336">
        <v>233800</v>
      </c>
    </row>
    <row r="59" spans="1:5" x14ac:dyDescent="0.25">
      <c r="A59" s="17" t="s">
        <v>396</v>
      </c>
      <c r="B59" s="17" t="s">
        <v>507</v>
      </c>
      <c r="C59" s="332" t="s">
        <v>422</v>
      </c>
      <c r="D59" s="49">
        <v>44</v>
      </c>
      <c r="E59" s="336">
        <v>558400</v>
      </c>
    </row>
    <row r="60" spans="1:5" x14ac:dyDescent="0.25">
      <c r="A60" s="17" t="s">
        <v>396</v>
      </c>
      <c r="B60" s="17" t="s">
        <v>505</v>
      </c>
      <c r="C60" s="332" t="s">
        <v>422</v>
      </c>
      <c r="D60" s="49">
        <v>46</v>
      </c>
      <c r="E60" s="336">
        <v>350400</v>
      </c>
    </row>
    <row r="61" spans="1:5" x14ac:dyDescent="0.25">
      <c r="A61" s="17" t="s">
        <v>396</v>
      </c>
      <c r="B61" s="17" t="s">
        <v>506</v>
      </c>
      <c r="C61" s="332" t="s">
        <v>422</v>
      </c>
      <c r="D61" s="49">
        <v>74</v>
      </c>
      <c r="E61" s="336">
        <v>411800</v>
      </c>
    </row>
    <row r="62" spans="1:5" x14ac:dyDescent="0.25">
      <c r="A62" s="328" t="s">
        <v>1000</v>
      </c>
      <c r="B62" s="17"/>
      <c r="C62" s="332"/>
      <c r="D62" s="49"/>
      <c r="E62" s="336">
        <f>SUBTOTAL(4,E57:E61)</f>
        <v>558400</v>
      </c>
    </row>
    <row r="63" spans="1:5" x14ac:dyDescent="0.25">
      <c r="A63" s="17" t="s">
        <v>395</v>
      </c>
      <c r="B63" s="17" t="s">
        <v>503</v>
      </c>
      <c r="C63" s="332" t="s">
        <v>428</v>
      </c>
      <c r="D63" s="49">
        <v>14</v>
      </c>
      <c r="E63" s="336">
        <v>162200</v>
      </c>
    </row>
    <row r="64" spans="1:5" x14ac:dyDescent="0.25">
      <c r="A64" s="17" t="s">
        <v>395</v>
      </c>
      <c r="B64" s="17" t="s">
        <v>504</v>
      </c>
      <c r="C64" s="332" t="s">
        <v>428</v>
      </c>
      <c r="D64" s="49">
        <v>36</v>
      </c>
      <c r="E64" s="336">
        <v>134300</v>
      </c>
    </row>
    <row r="65" spans="1:5" x14ac:dyDescent="0.25">
      <c r="A65" s="17" t="s">
        <v>395</v>
      </c>
      <c r="B65" s="17" t="s">
        <v>507</v>
      </c>
      <c r="C65" s="332" t="s">
        <v>422</v>
      </c>
      <c r="D65" s="49">
        <v>30</v>
      </c>
      <c r="E65" s="336">
        <v>353100</v>
      </c>
    </row>
    <row r="66" spans="1:5" x14ac:dyDescent="0.25">
      <c r="A66" s="17" t="s">
        <v>395</v>
      </c>
      <c r="B66" s="17" t="s">
        <v>505</v>
      </c>
      <c r="C66" s="332" t="s">
        <v>422</v>
      </c>
      <c r="D66" s="49">
        <v>44</v>
      </c>
      <c r="E66" s="336">
        <v>532100</v>
      </c>
    </row>
    <row r="67" spans="1:5" x14ac:dyDescent="0.25">
      <c r="A67" s="17" t="s">
        <v>395</v>
      </c>
      <c r="B67" s="17" t="s">
        <v>506</v>
      </c>
      <c r="C67" s="332" t="s">
        <v>422</v>
      </c>
      <c r="D67" s="49">
        <v>57</v>
      </c>
      <c r="E67" s="336">
        <v>258400</v>
      </c>
    </row>
    <row r="68" spans="1:5" x14ac:dyDescent="0.25">
      <c r="A68" s="331" t="s">
        <v>1001</v>
      </c>
      <c r="D68" s="37"/>
      <c r="E68" s="329">
        <f>SUBTOTAL(4,E63:E67)</f>
        <v>532100</v>
      </c>
    </row>
    <row r="69" spans="1:5" x14ac:dyDescent="0.25">
      <c r="A69" s="331" t="s">
        <v>1002</v>
      </c>
      <c r="D69" s="37"/>
      <c r="E69" s="329">
        <f>SUBTOTAL(4,E51:E67)</f>
        <v>558400</v>
      </c>
    </row>
  </sheetData>
  <autoFilter ref="A50:E67" xr:uid="{00000000-0001-0000-2300-000000000000}">
    <sortState xmlns:xlrd2="http://schemas.microsoft.com/office/spreadsheetml/2017/richdata2" ref="A51:E67">
      <sortCondition ref="A51:A67" customList="Jan,Feb,Mar,Apr,May,Jun,Jul,Aug,Sep,Oct,Nov,Dec"/>
    </sortState>
  </autoFilter>
  <sortState xmlns:xlrd2="http://schemas.microsoft.com/office/spreadsheetml/2017/richdata2" ref="A27:E43">
    <sortCondition ref="A27:A43" customList="Jan,Feb,Mar,Apr,May,Jun,Jul,Aug,Sep,Oct,Nov,Dec"/>
  </sortState>
  <customSheetViews>
    <customSheetView guid="{BBE43EB8-AC5B-419E-90E4-72D0C525AF66}" scale="160">
      <selection activeCell="E7" sqref="E7"/>
      <pageMargins left="0.75" right="0.75" top="1" bottom="1" header="0.5" footer="0.5"/>
      <headerFooter alignWithMargins="0"/>
    </customSheetView>
  </customSheetViews>
  <mergeCells count="5">
    <mergeCell ref="B3:F3"/>
    <mergeCell ref="B4:F4"/>
    <mergeCell ref="A5:E5"/>
    <mergeCell ref="A25:E25"/>
    <mergeCell ref="A49:E49"/>
  </mergeCells>
  <pageMargins left="0.75" right="0.75" top="1" bottom="1" header="0.5" footer="0.5"/>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K32"/>
  <sheetViews>
    <sheetView topLeftCell="A18" zoomScale="120" zoomScaleNormal="120" workbookViewId="0">
      <selection activeCell="E28" sqref="E28"/>
    </sheetView>
  </sheetViews>
  <sheetFormatPr defaultColWidth="8.7265625" defaultRowHeight="15" x14ac:dyDescent="0.25"/>
  <cols>
    <col min="1" max="1" width="9.7265625" style="185" customWidth="1"/>
    <col min="2" max="2" width="10.81640625" style="108" customWidth="1"/>
    <col min="3" max="3" width="9.1796875" style="108" customWidth="1"/>
    <col min="4" max="5" width="8.7265625" style="108"/>
    <col min="6" max="6" width="10.08984375" style="108" bestFit="1" customWidth="1"/>
    <col min="7" max="7" width="10" style="108" customWidth="1"/>
    <col min="8" max="16384" width="8.7265625" style="185"/>
  </cols>
  <sheetData>
    <row r="1" spans="1:11" ht="15.6" x14ac:dyDescent="0.3">
      <c r="A1" s="182" t="s">
        <v>37</v>
      </c>
      <c r="B1" s="183" t="s">
        <v>96</v>
      </c>
      <c r="C1" s="183" t="s">
        <v>714</v>
      </c>
      <c r="D1" s="183" t="s">
        <v>95</v>
      </c>
      <c r="E1" s="183" t="s">
        <v>94</v>
      </c>
      <c r="F1" s="183" t="s">
        <v>93</v>
      </c>
      <c r="G1" s="183" t="s">
        <v>92</v>
      </c>
    </row>
    <row r="2" spans="1:11" x14ac:dyDescent="0.25">
      <c r="A2" s="184" t="s">
        <v>80</v>
      </c>
      <c r="B2" s="23"/>
      <c r="C2" s="23"/>
      <c r="D2" s="23"/>
      <c r="E2" s="23"/>
      <c r="F2" s="23"/>
      <c r="G2" s="23"/>
    </row>
    <row r="3" spans="1:11" x14ac:dyDescent="0.25">
      <c r="A3" s="184" t="s">
        <v>79</v>
      </c>
      <c r="B3" s="23">
        <v>50</v>
      </c>
      <c r="C3" s="23"/>
      <c r="D3" s="23"/>
      <c r="E3" s="23"/>
      <c r="F3" s="23"/>
      <c r="G3" s="23"/>
    </row>
    <row r="4" spans="1:11" x14ac:dyDescent="0.25">
      <c r="A4" s="184" t="s">
        <v>78</v>
      </c>
      <c r="B4" s="23">
        <v>64</v>
      </c>
      <c r="C4" s="23"/>
      <c r="D4" s="23">
        <v>97</v>
      </c>
      <c r="E4" s="23"/>
      <c r="F4" s="23"/>
      <c r="G4" s="23"/>
    </row>
    <row r="5" spans="1:11" x14ac:dyDescent="0.25">
      <c r="A5" s="184" t="s">
        <v>77</v>
      </c>
      <c r="B5" s="23"/>
      <c r="C5" s="23"/>
      <c r="D5" s="23"/>
      <c r="E5" s="23"/>
      <c r="F5" s="23"/>
      <c r="G5" s="23">
        <v>75</v>
      </c>
      <c r="I5" s="352">
        <v>97</v>
      </c>
      <c r="J5" s="352"/>
      <c r="K5" s="352"/>
    </row>
    <row r="6" spans="1:11" x14ac:dyDescent="0.25">
      <c r="A6" s="184" t="s">
        <v>76</v>
      </c>
      <c r="B6" s="23"/>
      <c r="C6" s="23"/>
      <c r="D6" s="23"/>
      <c r="E6" s="23"/>
      <c r="F6" s="23"/>
      <c r="G6" s="23"/>
      <c r="I6" s="352"/>
      <c r="J6" s="352"/>
      <c r="K6" s="352">
        <v>50</v>
      </c>
    </row>
    <row r="7" spans="1:11" x14ac:dyDescent="0.25">
      <c r="A7" s="184" t="s">
        <v>75</v>
      </c>
      <c r="B7" s="23"/>
      <c r="C7" s="23"/>
      <c r="D7" s="23"/>
      <c r="E7" s="23"/>
      <c r="F7" s="23">
        <v>89</v>
      </c>
      <c r="G7" s="23"/>
      <c r="I7" s="352">
        <v>789</v>
      </c>
      <c r="J7" s="352">
        <v>78</v>
      </c>
      <c r="K7" s="352"/>
    </row>
    <row r="8" spans="1:11" x14ac:dyDescent="0.25">
      <c r="A8" s="184" t="s">
        <v>74</v>
      </c>
      <c r="B8" s="23"/>
      <c r="C8" s="23">
        <v>100</v>
      </c>
      <c r="D8" s="23"/>
      <c r="E8" s="23"/>
      <c r="F8" s="23"/>
      <c r="G8" s="23"/>
      <c r="I8" s="352"/>
      <c r="J8" s="352"/>
      <c r="K8" s="352"/>
    </row>
    <row r="9" spans="1:11" x14ac:dyDescent="0.25">
      <c r="A9" s="184" t="s">
        <v>73</v>
      </c>
      <c r="B9" s="23"/>
      <c r="C9" s="23"/>
      <c r="D9" s="23"/>
      <c r="E9" s="23"/>
      <c r="F9" s="23"/>
      <c r="G9" s="23"/>
      <c r="I9" s="352">
        <v>-45</v>
      </c>
      <c r="J9" s="352">
        <v>20</v>
      </c>
      <c r="K9" s="352"/>
    </row>
    <row r="10" spans="1:11" x14ac:dyDescent="0.25">
      <c r="A10" s="184" t="s">
        <v>72</v>
      </c>
      <c r="B10" s="23"/>
      <c r="C10" s="23"/>
      <c r="D10" s="23"/>
      <c r="E10" s="23"/>
      <c r="F10" s="23"/>
      <c r="G10" s="23"/>
    </row>
    <row r="11" spans="1:11" x14ac:dyDescent="0.25">
      <c r="A11" s="184" t="s">
        <v>71</v>
      </c>
      <c r="B11" s="23"/>
      <c r="C11" s="23"/>
      <c r="D11" s="23"/>
      <c r="E11" s="23"/>
      <c r="F11" s="23"/>
      <c r="G11" s="23"/>
    </row>
    <row r="12" spans="1:11" x14ac:dyDescent="0.25">
      <c r="A12" s="184" t="s">
        <v>91</v>
      </c>
      <c r="B12" s="23"/>
      <c r="C12" s="23"/>
      <c r="D12" s="23"/>
      <c r="E12" s="23"/>
      <c r="F12" s="23"/>
      <c r="G12" s="23"/>
    </row>
    <row r="13" spans="1:11" x14ac:dyDescent="0.25">
      <c r="A13" s="184" t="s">
        <v>90</v>
      </c>
      <c r="B13" s="23"/>
      <c r="C13" s="23"/>
      <c r="D13" s="23">
        <v>95</v>
      </c>
      <c r="E13" s="23"/>
      <c r="F13" s="23"/>
      <c r="G13" s="23"/>
    </row>
    <row r="14" spans="1:11" x14ac:dyDescent="0.25">
      <c r="A14" s="184" t="s">
        <v>89</v>
      </c>
      <c r="B14" s="23"/>
      <c r="C14" s="23"/>
      <c r="D14" s="23"/>
      <c r="E14" s="23"/>
      <c r="F14" s="23"/>
      <c r="G14" s="23"/>
    </row>
    <row r="15" spans="1:11" x14ac:dyDescent="0.25">
      <c r="A15" s="184" t="s">
        <v>88</v>
      </c>
      <c r="B15" s="23"/>
      <c r="C15" s="23"/>
      <c r="D15" s="23"/>
      <c r="E15" s="23"/>
      <c r="F15" s="23"/>
      <c r="G15" s="23">
        <v>78</v>
      </c>
    </row>
    <row r="16" spans="1:11" x14ac:dyDescent="0.25">
      <c r="A16" s="184" t="s">
        <v>87</v>
      </c>
      <c r="B16" s="23"/>
      <c r="C16" s="23"/>
      <c r="D16" s="23"/>
      <c r="E16" s="23"/>
      <c r="F16" s="23"/>
      <c r="G16" s="23"/>
    </row>
    <row r="17" spans="1:7" x14ac:dyDescent="0.25">
      <c r="A17" s="184" t="s">
        <v>86</v>
      </c>
      <c r="B17" s="23"/>
      <c r="C17" s="23"/>
      <c r="D17" s="23"/>
      <c r="E17" s="23"/>
      <c r="F17" s="23"/>
      <c r="G17" s="23"/>
    </row>
    <row r="18" spans="1:7" x14ac:dyDescent="0.25">
      <c r="A18" s="184" t="s">
        <v>85</v>
      </c>
      <c r="B18" s="23"/>
      <c r="C18" s="23"/>
      <c r="D18" s="23"/>
      <c r="E18" s="23"/>
      <c r="F18" s="23"/>
      <c r="G18" s="23"/>
    </row>
    <row r="19" spans="1:7" x14ac:dyDescent="0.25">
      <c r="A19" s="184" t="s">
        <v>84</v>
      </c>
      <c r="B19" s="23">
        <v>99</v>
      </c>
      <c r="C19" s="23"/>
      <c r="D19" s="23"/>
      <c r="E19" s="23"/>
      <c r="F19" s="23"/>
      <c r="G19" s="23"/>
    </row>
    <row r="20" spans="1:7" x14ac:dyDescent="0.25">
      <c r="A20" s="184" t="s">
        <v>83</v>
      </c>
      <c r="B20" s="23"/>
      <c r="C20" s="23"/>
      <c r="D20" s="23"/>
      <c r="E20" s="23"/>
      <c r="F20" s="23"/>
      <c r="G20" s="23"/>
    </row>
    <row r="21" spans="1:7" x14ac:dyDescent="0.25">
      <c r="A21" s="184" t="s">
        <v>82</v>
      </c>
      <c r="B21" s="23"/>
      <c r="C21" s="23"/>
      <c r="D21" s="23"/>
      <c r="E21" s="23">
        <v>77</v>
      </c>
      <c r="F21" s="23"/>
      <c r="G21" s="23"/>
    </row>
    <row r="24" spans="1:7" ht="82.8" customHeight="1" x14ac:dyDescent="0.25">
      <c r="A24" s="461" t="s">
        <v>1004</v>
      </c>
      <c r="B24" s="461"/>
      <c r="C24" s="461"/>
      <c r="D24" s="461"/>
      <c r="E24" s="461"/>
      <c r="F24" s="461"/>
      <c r="G24" s="461"/>
    </row>
    <row r="25" spans="1:7" x14ac:dyDescent="0.25">
      <c r="B25" s="186"/>
      <c r="F25" s="186"/>
    </row>
    <row r="26" spans="1:7" ht="30" customHeight="1" x14ac:dyDescent="0.25">
      <c r="A26" s="461" t="s">
        <v>1003</v>
      </c>
      <c r="B26" s="461"/>
      <c r="C26" s="461"/>
      <c r="D26" s="461"/>
      <c r="E26" s="461"/>
      <c r="F26" s="461"/>
      <c r="G26" s="461"/>
    </row>
    <row r="28" spans="1:7" ht="15.6" x14ac:dyDescent="0.25">
      <c r="A28" s="462" t="s">
        <v>1005</v>
      </c>
      <c r="B28" s="462"/>
      <c r="C28" s="462"/>
      <c r="F28" s="186"/>
    </row>
    <row r="29" spans="1:7" x14ac:dyDescent="0.25">
      <c r="A29" s="460" t="s">
        <v>1006</v>
      </c>
      <c r="B29" s="460"/>
      <c r="C29" s="460"/>
    </row>
    <row r="30" spans="1:7" x14ac:dyDescent="0.25">
      <c r="A30" s="460" t="s">
        <v>958</v>
      </c>
      <c r="B30" s="460"/>
      <c r="C30" s="460"/>
    </row>
    <row r="31" spans="1:7" x14ac:dyDescent="0.25">
      <c r="A31" s="460" t="s">
        <v>518</v>
      </c>
      <c r="B31" s="460"/>
      <c r="C31" s="460"/>
    </row>
    <row r="32" spans="1:7" x14ac:dyDescent="0.25">
      <c r="A32" s="460" t="s">
        <v>1007</v>
      </c>
      <c r="B32" s="460"/>
      <c r="C32" s="460"/>
    </row>
  </sheetData>
  <mergeCells count="7">
    <mergeCell ref="A32:C32"/>
    <mergeCell ref="A24:G24"/>
    <mergeCell ref="A26:G26"/>
    <mergeCell ref="A28:C28"/>
    <mergeCell ref="A29:C29"/>
    <mergeCell ref="A30:C30"/>
    <mergeCell ref="A31:C31"/>
  </mergeCells>
  <dataValidations count="2">
    <dataValidation type="whole" allowBlank="1" showInputMessage="1" showErrorMessage="1" errorTitle="Stop" error="Enter valid data (marks between 50 to 100)" promptTitle="Hello" prompt="Please enter marks between 50 to 100" sqref="B2:G21" xr:uid="{31E5E33E-279B-4121-95F8-C35AE0EE3F30}">
      <formula1>50</formula1>
      <formula2>100</formula2>
    </dataValidation>
    <dataValidation type="whole" allowBlank="1" showInputMessage="1" showErrorMessage="1" errorTitle="Stop" error="Please enter valid data(marks between 50 to 100)" promptTitle="Hello" prompt="Enter marks between 50 to 100" sqref="I5:K9" xr:uid="{8FA5BED0-DB7D-4E6E-B2EA-DFB6AADB1B94}">
      <formula1>50</formula1>
      <formula2>100</formula2>
    </dataValidation>
  </dataValidation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0"/>
  <dimension ref="A1:N31"/>
  <sheetViews>
    <sheetView zoomScale="120" zoomScaleNormal="120" workbookViewId="0">
      <selection activeCell="B12" sqref="B12"/>
    </sheetView>
  </sheetViews>
  <sheetFormatPr defaultRowHeight="13.2" x14ac:dyDescent="0.25"/>
  <cols>
    <col min="1" max="1" width="13.54296875" style="37" customWidth="1"/>
    <col min="2" max="2" width="10.453125" style="13" bestFit="1" customWidth="1"/>
    <col min="3" max="3" width="10.90625" style="13" bestFit="1" customWidth="1"/>
    <col min="4" max="4" width="8.7265625" style="37" customWidth="1"/>
    <col min="5" max="5" width="8.6328125" style="37" bestFit="1" customWidth="1"/>
    <col min="6" max="6" width="5.08984375" style="13" bestFit="1" customWidth="1"/>
    <col min="7" max="7" width="5.81640625" style="13" bestFit="1" customWidth="1"/>
    <col min="8" max="8" width="13.08984375" style="13" bestFit="1" customWidth="1"/>
    <col min="9" max="9" width="8.453125" style="13" bestFit="1" customWidth="1"/>
    <col min="10" max="10" width="7.453125" style="13" customWidth="1"/>
    <col min="11" max="11" width="7.90625" style="37" bestFit="1" customWidth="1"/>
    <col min="12" max="12" width="12.1796875" style="37" customWidth="1"/>
    <col min="13" max="13" width="9.54296875" style="37" bestFit="1" customWidth="1"/>
    <col min="14" max="14" width="9.36328125" style="37" customWidth="1"/>
    <col min="15" max="257" width="8.90625" style="13"/>
    <col min="258" max="258" width="10.453125" style="13" bestFit="1" customWidth="1"/>
    <col min="259" max="259" width="10.90625" style="13" bestFit="1" customWidth="1"/>
    <col min="260" max="260" width="7.6328125" style="13" bestFit="1" customWidth="1"/>
    <col min="261" max="261" width="8.6328125" style="13" bestFit="1" customWidth="1"/>
    <col min="262" max="262" width="5.08984375" style="13" bestFit="1" customWidth="1"/>
    <col min="263" max="263" width="5.81640625" style="13" bestFit="1" customWidth="1"/>
    <col min="264" max="264" width="13.08984375" style="13" bestFit="1" customWidth="1"/>
    <col min="265" max="265" width="8.453125" style="13" bestFit="1" customWidth="1"/>
    <col min="266" max="266" width="4.90625" style="13" bestFit="1" customWidth="1"/>
    <col min="267" max="267" width="7.90625" style="13" bestFit="1" customWidth="1"/>
    <col min="268" max="268" width="9.1796875" style="13" bestFit="1" customWidth="1"/>
    <col min="269" max="269" width="9.36328125" style="13" bestFit="1" customWidth="1"/>
    <col min="270" max="270" width="6.1796875" style="13" bestFit="1" customWidth="1"/>
    <col min="271" max="513" width="8.90625" style="13"/>
    <col min="514" max="514" width="10.453125" style="13" bestFit="1" customWidth="1"/>
    <col min="515" max="515" width="10.90625" style="13" bestFit="1" customWidth="1"/>
    <col min="516" max="516" width="7.6328125" style="13" bestFit="1" customWidth="1"/>
    <col min="517" max="517" width="8.6328125" style="13" bestFit="1" customWidth="1"/>
    <col min="518" max="518" width="5.08984375" style="13" bestFit="1" customWidth="1"/>
    <col min="519" max="519" width="5.81640625" style="13" bestFit="1" customWidth="1"/>
    <col min="520" max="520" width="13.08984375" style="13" bestFit="1" customWidth="1"/>
    <col min="521" max="521" width="8.453125" style="13" bestFit="1" customWidth="1"/>
    <col min="522" max="522" width="4.90625" style="13" bestFit="1" customWidth="1"/>
    <col min="523" max="523" width="7.90625" style="13" bestFit="1" customWidth="1"/>
    <col min="524" max="524" width="9.1796875" style="13" bestFit="1" customWidth="1"/>
    <col min="525" max="525" width="9.36328125" style="13" bestFit="1" customWidth="1"/>
    <col min="526" max="526" width="6.1796875" style="13" bestFit="1" customWidth="1"/>
    <col min="527" max="769" width="8.90625" style="13"/>
    <col min="770" max="770" width="10.453125" style="13" bestFit="1" customWidth="1"/>
    <col min="771" max="771" width="10.90625" style="13" bestFit="1" customWidth="1"/>
    <col min="772" max="772" width="7.6328125" style="13" bestFit="1" customWidth="1"/>
    <col min="773" max="773" width="8.6328125" style="13" bestFit="1" customWidth="1"/>
    <col min="774" max="774" width="5.08984375" style="13" bestFit="1" customWidth="1"/>
    <col min="775" max="775" width="5.81640625" style="13" bestFit="1" customWidth="1"/>
    <col min="776" max="776" width="13.08984375" style="13" bestFit="1" customWidth="1"/>
    <col min="777" max="777" width="8.453125" style="13" bestFit="1" customWidth="1"/>
    <col min="778" max="778" width="4.90625" style="13" bestFit="1" customWidth="1"/>
    <col min="779" max="779" width="7.90625" style="13" bestFit="1" customWidth="1"/>
    <col min="780" max="780" width="9.1796875" style="13" bestFit="1" customWidth="1"/>
    <col min="781" max="781" width="9.36328125" style="13" bestFit="1" customWidth="1"/>
    <col min="782" max="782" width="6.1796875" style="13" bestFit="1" customWidth="1"/>
    <col min="783" max="1025" width="8.90625" style="13"/>
    <col min="1026" max="1026" width="10.453125" style="13" bestFit="1" customWidth="1"/>
    <col min="1027" max="1027" width="10.90625" style="13" bestFit="1" customWidth="1"/>
    <col min="1028" max="1028" width="7.6328125" style="13" bestFit="1" customWidth="1"/>
    <col min="1029" max="1029" width="8.6328125" style="13" bestFit="1" customWidth="1"/>
    <col min="1030" max="1030" width="5.08984375" style="13" bestFit="1" customWidth="1"/>
    <col min="1031" max="1031" width="5.81640625" style="13" bestFit="1" customWidth="1"/>
    <col min="1032" max="1032" width="13.08984375" style="13" bestFit="1" customWidth="1"/>
    <col min="1033" max="1033" width="8.453125" style="13" bestFit="1" customWidth="1"/>
    <col min="1034" max="1034" width="4.90625" style="13" bestFit="1" customWidth="1"/>
    <col min="1035" max="1035" width="7.90625" style="13" bestFit="1" customWidth="1"/>
    <col min="1036" max="1036" width="9.1796875" style="13" bestFit="1" customWidth="1"/>
    <col min="1037" max="1037" width="9.36328125" style="13" bestFit="1" customWidth="1"/>
    <col min="1038" max="1038" width="6.1796875" style="13" bestFit="1" customWidth="1"/>
    <col min="1039" max="1281" width="8.90625" style="13"/>
    <col min="1282" max="1282" width="10.453125" style="13" bestFit="1" customWidth="1"/>
    <col min="1283" max="1283" width="10.90625" style="13" bestFit="1" customWidth="1"/>
    <col min="1284" max="1284" width="7.6328125" style="13" bestFit="1" customWidth="1"/>
    <col min="1285" max="1285" width="8.6328125" style="13" bestFit="1" customWidth="1"/>
    <col min="1286" max="1286" width="5.08984375" style="13" bestFit="1" customWidth="1"/>
    <col min="1287" max="1287" width="5.81640625" style="13" bestFit="1" customWidth="1"/>
    <col min="1288" max="1288" width="13.08984375" style="13" bestFit="1" customWidth="1"/>
    <col min="1289" max="1289" width="8.453125" style="13" bestFit="1" customWidth="1"/>
    <col min="1290" max="1290" width="4.90625" style="13" bestFit="1" customWidth="1"/>
    <col min="1291" max="1291" width="7.90625" style="13" bestFit="1" customWidth="1"/>
    <col min="1292" max="1292" width="9.1796875" style="13" bestFit="1" customWidth="1"/>
    <col min="1293" max="1293" width="9.36328125" style="13" bestFit="1" customWidth="1"/>
    <col min="1294" max="1294" width="6.1796875" style="13" bestFit="1" customWidth="1"/>
    <col min="1295" max="1537" width="8.90625" style="13"/>
    <col min="1538" max="1538" width="10.453125" style="13" bestFit="1" customWidth="1"/>
    <col min="1539" max="1539" width="10.90625" style="13" bestFit="1" customWidth="1"/>
    <col min="1540" max="1540" width="7.6328125" style="13" bestFit="1" customWidth="1"/>
    <col min="1541" max="1541" width="8.6328125" style="13" bestFit="1" customWidth="1"/>
    <col min="1542" max="1542" width="5.08984375" style="13" bestFit="1" customWidth="1"/>
    <col min="1543" max="1543" width="5.81640625" style="13" bestFit="1" customWidth="1"/>
    <col min="1544" max="1544" width="13.08984375" style="13" bestFit="1" customWidth="1"/>
    <col min="1545" max="1545" width="8.453125" style="13" bestFit="1" customWidth="1"/>
    <col min="1546" max="1546" width="4.90625" style="13" bestFit="1" customWidth="1"/>
    <col min="1547" max="1547" width="7.90625" style="13" bestFit="1" customWidth="1"/>
    <col min="1548" max="1548" width="9.1796875" style="13" bestFit="1" customWidth="1"/>
    <col min="1549" max="1549" width="9.36328125" style="13" bestFit="1" customWidth="1"/>
    <col min="1550" max="1550" width="6.1796875" style="13" bestFit="1" customWidth="1"/>
    <col min="1551" max="1793" width="8.90625" style="13"/>
    <col min="1794" max="1794" width="10.453125" style="13" bestFit="1" customWidth="1"/>
    <col min="1795" max="1795" width="10.90625" style="13" bestFit="1" customWidth="1"/>
    <col min="1796" max="1796" width="7.6328125" style="13" bestFit="1" customWidth="1"/>
    <col min="1797" max="1797" width="8.6328125" style="13" bestFit="1" customWidth="1"/>
    <col min="1798" max="1798" width="5.08984375" style="13" bestFit="1" customWidth="1"/>
    <col min="1799" max="1799" width="5.81640625" style="13" bestFit="1" customWidth="1"/>
    <col min="1800" max="1800" width="13.08984375" style="13" bestFit="1" customWidth="1"/>
    <col min="1801" max="1801" width="8.453125" style="13" bestFit="1" customWidth="1"/>
    <col min="1802" max="1802" width="4.90625" style="13" bestFit="1" customWidth="1"/>
    <col min="1803" max="1803" width="7.90625" style="13" bestFit="1" customWidth="1"/>
    <col min="1804" max="1804" width="9.1796875" style="13" bestFit="1" customWidth="1"/>
    <col min="1805" max="1805" width="9.36328125" style="13" bestFit="1" customWidth="1"/>
    <col min="1806" max="1806" width="6.1796875" style="13" bestFit="1" customWidth="1"/>
    <col min="1807" max="2049" width="8.90625" style="13"/>
    <col min="2050" max="2050" width="10.453125" style="13" bestFit="1" customWidth="1"/>
    <col min="2051" max="2051" width="10.90625" style="13" bestFit="1" customWidth="1"/>
    <col min="2052" max="2052" width="7.6328125" style="13" bestFit="1" customWidth="1"/>
    <col min="2053" max="2053" width="8.6328125" style="13" bestFit="1" customWidth="1"/>
    <col min="2054" max="2054" width="5.08984375" style="13" bestFit="1" customWidth="1"/>
    <col min="2055" max="2055" width="5.81640625" style="13" bestFit="1" customWidth="1"/>
    <col min="2056" max="2056" width="13.08984375" style="13" bestFit="1" customWidth="1"/>
    <col min="2057" max="2057" width="8.453125" style="13" bestFit="1" customWidth="1"/>
    <col min="2058" max="2058" width="4.90625" style="13" bestFit="1" customWidth="1"/>
    <col min="2059" max="2059" width="7.90625" style="13" bestFit="1" customWidth="1"/>
    <col min="2060" max="2060" width="9.1796875" style="13" bestFit="1" customWidth="1"/>
    <col min="2061" max="2061" width="9.36328125" style="13" bestFit="1" customWidth="1"/>
    <col min="2062" max="2062" width="6.1796875" style="13" bestFit="1" customWidth="1"/>
    <col min="2063" max="2305" width="8.90625" style="13"/>
    <col min="2306" max="2306" width="10.453125" style="13" bestFit="1" customWidth="1"/>
    <col min="2307" max="2307" width="10.90625" style="13" bestFit="1" customWidth="1"/>
    <col min="2308" max="2308" width="7.6328125" style="13" bestFit="1" customWidth="1"/>
    <col min="2309" max="2309" width="8.6328125" style="13" bestFit="1" customWidth="1"/>
    <col min="2310" max="2310" width="5.08984375" style="13" bestFit="1" customWidth="1"/>
    <col min="2311" max="2311" width="5.81640625" style="13" bestFit="1" customWidth="1"/>
    <col min="2312" max="2312" width="13.08984375" style="13" bestFit="1" customWidth="1"/>
    <col min="2313" max="2313" width="8.453125" style="13" bestFit="1" customWidth="1"/>
    <col min="2314" max="2314" width="4.90625" style="13" bestFit="1" customWidth="1"/>
    <col min="2315" max="2315" width="7.90625" style="13" bestFit="1" customWidth="1"/>
    <col min="2316" max="2316" width="9.1796875" style="13" bestFit="1" customWidth="1"/>
    <col min="2317" max="2317" width="9.36328125" style="13" bestFit="1" customWidth="1"/>
    <col min="2318" max="2318" width="6.1796875" style="13" bestFit="1" customWidth="1"/>
    <col min="2319" max="2561" width="8.90625" style="13"/>
    <col min="2562" max="2562" width="10.453125" style="13" bestFit="1" customWidth="1"/>
    <col min="2563" max="2563" width="10.90625" style="13" bestFit="1" customWidth="1"/>
    <col min="2564" max="2564" width="7.6328125" style="13" bestFit="1" customWidth="1"/>
    <col min="2565" max="2565" width="8.6328125" style="13" bestFit="1" customWidth="1"/>
    <col min="2566" max="2566" width="5.08984375" style="13" bestFit="1" customWidth="1"/>
    <col min="2567" max="2567" width="5.81640625" style="13" bestFit="1" customWidth="1"/>
    <col min="2568" max="2568" width="13.08984375" style="13" bestFit="1" customWidth="1"/>
    <col min="2569" max="2569" width="8.453125" style="13" bestFit="1" customWidth="1"/>
    <col min="2570" max="2570" width="4.90625" style="13" bestFit="1" customWidth="1"/>
    <col min="2571" max="2571" width="7.90625" style="13" bestFit="1" customWidth="1"/>
    <col min="2572" max="2572" width="9.1796875" style="13" bestFit="1" customWidth="1"/>
    <col min="2573" max="2573" width="9.36328125" style="13" bestFit="1" customWidth="1"/>
    <col min="2574" max="2574" width="6.1796875" style="13" bestFit="1" customWidth="1"/>
    <col min="2575" max="2817" width="8.90625" style="13"/>
    <col min="2818" max="2818" width="10.453125" style="13" bestFit="1" customWidth="1"/>
    <col min="2819" max="2819" width="10.90625" style="13" bestFit="1" customWidth="1"/>
    <col min="2820" max="2820" width="7.6328125" style="13" bestFit="1" customWidth="1"/>
    <col min="2821" max="2821" width="8.6328125" style="13" bestFit="1" customWidth="1"/>
    <col min="2822" max="2822" width="5.08984375" style="13" bestFit="1" customWidth="1"/>
    <col min="2823" max="2823" width="5.81640625" style="13" bestFit="1" customWidth="1"/>
    <col min="2824" max="2824" width="13.08984375" style="13" bestFit="1" customWidth="1"/>
    <col min="2825" max="2825" width="8.453125" style="13" bestFit="1" customWidth="1"/>
    <col min="2826" max="2826" width="4.90625" style="13" bestFit="1" customWidth="1"/>
    <col min="2827" max="2827" width="7.90625" style="13" bestFit="1" customWidth="1"/>
    <col min="2828" max="2828" width="9.1796875" style="13" bestFit="1" customWidth="1"/>
    <col min="2829" max="2829" width="9.36328125" style="13" bestFit="1" customWidth="1"/>
    <col min="2830" max="2830" width="6.1796875" style="13" bestFit="1" customWidth="1"/>
    <col min="2831" max="3073" width="8.90625" style="13"/>
    <col min="3074" max="3074" width="10.453125" style="13" bestFit="1" customWidth="1"/>
    <col min="3075" max="3075" width="10.90625" style="13" bestFit="1" customWidth="1"/>
    <col min="3076" max="3076" width="7.6328125" style="13" bestFit="1" customWidth="1"/>
    <col min="3077" max="3077" width="8.6328125" style="13" bestFit="1" customWidth="1"/>
    <col min="3078" max="3078" width="5.08984375" style="13" bestFit="1" customWidth="1"/>
    <col min="3079" max="3079" width="5.81640625" style="13" bestFit="1" customWidth="1"/>
    <col min="3080" max="3080" width="13.08984375" style="13" bestFit="1" customWidth="1"/>
    <col min="3081" max="3081" width="8.453125" style="13" bestFit="1" customWidth="1"/>
    <col min="3082" max="3082" width="4.90625" style="13" bestFit="1" customWidth="1"/>
    <col min="3083" max="3083" width="7.90625" style="13" bestFit="1" customWidth="1"/>
    <col min="3084" max="3084" width="9.1796875" style="13" bestFit="1" customWidth="1"/>
    <col min="3085" max="3085" width="9.36328125" style="13" bestFit="1" customWidth="1"/>
    <col min="3086" max="3086" width="6.1796875" style="13" bestFit="1" customWidth="1"/>
    <col min="3087" max="3329" width="8.90625" style="13"/>
    <col min="3330" max="3330" width="10.453125" style="13" bestFit="1" customWidth="1"/>
    <col min="3331" max="3331" width="10.90625" style="13" bestFit="1" customWidth="1"/>
    <col min="3332" max="3332" width="7.6328125" style="13" bestFit="1" customWidth="1"/>
    <col min="3333" max="3333" width="8.6328125" style="13" bestFit="1" customWidth="1"/>
    <col min="3334" max="3334" width="5.08984375" style="13" bestFit="1" customWidth="1"/>
    <col min="3335" max="3335" width="5.81640625" style="13" bestFit="1" customWidth="1"/>
    <col min="3336" max="3336" width="13.08984375" style="13" bestFit="1" customWidth="1"/>
    <col min="3337" max="3337" width="8.453125" style="13" bestFit="1" customWidth="1"/>
    <col min="3338" max="3338" width="4.90625" style="13" bestFit="1" customWidth="1"/>
    <col min="3339" max="3339" width="7.90625" style="13" bestFit="1" customWidth="1"/>
    <col min="3340" max="3340" width="9.1796875" style="13" bestFit="1" customWidth="1"/>
    <col min="3341" max="3341" width="9.36328125" style="13" bestFit="1" customWidth="1"/>
    <col min="3342" max="3342" width="6.1796875" style="13" bestFit="1" customWidth="1"/>
    <col min="3343" max="3585" width="8.90625" style="13"/>
    <col min="3586" max="3586" width="10.453125" style="13" bestFit="1" customWidth="1"/>
    <col min="3587" max="3587" width="10.90625" style="13" bestFit="1" customWidth="1"/>
    <col min="3588" max="3588" width="7.6328125" style="13" bestFit="1" customWidth="1"/>
    <col min="3589" max="3589" width="8.6328125" style="13" bestFit="1" customWidth="1"/>
    <col min="3590" max="3590" width="5.08984375" style="13" bestFit="1" customWidth="1"/>
    <col min="3591" max="3591" width="5.81640625" style="13" bestFit="1" customWidth="1"/>
    <col min="3592" max="3592" width="13.08984375" style="13" bestFit="1" customWidth="1"/>
    <col min="3593" max="3593" width="8.453125" style="13" bestFit="1" customWidth="1"/>
    <col min="3594" max="3594" width="4.90625" style="13" bestFit="1" customWidth="1"/>
    <col min="3595" max="3595" width="7.90625" style="13" bestFit="1" customWidth="1"/>
    <col min="3596" max="3596" width="9.1796875" style="13" bestFit="1" customWidth="1"/>
    <col min="3597" max="3597" width="9.36328125" style="13" bestFit="1" customWidth="1"/>
    <col min="3598" max="3598" width="6.1796875" style="13" bestFit="1" customWidth="1"/>
    <col min="3599" max="3841" width="8.90625" style="13"/>
    <col min="3842" max="3842" width="10.453125" style="13" bestFit="1" customWidth="1"/>
    <col min="3843" max="3843" width="10.90625" style="13" bestFit="1" customWidth="1"/>
    <col min="3844" max="3844" width="7.6328125" style="13" bestFit="1" customWidth="1"/>
    <col min="3845" max="3845" width="8.6328125" style="13" bestFit="1" customWidth="1"/>
    <col min="3846" max="3846" width="5.08984375" style="13" bestFit="1" customWidth="1"/>
    <col min="3847" max="3847" width="5.81640625" style="13" bestFit="1" customWidth="1"/>
    <col min="3848" max="3848" width="13.08984375" style="13" bestFit="1" customWidth="1"/>
    <col min="3849" max="3849" width="8.453125" style="13" bestFit="1" customWidth="1"/>
    <col min="3850" max="3850" width="4.90625" style="13" bestFit="1" customWidth="1"/>
    <col min="3851" max="3851" width="7.90625" style="13" bestFit="1" customWidth="1"/>
    <col min="3852" max="3852" width="9.1796875" style="13" bestFit="1" customWidth="1"/>
    <col min="3853" max="3853" width="9.36328125" style="13" bestFit="1" customWidth="1"/>
    <col min="3854" max="3854" width="6.1796875" style="13" bestFit="1" customWidth="1"/>
    <col min="3855" max="4097" width="8.90625" style="13"/>
    <col min="4098" max="4098" width="10.453125" style="13" bestFit="1" customWidth="1"/>
    <col min="4099" max="4099" width="10.90625" style="13" bestFit="1" customWidth="1"/>
    <col min="4100" max="4100" width="7.6328125" style="13" bestFit="1" customWidth="1"/>
    <col min="4101" max="4101" width="8.6328125" style="13" bestFit="1" customWidth="1"/>
    <col min="4102" max="4102" width="5.08984375" style="13" bestFit="1" customWidth="1"/>
    <col min="4103" max="4103" width="5.81640625" style="13" bestFit="1" customWidth="1"/>
    <col min="4104" max="4104" width="13.08984375" style="13" bestFit="1" customWidth="1"/>
    <col min="4105" max="4105" width="8.453125" style="13" bestFit="1" customWidth="1"/>
    <col min="4106" max="4106" width="4.90625" style="13" bestFit="1" customWidth="1"/>
    <col min="4107" max="4107" width="7.90625" style="13" bestFit="1" customWidth="1"/>
    <col min="4108" max="4108" width="9.1796875" style="13" bestFit="1" customWidth="1"/>
    <col min="4109" max="4109" width="9.36328125" style="13" bestFit="1" customWidth="1"/>
    <col min="4110" max="4110" width="6.1796875" style="13" bestFit="1" customWidth="1"/>
    <col min="4111" max="4353" width="8.90625" style="13"/>
    <col min="4354" max="4354" width="10.453125" style="13" bestFit="1" customWidth="1"/>
    <col min="4355" max="4355" width="10.90625" style="13" bestFit="1" customWidth="1"/>
    <col min="4356" max="4356" width="7.6328125" style="13" bestFit="1" customWidth="1"/>
    <col min="4357" max="4357" width="8.6328125" style="13" bestFit="1" customWidth="1"/>
    <col min="4358" max="4358" width="5.08984375" style="13" bestFit="1" customWidth="1"/>
    <col min="4359" max="4359" width="5.81640625" style="13" bestFit="1" customWidth="1"/>
    <col min="4360" max="4360" width="13.08984375" style="13" bestFit="1" customWidth="1"/>
    <col min="4361" max="4361" width="8.453125" style="13" bestFit="1" customWidth="1"/>
    <col min="4362" max="4362" width="4.90625" style="13" bestFit="1" customWidth="1"/>
    <col min="4363" max="4363" width="7.90625" style="13" bestFit="1" customWidth="1"/>
    <col min="4364" max="4364" width="9.1796875" style="13" bestFit="1" customWidth="1"/>
    <col min="4365" max="4365" width="9.36328125" style="13" bestFit="1" customWidth="1"/>
    <col min="4366" max="4366" width="6.1796875" style="13" bestFit="1" customWidth="1"/>
    <col min="4367" max="4609" width="8.90625" style="13"/>
    <col min="4610" max="4610" width="10.453125" style="13" bestFit="1" customWidth="1"/>
    <col min="4611" max="4611" width="10.90625" style="13" bestFit="1" customWidth="1"/>
    <col min="4612" max="4612" width="7.6328125" style="13" bestFit="1" customWidth="1"/>
    <col min="4613" max="4613" width="8.6328125" style="13" bestFit="1" customWidth="1"/>
    <col min="4614" max="4614" width="5.08984375" style="13" bestFit="1" customWidth="1"/>
    <col min="4615" max="4615" width="5.81640625" style="13" bestFit="1" customWidth="1"/>
    <col min="4616" max="4616" width="13.08984375" style="13" bestFit="1" customWidth="1"/>
    <col min="4617" max="4617" width="8.453125" style="13" bestFit="1" customWidth="1"/>
    <col min="4618" max="4618" width="4.90625" style="13" bestFit="1" customWidth="1"/>
    <col min="4619" max="4619" width="7.90625" style="13" bestFit="1" customWidth="1"/>
    <col min="4620" max="4620" width="9.1796875" style="13" bestFit="1" customWidth="1"/>
    <col min="4621" max="4621" width="9.36328125" style="13" bestFit="1" customWidth="1"/>
    <col min="4622" max="4622" width="6.1796875" style="13" bestFit="1" customWidth="1"/>
    <col min="4623" max="4865" width="8.90625" style="13"/>
    <col min="4866" max="4866" width="10.453125" style="13" bestFit="1" customWidth="1"/>
    <col min="4867" max="4867" width="10.90625" style="13" bestFit="1" customWidth="1"/>
    <col min="4868" max="4868" width="7.6328125" style="13" bestFit="1" customWidth="1"/>
    <col min="4869" max="4869" width="8.6328125" style="13" bestFit="1" customWidth="1"/>
    <col min="4870" max="4870" width="5.08984375" style="13" bestFit="1" customWidth="1"/>
    <col min="4871" max="4871" width="5.81640625" style="13" bestFit="1" customWidth="1"/>
    <col min="4872" max="4872" width="13.08984375" style="13" bestFit="1" customWidth="1"/>
    <col min="4873" max="4873" width="8.453125" style="13" bestFit="1" customWidth="1"/>
    <col min="4874" max="4874" width="4.90625" style="13" bestFit="1" customWidth="1"/>
    <col min="4875" max="4875" width="7.90625" style="13" bestFit="1" customWidth="1"/>
    <col min="4876" max="4876" width="9.1796875" style="13" bestFit="1" customWidth="1"/>
    <col min="4877" max="4877" width="9.36328125" style="13" bestFit="1" customWidth="1"/>
    <col min="4878" max="4878" width="6.1796875" style="13" bestFit="1" customWidth="1"/>
    <col min="4879" max="5121" width="8.90625" style="13"/>
    <col min="5122" max="5122" width="10.453125" style="13" bestFit="1" customWidth="1"/>
    <col min="5123" max="5123" width="10.90625" style="13" bestFit="1" customWidth="1"/>
    <col min="5124" max="5124" width="7.6328125" style="13" bestFit="1" customWidth="1"/>
    <col min="5125" max="5125" width="8.6328125" style="13" bestFit="1" customWidth="1"/>
    <col min="5126" max="5126" width="5.08984375" style="13" bestFit="1" customWidth="1"/>
    <col min="5127" max="5127" width="5.81640625" style="13" bestFit="1" customWidth="1"/>
    <col min="5128" max="5128" width="13.08984375" style="13" bestFit="1" customWidth="1"/>
    <col min="5129" max="5129" width="8.453125" style="13" bestFit="1" customWidth="1"/>
    <col min="5130" max="5130" width="4.90625" style="13" bestFit="1" customWidth="1"/>
    <col min="5131" max="5131" width="7.90625" style="13" bestFit="1" customWidth="1"/>
    <col min="5132" max="5132" width="9.1796875" style="13" bestFit="1" customWidth="1"/>
    <col min="5133" max="5133" width="9.36328125" style="13" bestFit="1" customWidth="1"/>
    <col min="5134" max="5134" width="6.1796875" style="13" bestFit="1" customWidth="1"/>
    <col min="5135" max="5377" width="8.90625" style="13"/>
    <col min="5378" max="5378" width="10.453125" style="13" bestFit="1" customWidth="1"/>
    <col min="5379" max="5379" width="10.90625" style="13" bestFit="1" customWidth="1"/>
    <col min="5380" max="5380" width="7.6328125" style="13" bestFit="1" customWidth="1"/>
    <col min="5381" max="5381" width="8.6328125" style="13" bestFit="1" customWidth="1"/>
    <col min="5382" max="5382" width="5.08984375" style="13" bestFit="1" customWidth="1"/>
    <col min="5383" max="5383" width="5.81640625" style="13" bestFit="1" customWidth="1"/>
    <col min="5384" max="5384" width="13.08984375" style="13" bestFit="1" customWidth="1"/>
    <col min="5385" max="5385" width="8.453125" style="13" bestFit="1" customWidth="1"/>
    <col min="5386" max="5386" width="4.90625" style="13" bestFit="1" customWidth="1"/>
    <col min="5387" max="5387" width="7.90625" style="13" bestFit="1" customWidth="1"/>
    <col min="5388" max="5388" width="9.1796875" style="13" bestFit="1" customWidth="1"/>
    <col min="5389" max="5389" width="9.36328125" style="13" bestFit="1" customWidth="1"/>
    <col min="5390" max="5390" width="6.1796875" style="13" bestFit="1" customWidth="1"/>
    <col min="5391" max="5633" width="8.90625" style="13"/>
    <col min="5634" max="5634" width="10.453125" style="13" bestFit="1" customWidth="1"/>
    <col min="5635" max="5635" width="10.90625" style="13" bestFit="1" customWidth="1"/>
    <col min="5636" max="5636" width="7.6328125" style="13" bestFit="1" customWidth="1"/>
    <col min="5637" max="5637" width="8.6328125" style="13" bestFit="1" customWidth="1"/>
    <col min="5638" max="5638" width="5.08984375" style="13" bestFit="1" customWidth="1"/>
    <col min="5639" max="5639" width="5.81640625" style="13" bestFit="1" customWidth="1"/>
    <col min="5640" max="5640" width="13.08984375" style="13" bestFit="1" customWidth="1"/>
    <col min="5641" max="5641" width="8.453125" style="13" bestFit="1" customWidth="1"/>
    <col min="5642" max="5642" width="4.90625" style="13" bestFit="1" customWidth="1"/>
    <col min="5643" max="5643" width="7.90625" style="13" bestFit="1" customWidth="1"/>
    <col min="5644" max="5644" width="9.1796875" style="13" bestFit="1" customWidth="1"/>
    <col min="5645" max="5645" width="9.36328125" style="13" bestFit="1" customWidth="1"/>
    <col min="5646" max="5646" width="6.1796875" style="13" bestFit="1" customWidth="1"/>
    <col min="5647" max="5889" width="8.90625" style="13"/>
    <col min="5890" max="5890" width="10.453125" style="13" bestFit="1" customWidth="1"/>
    <col min="5891" max="5891" width="10.90625" style="13" bestFit="1" customWidth="1"/>
    <col min="5892" max="5892" width="7.6328125" style="13" bestFit="1" customWidth="1"/>
    <col min="5893" max="5893" width="8.6328125" style="13" bestFit="1" customWidth="1"/>
    <col min="5894" max="5894" width="5.08984375" style="13" bestFit="1" customWidth="1"/>
    <col min="5895" max="5895" width="5.81640625" style="13" bestFit="1" customWidth="1"/>
    <col min="5896" max="5896" width="13.08984375" style="13" bestFit="1" customWidth="1"/>
    <col min="5897" max="5897" width="8.453125" style="13" bestFit="1" customWidth="1"/>
    <col min="5898" max="5898" width="4.90625" style="13" bestFit="1" customWidth="1"/>
    <col min="5899" max="5899" width="7.90625" style="13" bestFit="1" customWidth="1"/>
    <col min="5900" max="5900" width="9.1796875" style="13" bestFit="1" customWidth="1"/>
    <col min="5901" max="5901" width="9.36328125" style="13" bestFit="1" customWidth="1"/>
    <col min="5902" max="5902" width="6.1796875" style="13" bestFit="1" customWidth="1"/>
    <col min="5903" max="6145" width="8.90625" style="13"/>
    <col min="6146" max="6146" width="10.453125" style="13" bestFit="1" customWidth="1"/>
    <col min="6147" max="6147" width="10.90625" style="13" bestFit="1" customWidth="1"/>
    <col min="6148" max="6148" width="7.6328125" style="13" bestFit="1" customWidth="1"/>
    <col min="6149" max="6149" width="8.6328125" style="13" bestFit="1" customWidth="1"/>
    <col min="6150" max="6150" width="5.08984375" style="13" bestFit="1" customWidth="1"/>
    <col min="6151" max="6151" width="5.81640625" style="13" bestFit="1" customWidth="1"/>
    <col min="6152" max="6152" width="13.08984375" style="13" bestFit="1" customWidth="1"/>
    <col min="6153" max="6153" width="8.453125" style="13" bestFit="1" customWidth="1"/>
    <col min="6154" max="6154" width="4.90625" style="13" bestFit="1" customWidth="1"/>
    <col min="6155" max="6155" width="7.90625" style="13" bestFit="1" customWidth="1"/>
    <col min="6156" max="6156" width="9.1796875" style="13" bestFit="1" customWidth="1"/>
    <col min="6157" max="6157" width="9.36328125" style="13" bestFit="1" customWidth="1"/>
    <col min="6158" max="6158" width="6.1796875" style="13" bestFit="1" customWidth="1"/>
    <col min="6159" max="6401" width="8.90625" style="13"/>
    <col min="6402" max="6402" width="10.453125" style="13" bestFit="1" customWidth="1"/>
    <col min="6403" max="6403" width="10.90625" style="13" bestFit="1" customWidth="1"/>
    <col min="6404" max="6404" width="7.6328125" style="13" bestFit="1" customWidth="1"/>
    <col min="6405" max="6405" width="8.6328125" style="13" bestFit="1" customWidth="1"/>
    <col min="6406" max="6406" width="5.08984375" style="13" bestFit="1" customWidth="1"/>
    <col min="6407" max="6407" width="5.81640625" style="13" bestFit="1" customWidth="1"/>
    <col min="6408" max="6408" width="13.08984375" style="13" bestFit="1" customWidth="1"/>
    <col min="6409" max="6409" width="8.453125" style="13" bestFit="1" customWidth="1"/>
    <col min="6410" max="6410" width="4.90625" style="13" bestFit="1" customWidth="1"/>
    <col min="6411" max="6411" width="7.90625" style="13" bestFit="1" customWidth="1"/>
    <col min="6412" max="6412" width="9.1796875" style="13" bestFit="1" customWidth="1"/>
    <col min="6413" max="6413" width="9.36328125" style="13" bestFit="1" customWidth="1"/>
    <col min="6414" max="6414" width="6.1796875" style="13" bestFit="1" customWidth="1"/>
    <col min="6415" max="6657" width="8.90625" style="13"/>
    <col min="6658" max="6658" width="10.453125" style="13" bestFit="1" customWidth="1"/>
    <col min="6659" max="6659" width="10.90625" style="13" bestFit="1" customWidth="1"/>
    <col min="6660" max="6660" width="7.6328125" style="13" bestFit="1" customWidth="1"/>
    <col min="6661" max="6661" width="8.6328125" style="13" bestFit="1" customWidth="1"/>
    <col min="6662" max="6662" width="5.08984375" style="13" bestFit="1" customWidth="1"/>
    <col min="6663" max="6663" width="5.81640625" style="13" bestFit="1" customWidth="1"/>
    <col min="6664" max="6664" width="13.08984375" style="13" bestFit="1" customWidth="1"/>
    <col min="6665" max="6665" width="8.453125" style="13" bestFit="1" customWidth="1"/>
    <col min="6666" max="6666" width="4.90625" style="13" bestFit="1" customWidth="1"/>
    <col min="6667" max="6667" width="7.90625" style="13" bestFit="1" customWidth="1"/>
    <col min="6668" max="6668" width="9.1796875" style="13" bestFit="1" customWidth="1"/>
    <col min="6669" max="6669" width="9.36328125" style="13" bestFit="1" customWidth="1"/>
    <col min="6670" max="6670" width="6.1796875" style="13" bestFit="1" customWidth="1"/>
    <col min="6671" max="6913" width="8.90625" style="13"/>
    <col min="6914" max="6914" width="10.453125" style="13" bestFit="1" customWidth="1"/>
    <col min="6915" max="6915" width="10.90625" style="13" bestFit="1" customWidth="1"/>
    <col min="6916" max="6916" width="7.6328125" style="13" bestFit="1" customWidth="1"/>
    <col min="6917" max="6917" width="8.6328125" style="13" bestFit="1" customWidth="1"/>
    <col min="6918" max="6918" width="5.08984375" style="13" bestFit="1" customWidth="1"/>
    <col min="6919" max="6919" width="5.81640625" style="13" bestFit="1" customWidth="1"/>
    <col min="6920" max="6920" width="13.08984375" style="13" bestFit="1" customWidth="1"/>
    <col min="6921" max="6921" width="8.453125" style="13" bestFit="1" customWidth="1"/>
    <col min="6922" max="6922" width="4.90625" style="13" bestFit="1" customWidth="1"/>
    <col min="6923" max="6923" width="7.90625" style="13" bestFit="1" customWidth="1"/>
    <col min="6924" max="6924" width="9.1796875" style="13" bestFit="1" customWidth="1"/>
    <col min="6925" max="6925" width="9.36328125" style="13" bestFit="1" customWidth="1"/>
    <col min="6926" max="6926" width="6.1796875" style="13" bestFit="1" customWidth="1"/>
    <col min="6927" max="7169" width="8.90625" style="13"/>
    <col min="7170" max="7170" width="10.453125" style="13" bestFit="1" customWidth="1"/>
    <col min="7171" max="7171" width="10.90625" style="13" bestFit="1" customWidth="1"/>
    <col min="7172" max="7172" width="7.6328125" style="13" bestFit="1" customWidth="1"/>
    <col min="7173" max="7173" width="8.6328125" style="13" bestFit="1" customWidth="1"/>
    <col min="7174" max="7174" width="5.08984375" style="13" bestFit="1" customWidth="1"/>
    <col min="7175" max="7175" width="5.81640625" style="13" bestFit="1" customWidth="1"/>
    <col min="7176" max="7176" width="13.08984375" style="13" bestFit="1" customWidth="1"/>
    <col min="7177" max="7177" width="8.453125" style="13" bestFit="1" customWidth="1"/>
    <col min="7178" max="7178" width="4.90625" style="13" bestFit="1" customWidth="1"/>
    <col min="7179" max="7179" width="7.90625" style="13" bestFit="1" customWidth="1"/>
    <col min="7180" max="7180" width="9.1796875" style="13" bestFit="1" customWidth="1"/>
    <col min="7181" max="7181" width="9.36328125" style="13" bestFit="1" customWidth="1"/>
    <col min="7182" max="7182" width="6.1796875" style="13" bestFit="1" customWidth="1"/>
    <col min="7183" max="7425" width="8.90625" style="13"/>
    <col min="7426" max="7426" width="10.453125" style="13" bestFit="1" customWidth="1"/>
    <col min="7427" max="7427" width="10.90625" style="13" bestFit="1" customWidth="1"/>
    <col min="7428" max="7428" width="7.6328125" style="13" bestFit="1" customWidth="1"/>
    <col min="7429" max="7429" width="8.6328125" style="13" bestFit="1" customWidth="1"/>
    <col min="7430" max="7430" width="5.08984375" style="13" bestFit="1" customWidth="1"/>
    <col min="7431" max="7431" width="5.81640625" style="13" bestFit="1" customWidth="1"/>
    <col min="7432" max="7432" width="13.08984375" style="13" bestFit="1" customWidth="1"/>
    <col min="7433" max="7433" width="8.453125" style="13" bestFit="1" customWidth="1"/>
    <col min="7434" max="7434" width="4.90625" style="13" bestFit="1" customWidth="1"/>
    <col min="7435" max="7435" width="7.90625" style="13" bestFit="1" customWidth="1"/>
    <col min="7436" max="7436" width="9.1796875" style="13" bestFit="1" customWidth="1"/>
    <col min="7437" max="7437" width="9.36328125" style="13" bestFit="1" customWidth="1"/>
    <col min="7438" max="7438" width="6.1796875" style="13" bestFit="1" customWidth="1"/>
    <col min="7439" max="7681" width="8.90625" style="13"/>
    <col min="7682" max="7682" width="10.453125" style="13" bestFit="1" customWidth="1"/>
    <col min="7683" max="7683" width="10.90625" style="13" bestFit="1" customWidth="1"/>
    <col min="7684" max="7684" width="7.6328125" style="13" bestFit="1" customWidth="1"/>
    <col min="7685" max="7685" width="8.6328125" style="13" bestFit="1" customWidth="1"/>
    <col min="7686" max="7686" width="5.08984375" style="13" bestFit="1" customWidth="1"/>
    <col min="7687" max="7687" width="5.81640625" style="13" bestFit="1" customWidth="1"/>
    <col min="7688" max="7688" width="13.08984375" style="13" bestFit="1" customWidth="1"/>
    <col min="7689" max="7689" width="8.453125" style="13" bestFit="1" customWidth="1"/>
    <col min="7690" max="7690" width="4.90625" style="13" bestFit="1" customWidth="1"/>
    <col min="7691" max="7691" width="7.90625" style="13" bestFit="1" customWidth="1"/>
    <col min="7692" max="7692" width="9.1796875" style="13" bestFit="1" customWidth="1"/>
    <col min="7693" max="7693" width="9.36328125" style="13" bestFit="1" customWidth="1"/>
    <col min="7694" max="7694" width="6.1796875" style="13" bestFit="1" customWidth="1"/>
    <col min="7695" max="7937" width="8.90625" style="13"/>
    <col min="7938" max="7938" width="10.453125" style="13" bestFit="1" customWidth="1"/>
    <col min="7939" max="7939" width="10.90625" style="13" bestFit="1" customWidth="1"/>
    <col min="7940" max="7940" width="7.6328125" style="13" bestFit="1" customWidth="1"/>
    <col min="7941" max="7941" width="8.6328125" style="13" bestFit="1" customWidth="1"/>
    <col min="7942" max="7942" width="5.08984375" style="13" bestFit="1" customWidth="1"/>
    <col min="7943" max="7943" width="5.81640625" style="13" bestFit="1" customWidth="1"/>
    <col min="7944" max="7944" width="13.08984375" style="13" bestFit="1" customWidth="1"/>
    <col min="7945" max="7945" width="8.453125" style="13" bestFit="1" customWidth="1"/>
    <col min="7946" max="7946" width="4.90625" style="13" bestFit="1" customWidth="1"/>
    <col min="7947" max="7947" width="7.90625" style="13" bestFit="1" customWidth="1"/>
    <col min="7948" max="7948" width="9.1796875" style="13" bestFit="1" customWidth="1"/>
    <col min="7949" max="7949" width="9.36328125" style="13" bestFit="1" customWidth="1"/>
    <col min="7950" max="7950" width="6.1796875" style="13" bestFit="1" customWidth="1"/>
    <col min="7951" max="8193" width="8.90625" style="13"/>
    <col min="8194" max="8194" width="10.453125" style="13" bestFit="1" customWidth="1"/>
    <col min="8195" max="8195" width="10.90625" style="13" bestFit="1" customWidth="1"/>
    <col min="8196" max="8196" width="7.6328125" style="13" bestFit="1" customWidth="1"/>
    <col min="8197" max="8197" width="8.6328125" style="13" bestFit="1" customWidth="1"/>
    <col min="8198" max="8198" width="5.08984375" style="13" bestFit="1" customWidth="1"/>
    <col min="8199" max="8199" width="5.81640625" style="13" bestFit="1" customWidth="1"/>
    <col min="8200" max="8200" width="13.08984375" style="13" bestFit="1" customWidth="1"/>
    <col min="8201" max="8201" width="8.453125" style="13" bestFit="1" customWidth="1"/>
    <col min="8202" max="8202" width="4.90625" style="13" bestFit="1" customWidth="1"/>
    <col min="8203" max="8203" width="7.90625" style="13" bestFit="1" customWidth="1"/>
    <col min="8204" max="8204" width="9.1796875" style="13" bestFit="1" customWidth="1"/>
    <col min="8205" max="8205" width="9.36328125" style="13" bestFit="1" customWidth="1"/>
    <col min="8206" max="8206" width="6.1796875" style="13" bestFit="1" customWidth="1"/>
    <col min="8207" max="8449" width="8.90625" style="13"/>
    <col min="8450" max="8450" width="10.453125" style="13" bestFit="1" customWidth="1"/>
    <col min="8451" max="8451" width="10.90625" style="13" bestFit="1" customWidth="1"/>
    <col min="8452" max="8452" width="7.6328125" style="13" bestFit="1" customWidth="1"/>
    <col min="8453" max="8453" width="8.6328125" style="13" bestFit="1" customWidth="1"/>
    <col min="8454" max="8454" width="5.08984375" style="13" bestFit="1" customWidth="1"/>
    <col min="8455" max="8455" width="5.81640625" style="13" bestFit="1" customWidth="1"/>
    <col min="8456" max="8456" width="13.08984375" style="13" bestFit="1" customWidth="1"/>
    <col min="8457" max="8457" width="8.453125" style="13" bestFit="1" customWidth="1"/>
    <col min="8458" max="8458" width="4.90625" style="13" bestFit="1" customWidth="1"/>
    <col min="8459" max="8459" width="7.90625" style="13" bestFit="1" customWidth="1"/>
    <col min="8460" max="8460" width="9.1796875" style="13" bestFit="1" customWidth="1"/>
    <col min="8461" max="8461" width="9.36328125" style="13" bestFit="1" customWidth="1"/>
    <col min="8462" max="8462" width="6.1796875" style="13" bestFit="1" customWidth="1"/>
    <col min="8463" max="8705" width="8.90625" style="13"/>
    <col min="8706" max="8706" width="10.453125" style="13" bestFit="1" customWidth="1"/>
    <col min="8707" max="8707" width="10.90625" style="13" bestFit="1" customWidth="1"/>
    <col min="8708" max="8708" width="7.6328125" style="13" bestFit="1" customWidth="1"/>
    <col min="8709" max="8709" width="8.6328125" style="13" bestFit="1" customWidth="1"/>
    <col min="8710" max="8710" width="5.08984375" style="13" bestFit="1" customWidth="1"/>
    <col min="8711" max="8711" width="5.81640625" style="13" bestFit="1" customWidth="1"/>
    <col min="8712" max="8712" width="13.08984375" style="13" bestFit="1" customWidth="1"/>
    <col min="8713" max="8713" width="8.453125" style="13" bestFit="1" customWidth="1"/>
    <col min="8714" max="8714" width="4.90625" style="13" bestFit="1" customWidth="1"/>
    <col min="8715" max="8715" width="7.90625" style="13" bestFit="1" customWidth="1"/>
    <col min="8716" max="8716" width="9.1796875" style="13" bestFit="1" customWidth="1"/>
    <col min="8717" max="8717" width="9.36328125" style="13" bestFit="1" customWidth="1"/>
    <col min="8718" max="8718" width="6.1796875" style="13" bestFit="1" customWidth="1"/>
    <col min="8719" max="8961" width="8.90625" style="13"/>
    <col min="8962" max="8962" width="10.453125" style="13" bestFit="1" customWidth="1"/>
    <col min="8963" max="8963" width="10.90625" style="13" bestFit="1" customWidth="1"/>
    <col min="8964" max="8964" width="7.6328125" style="13" bestFit="1" customWidth="1"/>
    <col min="8965" max="8965" width="8.6328125" style="13" bestFit="1" customWidth="1"/>
    <col min="8966" max="8966" width="5.08984375" style="13" bestFit="1" customWidth="1"/>
    <col min="8967" max="8967" width="5.81640625" style="13" bestFit="1" customWidth="1"/>
    <col min="8968" max="8968" width="13.08984375" style="13" bestFit="1" customWidth="1"/>
    <col min="8969" max="8969" width="8.453125" style="13" bestFit="1" customWidth="1"/>
    <col min="8970" max="8970" width="4.90625" style="13" bestFit="1" customWidth="1"/>
    <col min="8971" max="8971" width="7.90625" style="13" bestFit="1" customWidth="1"/>
    <col min="8972" max="8972" width="9.1796875" style="13" bestFit="1" customWidth="1"/>
    <col min="8973" max="8973" width="9.36328125" style="13" bestFit="1" customWidth="1"/>
    <col min="8974" max="8974" width="6.1796875" style="13" bestFit="1" customWidth="1"/>
    <col min="8975" max="9217" width="8.90625" style="13"/>
    <col min="9218" max="9218" width="10.453125" style="13" bestFit="1" customWidth="1"/>
    <col min="9219" max="9219" width="10.90625" style="13" bestFit="1" customWidth="1"/>
    <col min="9220" max="9220" width="7.6328125" style="13" bestFit="1" customWidth="1"/>
    <col min="9221" max="9221" width="8.6328125" style="13" bestFit="1" customWidth="1"/>
    <col min="9222" max="9222" width="5.08984375" style="13" bestFit="1" customWidth="1"/>
    <col min="9223" max="9223" width="5.81640625" style="13" bestFit="1" customWidth="1"/>
    <col min="9224" max="9224" width="13.08984375" style="13" bestFit="1" customWidth="1"/>
    <col min="9225" max="9225" width="8.453125" style="13" bestFit="1" customWidth="1"/>
    <col min="9226" max="9226" width="4.90625" style="13" bestFit="1" customWidth="1"/>
    <col min="9227" max="9227" width="7.90625" style="13" bestFit="1" customWidth="1"/>
    <col min="9228" max="9228" width="9.1796875" style="13" bestFit="1" customWidth="1"/>
    <col min="9229" max="9229" width="9.36328125" style="13" bestFit="1" customWidth="1"/>
    <col min="9230" max="9230" width="6.1796875" style="13" bestFit="1" customWidth="1"/>
    <col min="9231" max="9473" width="8.90625" style="13"/>
    <col min="9474" max="9474" width="10.453125" style="13" bestFit="1" customWidth="1"/>
    <col min="9475" max="9475" width="10.90625" style="13" bestFit="1" customWidth="1"/>
    <col min="9476" max="9476" width="7.6328125" style="13" bestFit="1" customWidth="1"/>
    <col min="9477" max="9477" width="8.6328125" style="13" bestFit="1" customWidth="1"/>
    <col min="9478" max="9478" width="5.08984375" style="13" bestFit="1" customWidth="1"/>
    <col min="9479" max="9479" width="5.81640625" style="13" bestFit="1" customWidth="1"/>
    <col min="9480" max="9480" width="13.08984375" style="13" bestFit="1" customWidth="1"/>
    <col min="9481" max="9481" width="8.453125" style="13" bestFit="1" customWidth="1"/>
    <col min="9482" max="9482" width="4.90625" style="13" bestFit="1" customWidth="1"/>
    <col min="9483" max="9483" width="7.90625" style="13" bestFit="1" customWidth="1"/>
    <col min="9484" max="9484" width="9.1796875" style="13" bestFit="1" customWidth="1"/>
    <col min="9485" max="9485" width="9.36328125" style="13" bestFit="1" customWidth="1"/>
    <col min="9486" max="9486" width="6.1796875" style="13" bestFit="1" customWidth="1"/>
    <col min="9487" max="9729" width="8.90625" style="13"/>
    <col min="9730" max="9730" width="10.453125" style="13" bestFit="1" customWidth="1"/>
    <col min="9731" max="9731" width="10.90625" style="13" bestFit="1" customWidth="1"/>
    <col min="9732" max="9732" width="7.6328125" style="13" bestFit="1" customWidth="1"/>
    <col min="9733" max="9733" width="8.6328125" style="13" bestFit="1" customWidth="1"/>
    <col min="9734" max="9734" width="5.08984375" style="13" bestFit="1" customWidth="1"/>
    <col min="9735" max="9735" width="5.81640625" style="13" bestFit="1" customWidth="1"/>
    <col min="9736" max="9736" width="13.08984375" style="13" bestFit="1" customWidth="1"/>
    <col min="9737" max="9737" width="8.453125" style="13" bestFit="1" customWidth="1"/>
    <col min="9738" max="9738" width="4.90625" style="13" bestFit="1" customWidth="1"/>
    <col min="9739" max="9739" width="7.90625" style="13" bestFit="1" customWidth="1"/>
    <col min="9740" max="9740" width="9.1796875" style="13" bestFit="1" customWidth="1"/>
    <col min="9741" max="9741" width="9.36328125" style="13" bestFit="1" customWidth="1"/>
    <col min="9742" max="9742" width="6.1796875" style="13" bestFit="1" customWidth="1"/>
    <col min="9743" max="9985" width="8.90625" style="13"/>
    <col min="9986" max="9986" width="10.453125" style="13" bestFit="1" customWidth="1"/>
    <col min="9987" max="9987" width="10.90625" style="13" bestFit="1" customWidth="1"/>
    <col min="9988" max="9988" width="7.6328125" style="13" bestFit="1" customWidth="1"/>
    <col min="9989" max="9989" width="8.6328125" style="13" bestFit="1" customWidth="1"/>
    <col min="9990" max="9990" width="5.08984375" style="13" bestFit="1" customWidth="1"/>
    <col min="9991" max="9991" width="5.81640625" style="13" bestFit="1" customWidth="1"/>
    <col min="9992" max="9992" width="13.08984375" style="13" bestFit="1" customWidth="1"/>
    <col min="9993" max="9993" width="8.453125" style="13" bestFit="1" customWidth="1"/>
    <col min="9994" max="9994" width="4.90625" style="13" bestFit="1" customWidth="1"/>
    <col min="9995" max="9995" width="7.90625" style="13" bestFit="1" customWidth="1"/>
    <col min="9996" max="9996" width="9.1796875" style="13" bestFit="1" customWidth="1"/>
    <col min="9997" max="9997" width="9.36328125" style="13" bestFit="1" customWidth="1"/>
    <col min="9998" max="9998" width="6.1796875" style="13" bestFit="1" customWidth="1"/>
    <col min="9999" max="10241" width="8.90625" style="13"/>
    <col min="10242" max="10242" width="10.453125" style="13" bestFit="1" customWidth="1"/>
    <col min="10243" max="10243" width="10.90625" style="13" bestFit="1" customWidth="1"/>
    <col min="10244" max="10244" width="7.6328125" style="13" bestFit="1" customWidth="1"/>
    <col min="10245" max="10245" width="8.6328125" style="13" bestFit="1" customWidth="1"/>
    <col min="10246" max="10246" width="5.08984375" style="13" bestFit="1" customWidth="1"/>
    <col min="10247" max="10247" width="5.81640625" style="13" bestFit="1" customWidth="1"/>
    <col min="10248" max="10248" width="13.08984375" style="13" bestFit="1" customWidth="1"/>
    <col min="10249" max="10249" width="8.453125" style="13" bestFit="1" customWidth="1"/>
    <col min="10250" max="10250" width="4.90625" style="13" bestFit="1" customWidth="1"/>
    <col min="10251" max="10251" width="7.90625" style="13" bestFit="1" customWidth="1"/>
    <col min="10252" max="10252" width="9.1796875" style="13" bestFit="1" customWidth="1"/>
    <col min="10253" max="10253" width="9.36328125" style="13" bestFit="1" customWidth="1"/>
    <col min="10254" max="10254" width="6.1796875" style="13" bestFit="1" customWidth="1"/>
    <col min="10255" max="10497" width="8.90625" style="13"/>
    <col min="10498" max="10498" width="10.453125" style="13" bestFit="1" customWidth="1"/>
    <col min="10499" max="10499" width="10.90625" style="13" bestFit="1" customWidth="1"/>
    <col min="10500" max="10500" width="7.6328125" style="13" bestFit="1" customWidth="1"/>
    <col min="10501" max="10501" width="8.6328125" style="13" bestFit="1" customWidth="1"/>
    <col min="10502" max="10502" width="5.08984375" style="13" bestFit="1" customWidth="1"/>
    <col min="10503" max="10503" width="5.81640625" style="13" bestFit="1" customWidth="1"/>
    <col min="10504" max="10504" width="13.08984375" style="13" bestFit="1" customWidth="1"/>
    <col min="10505" max="10505" width="8.453125" style="13" bestFit="1" customWidth="1"/>
    <col min="10506" max="10506" width="4.90625" style="13" bestFit="1" customWidth="1"/>
    <col min="10507" max="10507" width="7.90625" style="13" bestFit="1" customWidth="1"/>
    <col min="10508" max="10508" width="9.1796875" style="13" bestFit="1" customWidth="1"/>
    <col min="10509" max="10509" width="9.36328125" style="13" bestFit="1" customWidth="1"/>
    <col min="10510" max="10510" width="6.1796875" style="13" bestFit="1" customWidth="1"/>
    <col min="10511" max="10753" width="8.90625" style="13"/>
    <col min="10754" max="10754" width="10.453125" style="13" bestFit="1" customWidth="1"/>
    <col min="10755" max="10755" width="10.90625" style="13" bestFit="1" customWidth="1"/>
    <col min="10756" max="10756" width="7.6328125" style="13" bestFit="1" customWidth="1"/>
    <col min="10757" max="10757" width="8.6328125" style="13" bestFit="1" customWidth="1"/>
    <col min="10758" max="10758" width="5.08984375" style="13" bestFit="1" customWidth="1"/>
    <col min="10759" max="10759" width="5.81640625" style="13" bestFit="1" customWidth="1"/>
    <col min="10760" max="10760" width="13.08984375" style="13" bestFit="1" customWidth="1"/>
    <col min="10761" max="10761" width="8.453125" style="13" bestFit="1" customWidth="1"/>
    <col min="10762" max="10762" width="4.90625" style="13" bestFit="1" customWidth="1"/>
    <col min="10763" max="10763" width="7.90625" style="13" bestFit="1" customWidth="1"/>
    <col min="10764" max="10764" width="9.1796875" style="13" bestFit="1" customWidth="1"/>
    <col min="10765" max="10765" width="9.36328125" style="13" bestFit="1" customWidth="1"/>
    <col min="10766" max="10766" width="6.1796875" style="13" bestFit="1" customWidth="1"/>
    <col min="10767" max="11009" width="8.90625" style="13"/>
    <col min="11010" max="11010" width="10.453125" style="13" bestFit="1" customWidth="1"/>
    <col min="11011" max="11011" width="10.90625" style="13" bestFit="1" customWidth="1"/>
    <col min="11012" max="11012" width="7.6328125" style="13" bestFit="1" customWidth="1"/>
    <col min="11013" max="11013" width="8.6328125" style="13" bestFit="1" customWidth="1"/>
    <col min="11014" max="11014" width="5.08984375" style="13" bestFit="1" customWidth="1"/>
    <col min="11015" max="11015" width="5.81640625" style="13" bestFit="1" customWidth="1"/>
    <col min="11016" max="11016" width="13.08984375" style="13" bestFit="1" customWidth="1"/>
    <col min="11017" max="11017" width="8.453125" style="13" bestFit="1" customWidth="1"/>
    <col min="11018" max="11018" width="4.90625" style="13" bestFit="1" customWidth="1"/>
    <col min="11019" max="11019" width="7.90625" style="13" bestFit="1" customWidth="1"/>
    <col min="11020" max="11020" width="9.1796875" style="13" bestFit="1" customWidth="1"/>
    <col min="11021" max="11021" width="9.36328125" style="13" bestFit="1" customWidth="1"/>
    <col min="11022" max="11022" width="6.1796875" style="13" bestFit="1" customWidth="1"/>
    <col min="11023" max="11265" width="8.90625" style="13"/>
    <col min="11266" max="11266" width="10.453125" style="13" bestFit="1" customWidth="1"/>
    <col min="11267" max="11267" width="10.90625" style="13" bestFit="1" customWidth="1"/>
    <col min="11268" max="11268" width="7.6328125" style="13" bestFit="1" customWidth="1"/>
    <col min="11269" max="11269" width="8.6328125" style="13" bestFit="1" customWidth="1"/>
    <col min="11270" max="11270" width="5.08984375" style="13" bestFit="1" customWidth="1"/>
    <col min="11271" max="11271" width="5.81640625" style="13" bestFit="1" customWidth="1"/>
    <col min="11272" max="11272" width="13.08984375" style="13" bestFit="1" customWidth="1"/>
    <col min="11273" max="11273" width="8.453125" style="13" bestFit="1" customWidth="1"/>
    <col min="11274" max="11274" width="4.90625" style="13" bestFit="1" customWidth="1"/>
    <col min="11275" max="11275" width="7.90625" style="13" bestFit="1" customWidth="1"/>
    <col min="11276" max="11276" width="9.1796875" style="13" bestFit="1" customWidth="1"/>
    <col min="11277" max="11277" width="9.36328125" style="13" bestFit="1" customWidth="1"/>
    <col min="11278" max="11278" width="6.1796875" style="13" bestFit="1" customWidth="1"/>
    <col min="11279" max="11521" width="8.90625" style="13"/>
    <col min="11522" max="11522" width="10.453125" style="13" bestFit="1" customWidth="1"/>
    <col min="11523" max="11523" width="10.90625" style="13" bestFit="1" customWidth="1"/>
    <col min="11524" max="11524" width="7.6328125" style="13" bestFit="1" customWidth="1"/>
    <col min="11525" max="11525" width="8.6328125" style="13" bestFit="1" customWidth="1"/>
    <col min="11526" max="11526" width="5.08984375" style="13" bestFit="1" customWidth="1"/>
    <col min="11527" max="11527" width="5.81640625" style="13" bestFit="1" customWidth="1"/>
    <col min="11528" max="11528" width="13.08984375" style="13" bestFit="1" customWidth="1"/>
    <col min="11529" max="11529" width="8.453125" style="13" bestFit="1" customWidth="1"/>
    <col min="11530" max="11530" width="4.90625" style="13" bestFit="1" customWidth="1"/>
    <col min="11531" max="11531" width="7.90625" style="13" bestFit="1" customWidth="1"/>
    <col min="11532" max="11532" width="9.1796875" style="13" bestFit="1" customWidth="1"/>
    <col min="11533" max="11533" width="9.36328125" style="13" bestFit="1" customWidth="1"/>
    <col min="11534" max="11534" width="6.1796875" style="13" bestFit="1" customWidth="1"/>
    <col min="11535" max="11777" width="8.90625" style="13"/>
    <col min="11778" max="11778" width="10.453125" style="13" bestFit="1" customWidth="1"/>
    <col min="11779" max="11779" width="10.90625" style="13" bestFit="1" customWidth="1"/>
    <col min="11780" max="11780" width="7.6328125" style="13" bestFit="1" customWidth="1"/>
    <col min="11781" max="11781" width="8.6328125" style="13" bestFit="1" customWidth="1"/>
    <col min="11782" max="11782" width="5.08984375" style="13" bestFit="1" customWidth="1"/>
    <col min="11783" max="11783" width="5.81640625" style="13" bestFit="1" customWidth="1"/>
    <col min="11784" max="11784" width="13.08984375" style="13" bestFit="1" customWidth="1"/>
    <col min="11785" max="11785" width="8.453125" style="13" bestFit="1" customWidth="1"/>
    <col min="11786" max="11786" width="4.90625" style="13" bestFit="1" customWidth="1"/>
    <col min="11787" max="11787" width="7.90625" style="13" bestFit="1" customWidth="1"/>
    <col min="11788" max="11788" width="9.1796875" style="13" bestFit="1" customWidth="1"/>
    <col min="11789" max="11789" width="9.36328125" style="13" bestFit="1" customWidth="1"/>
    <col min="11790" max="11790" width="6.1796875" style="13" bestFit="1" customWidth="1"/>
    <col min="11791" max="12033" width="8.90625" style="13"/>
    <col min="12034" max="12034" width="10.453125" style="13" bestFit="1" customWidth="1"/>
    <col min="12035" max="12035" width="10.90625" style="13" bestFit="1" customWidth="1"/>
    <col min="12036" max="12036" width="7.6328125" style="13" bestFit="1" customWidth="1"/>
    <col min="12037" max="12037" width="8.6328125" style="13" bestFit="1" customWidth="1"/>
    <col min="12038" max="12038" width="5.08984375" style="13" bestFit="1" customWidth="1"/>
    <col min="12039" max="12039" width="5.81640625" style="13" bestFit="1" customWidth="1"/>
    <col min="12040" max="12040" width="13.08984375" style="13" bestFit="1" customWidth="1"/>
    <col min="12041" max="12041" width="8.453125" style="13" bestFit="1" customWidth="1"/>
    <col min="12042" max="12042" width="4.90625" style="13" bestFit="1" customWidth="1"/>
    <col min="12043" max="12043" width="7.90625" style="13" bestFit="1" customWidth="1"/>
    <col min="12044" max="12044" width="9.1796875" style="13" bestFit="1" customWidth="1"/>
    <col min="12045" max="12045" width="9.36328125" style="13" bestFit="1" customWidth="1"/>
    <col min="12046" max="12046" width="6.1796875" style="13" bestFit="1" customWidth="1"/>
    <col min="12047" max="12289" width="8.90625" style="13"/>
    <col min="12290" max="12290" width="10.453125" style="13" bestFit="1" customWidth="1"/>
    <col min="12291" max="12291" width="10.90625" style="13" bestFit="1" customWidth="1"/>
    <col min="12292" max="12292" width="7.6328125" style="13" bestFit="1" customWidth="1"/>
    <col min="12293" max="12293" width="8.6328125" style="13" bestFit="1" customWidth="1"/>
    <col min="12294" max="12294" width="5.08984375" style="13" bestFit="1" customWidth="1"/>
    <col min="12295" max="12295" width="5.81640625" style="13" bestFit="1" customWidth="1"/>
    <col min="12296" max="12296" width="13.08984375" style="13" bestFit="1" customWidth="1"/>
    <col min="12297" max="12297" width="8.453125" style="13" bestFit="1" customWidth="1"/>
    <col min="12298" max="12298" width="4.90625" style="13" bestFit="1" customWidth="1"/>
    <col min="12299" max="12299" width="7.90625" style="13" bestFit="1" customWidth="1"/>
    <col min="12300" max="12300" width="9.1796875" style="13" bestFit="1" customWidth="1"/>
    <col min="12301" max="12301" width="9.36328125" style="13" bestFit="1" customWidth="1"/>
    <col min="12302" max="12302" width="6.1796875" style="13" bestFit="1" customWidth="1"/>
    <col min="12303" max="12545" width="8.90625" style="13"/>
    <col min="12546" max="12546" width="10.453125" style="13" bestFit="1" customWidth="1"/>
    <col min="12547" max="12547" width="10.90625" style="13" bestFit="1" customWidth="1"/>
    <col min="12548" max="12548" width="7.6328125" style="13" bestFit="1" customWidth="1"/>
    <col min="12549" max="12549" width="8.6328125" style="13" bestFit="1" customWidth="1"/>
    <col min="12550" max="12550" width="5.08984375" style="13" bestFit="1" customWidth="1"/>
    <col min="12551" max="12551" width="5.81640625" style="13" bestFit="1" customWidth="1"/>
    <col min="12552" max="12552" width="13.08984375" style="13" bestFit="1" customWidth="1"/>
    <col min="12553" max="12553" width="8.453125" style="13" bestFit="1" customWidth="1"/>
    <col min="12554" max="12554" width="4.90625" style="13" bestFit="1" customWidth="1"/>
    <col min="12555" max="12555" width="7.90625" style="13" bestFit="1" customWidth="1"/>
    <col min="12556" max="12556" width="9.1796875" style="13" bestFit="1" customWidth="1"/>
    <col min="12557" max="12557" width="9.36328125" style="13" bestFit="1" customWidth="1"/>
    <col min="12558" max="12558" width="6.1796875" style="13" bestFit="1" customWidth="1"/>
    <col min="12559" max="12801" width="8.90625" style="13"/>
    <col min="12802" max="12802" width="10.453125" style="13" bestFit="1" customWidth="1"/>
    <col min="12803" max="12803" width="10.90625" style="13" bestFit="1" customWidth="1"/>
    <col min="12804" max="12804" width="7.6328125" style="13" bestFit="1" customWidth="1"/>
    <col min="12805" max="12805" width="8.6328125" style="13" bestFit="1" customWidth="1"/>
    <col min="12806" max="12806" width="5.08984375" style="13" bestFit="1" customWidth="1"/>
    <col min="12807" max="12807" width="5.81640625" style="13" bestFit="1" customWidth="1"/>
    <col min="12808" max="12808" width="13.08984375" style="13" bestFit="1" customWidth="1"/>
    <col min="12809" max="12809" width="8.453125" style="13" bestFit="1" customWidth="1"/>
    <col min="12810" max="12810" width="4.90625" style="13" bestFit="1" customWidth="1"/>
    <col min="12811" max="12811" width="7.90625" style="13" bestFit="1" customWidth="1"/>
    <col min="12812" max="12812" width="9.1796875" style="13" bestFit="1" customWidth="1"/>
    <col min="12813" max="12813" width="9.36328125" style="13" bestFit="1" customWidth="1"/>
    <col min="12814" max="12814" width="6.1796875" style="13" bestFit="1" customWidth="1"/>
    <col min="12815" max="13057" width="8.90625" style="13"/>
    <col min="13058" max="13058" width="10.453125" style="13" bestFit="1" customWidth="1"/>
    <col min="13059" max="13059" width="10.90625" style="13" bestFit="1" customWidth="1"/>
    <col min="13060" max="13060" width="7.6328125" style="13" bestFit="1" customWidth="1"/>
    <col min="13061" max="13061" width="8.6328125" style="13" bestFit="1" customWidth="1"/>
    <col min="13062" max="13062" width="5.08984375" style="13" bestFit="1" customWidth="1"/>
    <col min="13063" max="13063" width="5.81640625" style="13" bestFit="1" customWidth="1"/>
    <col min="13064" max="13064" width="13.08984375" style="13" bestFit="1" customWidth="1"/>
    <col min="13065" max="13065" width="8.453125" style="13" bestFit="1" customWidth="1"/>
    <col min="13066" max="13066" width="4.90625" style="13" bestFit="1" customWidth="1"/>
    <col min="13067" max="13067" width="7.90625" style="13" bestFit="1" customWidth="1"/>
    <col min="13068" max="13068" width="9.1796875" style="13" bestFit="1" customWidth="1"/>
    <col min="13069" max="13069" width="9.36328125" style="13" bestFit="1" customWidth="1"/>
    <col min="13070" max="13070" width="6.1796875" style="13" bestFit="1" customWidth="1"/>
    <col min="13071" max="13313" width="8.90625" style="13"/>
    <col min="13314" max="13314" width="10.453125" style="13" bestFit="1" customWidth="1"/>
    <col min="13315" max="13315" width="10.90625" style="13" bestFit="1" customWidth="1"/>
    <col min="13316" max="13316" width="7.6328125" style="13" bestFit="1" customWidth="1"/>
    <col min="13317" max="13317" width="8.6328125" style="13" bestFit="1" customWidth="1"/>
    <col min="13318" max="13318" width="5.08984375" style="13" bestFit="1" customWidth="1"/>
    <col min="13319" max="13319" width="5.81640625" style="13" bestFit="1" customWidth="1"/>
    <col min="13320" max="13320" width="13.08984375" style="13" bestFit="1" customWidth="1"/>
    <col min="13321" max="13321" width="8.453125" style="13" bestFit="1" customWidth="1"/>
    <col min="13322" max="13322" width="4.90625" style="13" bestFit="1" customWidth="1"/>
    <col min="13323" max="13323" width="7.90625" style="13" bestFit="1" customWidth="1"/>
    <col min="13324" max="13324" width="9.1796875" style="13" bestFit="1" customWidth="1"/>
    <col min="13325" max="13325" width="9.36328125" style="13" bestFit="1" customWidth="1"/>
    <col min="13326" max="13326" width="6.1796875" style="13" bestFit="1" customWidth="1"/>
    <col min="13327" max="13569" width="8.90625" style="13"/>
    <col min="13570" max="13570" width="10.453125" style="13" bestFit="1" customWidth="1"/>
    <col min="13571" max="13571" width="10.90625" style="13" bestFit="1" customWidth="1"/>
    <col min="13572" max="13572" width="7.6328125" style="13" bestFit="1" customWidth="1"/>
    <col min="13573" max="13573" width="8.6328125" style="13" bestFit="1" customWidth="1"/>
    <col min="13574" max="13574" width="5.08984375" style="13" bestFit="1" customWidth="1"/>
    <col min="13575" max="13575" width="5.81640625" style="13" bestFit="1" customWidth="1"/>
    <col min="13576" max="13576" width="13.08984375" style="13" bestFit="1" customWidth="1"/>
    <col min="13577" max="13577" width="8.453125" style="13" bestFit="1" customWidth="1"/>
    <col min="13578" max="13578" width="4.90625" style="13" bestFit="1" customWidth="1"/>
    <col min="13579" max="13579" width="7.90625" style="13" bestFit="1" customWidth="1"/>
    <col min="13580" max="13580" width="9.1796875" style="13" bestFit="1" customWidth="1"/>
    <col min="13581" max="13581" width="9.36328125" style="13" bestFit="1" customWidth="1"/>
    <col min="13582" max="13582" width="6.1796875" style="13" bestFit="1" customWidth="1"/>
    <col min="13583" max="13825" width="8.90625" style="13"/>
    <col min="13826" max="13826" width="10.453125" style="13" bestFit="1" customWidth="1"/>
    <col min="13827" max="13827" width="10.90625" style="13" bestFit="1" customWidth="1"/>
    <col min="13828" max="13828" width="7.6328125" style="13" bestFit="1" customWidth="1"/>
    <col min="13829" max="13829" width="8.6328125" style="13" bestFit="1" customWidth="1"/>
    <col min="13830" max="13830" width="5.08984375" style="13" bestFit="1" customWidth="1"/>
    <col min="13831" max="13831" width="5.81640625" style="13" bestFit="1" customWidth="1"/>
    <col min="13832" max="13832" width="13.08984375" style="13" bestFit="1" customWidth="1"/>
    <col min="13833" max="13833" width="8.453125" style="13" bestFit="1" customWidth="1"/>
    <col min="13834" max="13834" width="4.90625" style="13" bestFit="1" customWidth="1"/>
    <col min="13835" max="13835" width="7.90625" style="13" bestFit="1" customWidth="1"/>
    <col min="13836" max="13836" width="9.1796875" style="13" bestFit="1" customWidth="1"/>
    <col min="13837" max="13837" width="9.36328125" style="13" bestFit="1" customWidth="1"/>
    <col min="13838" max="13838" width="6.1796875" style="13" bestFit="1" customWidth="1"/>
    <col min="13839" max="14081" width="8.90625" style="13"/>
    <col min="14082" max="14082" width="10.453125" style="13" bestFit="1" customWidth="1"/>
    <col min="14083" max="14083" width="10.90625" style="13" bestFit="1" customWidth="1"/>
    <col min="14084" max="14084" width="7.6328125" style="13" bestFit="1" customWidth="1"/>
    <col min="14085" max="14085" width="8.6328125" style="13" bestFit="1" customWidth="1"/>
    <col min="14086" max="14086" width="5.08984375" style="13" bestFit="1" customWidth="1"/>
    <col min="14087" max="14087" width="5.81640625" style="13" bestFit="1" customWidth="1"/>
    <col min="14088" max="14088" width="13.08984375" style="13" bestFit="1" customWidth="1"/>
    <col min="14089" max="14089" width="8.453125" style="13" bestFit="1" customWidth="1"/>
    <col min="14090" max="14090" width="4.90625" style="13" bestFit="1" customWidth="1"/>
    <col min="14091" max="14091" width="7.90625" style="13" bestFit="1" customWidth="1"/>
    <col min="14092" max="14092" width="9.1796875" style="13" bestFit="1" customWidth="1"/>
    <col min="14093" max="14093" width="9.36328125" style="13" bestFit="1" customWidth="1"/>
    <col min="14094" max="14094" width="6.1796875" style="13" bestFit="1" customWidth="1"/>
    <col min="14095" max="14337" width="8.90625" style="13"/>
    <col min="14338" max="14338" width="10.453125" style="13" bestFit="1" customWidth="1"/>
    <col min="14339" max="14339" width="10.90625" style="13" bestFit="1" customWidth="1"/>
    <col min="14340" max="14340" width="7.6328125" style="13" bestFit="1" customWidth="1"/>
    <col min="14341" max="14341" width="8.6328125" style="13" bestFit="1" customWidth="1"/>
    <col min="14342" max="14342" width="5.08984375" style="13" bestFit="1" customWidth="1"/>
    <col min="14343" max="14343" width="5.81640625" style="13" bestFit="1" customWidth="1"/>
    <col min="14344" max="14344" width="13.08984375" style="13" bestFit="1" customWidth="1"/>
    <col min="14345" max="14345" width="8.453125" style="13" bestFit="1" customWidth="1"/>
    <col min="14346" max="14346" width="4.90625" style="13" bestFit="1" customWidth="1"/>
    <col min="14347" max="14347" width="7.90625" style="13" bestFit="1" customWidth="1"/>
    <col min="14348" max="14348" width="9.1796875" style="13" bestFit="1" customWidth="1"/>
    <col min="14349" max="14349" width="9.36328125" style="13" bestFit="1" customWidth="1"/>
    <col min="14350" max="14350" width="6.1796875" style="13" bestFit="1" customWidth="1"/>
    <col min="14351" max="14593" width="8.90625" style="13"/>
    <col min="14594" max="14594" width="10.453125" style="13" bestFit="1" customWidth="1"/>
    <col min="14595" max="14595" width="10.90625" style="13" bestFit="1" customWidth="1"/>
    <col min="14596" max="14596" width="7.6328125" style="13" bestFit="1" customWidth="1"/>
    <col min="14597" max="14597" width="8.6328125" style="13" bestFit="1" customWidth="1"/>
    <col min="14598" max="14598" width="5.08984375" style="13" bestFit="1" customWidth="1"/>
    <col min="14599" max="14599" width="5.81640625" style="13" bestFit="1" customWidth="1"/>
    <col min="14600" max="14600" width="13.08984375" style="13" bestFit="1" customWidth="1"/>
    <col min="14601" max="14601" width="8.453125" style="13" bestFit="1" customWidth="1"/>
    <col min="14602" max="14602" width="4.90625" style="13" bestFit="1" customWidth="1"/>
    <col min="14603" max="14603" width="7.90625" style="13" bestFit="1" customWidth="1"/>
    <col min="14604" max="14604" width="9.1796875" style="13" bestFit="1" customWidth="1"/>
    <col min="14605" max="14605" width="9.36328125" style="13" bestFit="1" customWidth="1"/>
    <col min="14606" max="14606" width="6.1796875" style="13" bestFit="1" customWidth="1"/>
    <col min="14607" max="14849" width="8.90625" style="13"/>
    <col min="14850" max="14850" width="10.453125" style="13" bestFit="1" customWidth="1"/>
    <col min="14851" max="14851" width="10.90625" style="13" bestFit="1" customWidth="1"/>
    <col min="14852" max="14852" width="7.6328125" style="13" bestFit="1" customWidth="1"/>
    <col min="14853" max="14853" width="8.6328125" style="13" bestFit="1" customWidth="1"/>
    <col min="14854" max="14854" width="5.08984375" style="13" bestFit="1" customWidth="1"/>
    <col min="14855" max="14855" width="5.81640625" style="13" bestFit="1" customWidth="1"/>
    <col min="14856" max="14856" width="13.08984375" style="13" bestFit="1" customWidth="1"/>
    <col min="14857" max="14857" width="8.453125" style="13" bestFit="1" customWidth="1"/>
    <col min="14858" max="14858" width="4.90625" style="13" bestFit="1" customWidth="1"/>
    <col min="14859" max="14859" width="7.90625" style="13" bestFit="1" customWidth="1"/>
    <col min="14860" max="14860" width="9.1796875" style="13" bestFit="1" customWidth="1"/>
    <col min="14861" max="14861" width="9.36328125" style="13" bestFit="1" customWidth="1"/>
    <col min="14862" max="14862" width="6.1796875" style="13" bestFit="1" customWidth="1"/>
    <col min="14863" max="15105" width="8.90625" style="13"/>
    <col min="15106" max="15106" width="10.453125" style="13" bestFit="1" customWidth="1"/>
    <col min="15107" max="15107" width="10.90625" style="13" bestFit="1" customWidth="1"/>
    <col min="15108" max="15108" width="7.6328125" style="13" bestFit="1" customWidth="1"/>
    <col min="15109" max="15109" width="8.6328125" style="13" bestFit="1" customWidth="1"/>
    <col min="15110" max="15110" width="5.08984375" style="13" bestFit="1" customWidth="1"/>
    <col min="15111" max="15111" width="5.81640625" style="13" bestFit="1" customWidth="1"/>
    <col min="15112" max="15112" width="13.08984375" style="13" bestFit="1" customWidth="1"/>
    <col min="15113" max="15113" width="8.453125" style="13" bestFit="1" customWidth="1"/>
    <col min="15114" max="15114" width="4.90625" style="13" bestFit="1" customWidth="1"/>
    <col min="15115" max="15115" width="7.90625" style="13" bestFit="1" customWidth="1"/>
    <col min="15116" max="15116" width="9.1796875" style="13" bestFit="1" customWidth="1"/>
    <col min="15117" max="15117" width="9.36328125" style="13" bestFit="1" customWidth="1"/>
    <col min="15118" max="15118" width="6.1796875" style="13" bestFit="1" customWidth="1"/>
    <col min="15119" max="15361" width="8.90625" style="13"/>
    <col min="15362" max="15362" width="10.453125" style="13" bestFit="1" customWidth="1"/>
    <col min="15363" max="15363" width="10.90625" style="13" bestFit="1" customWidth="1"/>
    <col min="15364" max="15364" width="7.6328125" style="13" bestFit="1" customWidth="1"/>
    <col min="15365" max="15365" width="8.6328125" style="13" bestFit="1" customWidth="1"/>
    <col min="15366" max="15366" width="5.08984375" style="13" bestFit="1" customWidth="1"/>
    <col min="15367" max="15367" width="5.81640625" style="13" bestFit="1" customWidth="1"/>
    <col min="15368" max="15368" width="13.08984375" style="13" bestFit="1" customWidth="1"/>
    <col min="15369" max="15369" width="8.453125" style="13" bestFit="1" customWidth="1"/>
    <col min="15370" max="15370" width="4.90625" style="13" bestFit="1" customWidth="1"/>
    <col min="15371" max="15371" width="7.90625" style="13" bestFit="1" customWidth="1"/>
    <col min="15372" max="15372" width="9.1796875" style="13" bestFit="1" customWidth="1"/>
    <col min="15373" max="15373" width="9.36328125" style="13" bestFit="1" customWidth="1"/>
    <col min="15374" max="15374" width="6.1796875" style="13" bestFit="1" customWidth="1"/>
    <col min="15375" max="15617" width="8.90625" style="13"/>
    <col min="15618" max="15618" width="10.453125" style="13" bestFit="1" customWidth="1"/>
    <col min="15619" max="15619" width="10.90625" style="13" bestFit="1" customWidth="1"/>
    <col min="15620" max="15620" width="7.6328125" style="13" bestFit="1" customWidth="1"/>
    <col min="15621" max="15621" width="8.6328125" style="13" bestFit="1" customWidth="1"/>
    <col min="15622" max="15622" width="5.08984375" style="13" bestFit="1" customWidth="1"/>
    <col min="15623" max="15623" width="5.81640625" style="13" bestFit="1" customWidth="1"/>
    <col min="15624" max="15624" width="13.08984375" style="13" bestFit="1" customWidth="1"/>
    <col min="15625" max="15625" width="8.453125" style="13" bestFit="1" customWidth="1"/>
    <col min="15626" max="15626" width="4.90625" style="13" bestFit="1" customWidth="1"/>
    <col min="15627" max="15627" width="7.90625" style="13" bestFit="1" customWidth="1"/>
    <col min="15628" max="15628" width="9.1796875" style="13" bestFit="1" customWidth="1"/>
    <col min="15629" max="15629" width="9.36328125" style="13" bestFit="1" customWidth="1"/>
    <col min="15630" max="15630" width="6.1796875" style="13" bestFit="1" customWidth="1"/>
    <col min="15631" max="15873" width="8.90625" style="13"/>
    <col min="15874" max="15874" width="10.453125" style="13" bestFit="1" customWidth="1"/>
    <col min="15875" max="15875" width="10.90625" style="13" bestFit="1" customWidth="1"/>
    <col min="15876" max="15876" width="7.6328125" style="13" bestFit="1" customWidth="1"/>
    <col min="15877" max="15877" width="8.6328125" style="13" bestFit="1" customWidth="1"/>
    <col min="15878" max="15878" width="5.08984375" style="13" bestFit="1" customWidth="1"/>
    <col min="15879" max="15879" width="5.81640625" style="13" bestFit="1" customWidth="1"/>
    <col min="15880" max="15880" width="13.08984375" style="13" bestFit="1" customWidth="1"/>
    <col min="15881" max="15881" width="8.453125" style="13" bestFit="1" customWidth="1"/>
    <col min="15882" max="15882" width="4.90625" style="13" bestFit="1" customWidth="1"/>
    <col min="15883" max="15883" width="7.90625" style="13" bestFit="1" customWidth="1"/>
    <col min="15884" max="15884" width="9.1796875" style="13" bestFit="1" customWidth="1"/>
    <col min="15885" max="15885" width="9.36328125" style="13" bestFit="1" customWidth="1"/>
    <col min="15886" max="15886" width="6.1796875" style="13" bestFit="1" customWidth="1"/>
    <col min="15887" max="16129" width="8.90625" style="13"/>
    <col min="16130" max="16130" width="10.453125" style="13" bestFit="1" customWidth="1"/>
    <col min="16131" max="16131" width="10.90625" style="13" bestFit="1" customWidth="1"/>
    <col min="16132" max="16132" width="7.6328125" style="13" bestFit="1" customWidth="1"/>
    <col min="16133" max="16133" width="8.6328125" style="13" bestFit="1" customWidth="1"/>
    <col min="16134" max="16134" width="5.08984375" style="13" bestFit="1" customWidth="1"/>
    <col min="16135" max="16135" width="5.81640625" style="13" bestFit="1" customWidth="1"/>
    <col min="16136" max="16136" width="13.08984375" style="13" bestFit="1" customWidth="1"/>
    <col min="16137" max="16137" width="8.453125" style="13" bestFit="1" customWidth="1"/>
    <col min="16138" max="16138" width="4.90625" style="13" bestFit="1" customWidth="1"/>
    <col min="16139" max="16139" width="7.90625" style="13" bestFit="1" customWidth="1"/>
    <col min="16140" max="16140" width="9.1796875" style="13" bestFit="1" customWidth="1"/>
    <col min="16141" max="16141" width="9.36328125" style="13" bestFit="1" customWidth="1"/>
    <col min="16142" max="16142" width="6.1796875" style="13" bestFit="1" customWidth="1"/>
    <col min="16143" max="16384" width="8.90625" style="13"/>
  </cols>
  <sheetData>
    <row r="1" spans="1:14" x14ac:dyDescent="0.25">
      <c r="A1" s="176" t="s">
        <v>737</v>
      </c>
      <c r="B1" s="177" t="s">
        <v>502</v>
      </c>
      <c r="C1" s="177" t="s">
        <v>501</v>
      </c>
      <c r="D1" s="176" t="s">
        <v>500</v>
      </c>
      <c r="E1" s="176" t="s">
        <v>499</v>
      </c>
      <c r="F1" s="177" t="s">
        <v>417</v>
      </c>
      <c r="G1" s="177" t="s">
        <v>414</v>
      </c>
      <c r="H1" s="177" t="s">
        <v>498</v>
      </c>
      <c r="I1" s="177" t="s">
        <v>497</v>
      </c>
      <c r="J1" s="177" t="s">
        <v>415</v>
      </c>
      <c r="K1" s="176" t="s">
        <v>399</v>
      </c>
      <c r="L1" s="176" t="s">
        <v>496</v>
      </c>
      <c r="M1" s="176" t="s">
        <v>64</v>
      </c>
      <c r="N1" s="176" t="s">
        <v>495</v>
      </c>
    </row>
    <row r="2" spans="1:14" x14ac:dyDescent="0.25">
      <c r="A2" s="66">
        <v>44652</v>
      </c>
      <c r="B2" s="17" t="s">
        <v>442</v>
      </c>
      <c r="C2" s="17" t="s">
        <v>441</v>
      </c>
      <c r="D2" s="49">
        <v>50</v>
      </c>
      <c r="E2" s="49">
        <v>55</v>
      </c>
      <c r="F2" s="17" t="s">
        <v>397</v>
      </c>
      <c r="G2" s="17" t="s">
        <v>428</v>
      </c>
      <c r="H2" s="17" t="s">
        <v>494</v>
      </c>
      <c r="I2" s="17" t="s">
        <v>493</v>
      </c>
      <c r="J2" s="17" t="s">
        <v>492</v>
      </c>
      <c r="K2" s="49">
        <v>2000</v>
      </c>
      <c r="L2" s="49">
        <f>K2*E2</f>
        <v>110000</v>
      </c>
      <c r="M2" s="49">
        <f t="shared" ref="M2:M31" si="0">L2*5%</f>
        <v>5500</v>
      </c>
      <c r="N2" s="49">
        <f>((E2-D2)*K2)-M2</f>
        <v>4500</v>
      </c>
    </row>
    <row r="3" spans="1:14" x14ac:dyDescent="0.25">
      <c r="A3" s="66">
        <v>44653</v>
      </c>
      <c r="B3" s="17" t="s">
        <v>440</v>
      </c>
      <c r="C3" s="17" t="s">
        <v>439</v>
      </c>
      <c r="D3" s="49">
        <v>15</v>
      </c>
      <c r="E3" s="49">
        <v>20</v>
      </c>
      <c r="F3" s="17" t="s">
        <v>397</v>
      </c>
      <c r="G3" s="17" t="s">
        <v>422</v>
      </c>
      <c r="H3" s="17" t="s">
        <v>471</v>
      </c>
      <c r="I3" s="17" t="s">
        <v>491</v>
      </c>
      <c r="J3" s="17" t="s">
        <v>469</v>
      </c>
      <c r="K3" s="49">
        <v>1000</v>
      </c>
      <c r="L3" s="49">
        <f t="shared" ref="L3:L31" si="1">K3*E3</f>
        <v>20000</v>
      </c>
      <c r="M3" s="49">
        <f t="shared" si="0"/>
        <v>1000</v>
      </c>
      <c r="N3" s="49">
        <f t="shared" ref="N3:N31" si="2">((E3-D3)*K3)-M3</f>
        <v>4000</v>
      </c>
    </row>
    <row r="4" spans="1:14" x14ac:dyDescent="0.25">
      <c r="A4" s="66">
        <v>44654</v>
      </c>
      <c r="B4" s="17" t="s">
        <v>435</v>
      </c>
      <c r="C4" s="17" t="s">
        <v>434</v>
      </c>
      <c r="D4" s="49">
        <v>12</v>
      </c>
      <c r="E4" s="49">
        <v>15</v>
      </c>
      <c r="F4" s="17" t="s">
        <v>397</v>
      </c>
      <c r="G4" s="17" t="s">
        <v>411</v>
      </c>
      <c r="H4" s="17" t="s">
        <v>490</v>
      </c>
      <c r="I4" s="17" t="s">
        <v>489</v>
      </c>
      <c r="J4" s="17" t="s">
        <v>488</v>
      </c>
      <c r="K4" s="49">
        <v>1200</v>
      </c>
      <c r="L4" s="49">
        <f t="shared" si="1"/>
        <v>18000</v>
      </c>
      <c r="M4" s="49">
        <f t="shared" si="0"/>
        <v>900</v>
      </c>
      <c r="N4" s="49">
        <f t="shared" si="2"/>
        <v>2700</v>
      </c>
    </row>
    <row r="5" spans="1:14" x14ac:dyDescent="0.25">
      <c r="A5" s="66">
        <v>44655</v>
      </c>
      <c r="B5" s="17" t="s">
        <v>430</v>
      </c>
      <c r="C5" s="17" t="s">
        <v>429</v>
      </c>
      <c r="D5" s="49">
        <v>150</v>
      </c>
      <c r="E5" s="49">
        <v>160</v>
      </c>
      <c r="F5" s="17" t="s">
        <v>397</v>
      </c>
      <c r="G5" s="17" t="s">
        <v>410</v>
      </c>
      <c r="H5" s="17" t="s">
        <v>487</v>
      </c>
      <c r="I5" s="17" t="s">
        <v>486</v>
      </c>
      <c r="J5" s="17" t="s">
        <v>485</v>
      </c>
      <c r="K5" s="49">
        <v>1250</v>
      </c>
      <c r="L5" s="49">
        <f t="shared" si="1"/>
        <v>200000</v>
      </c>
      <c r="M5" s="49">
        <f t="shared" si="0"/>
        <v>10000</v>
      </c>
      <c r="N5" s="49">
        <f t="shared" si="2"/>
        <v>2500</v>
      </c>
    </row>
    <row r="6" spans="1:14" x14ac:dyDescent="0.25">
      <c r="A6" s="66">
        <v>44656</v>
      </c>
      <c r="B6" s="17" t="s">
        <v>424</v>
      </c>
      <c r="C6" s="17" t="s">
        <v>423</v>
      </c>
      <c r="D6" s="49">
        <v>50</v>
      </c>
      <c r="E6" s="49">
        <v>60</v>
      </c>
      <c r="F6" s="17" t="s">
        <v>397</v>
      </c>
      <c r="G6" s="17" t="s">
        <v>428</v>
      </c>
      <c r="H6" s="17" t="s">
        <v>484</v>
      </c>
      <c r="I6" s="17" t="s">
        <v>483</v>
      </c>
      <c r="J6" s="17" t="s">
        <v>482</v>
      </c>
      <c r="K6" s="49">
        <v>1300</v>
      </c>
      <c r="L6" s="49">
        <f t="shared" si="1"/>
        <v>78000</v>
      </c>
      <c r="M6" s="49">
        <f t="shared" si="0"/>
        <v>3900</v>
      </c>
      <c r="N6" s="49">
        <f t="shared" si="2"/>
        <v>9100</v>
      </c>
    </row>
    <row r="7" spans="1:14" x14ac:dyDescent="0.25">
      <c r="A7" s="66">
        <v>44657</v>
      </c>
      <c r="B7" s="17" t="s">
        <v>442</v>
      </c>
      <c r="C7" s="17" t="s">
        <v>441</v>
      </c>
      <c r="D7" s="49">
        <v>50</v>
      </c>
      <c r="E7" s="49">
        <v>55</v>
      </c>
      <c r="F7" s="17" t="s">
        <v>396</v>
      </c>
      <c r="G7" s="17" t="s">
        <v>422</v>
      </c>
      <c r="H7" s="17" t="s">
        <v>421</v>
      </c>
      <c r="I7" s="17" t="s">
        <v>481</v>
      </c>
      <c r="J7" s="17" t="s">
        <v>419</v>
      </c>
      <c r="K7" s="49">
        <v>1350</v>
      </c>
      <c r="L7" s="49">
        <f t="shared" si="1"/>
        <v>74250</v>
      </c>
      <c r="M7" s="49">
        <f t="shared" si="0"/>
        <v>3712.5</v>
      </c>
      <c r="N7" s="49">
        <f t="shared" si="2"/>
        <v>3037.5</v>
      </c>
    </row>
    <row r="8" spans="1:14" x14ac:dyDescent="0.25">
      <c r="A8" s="66">
        <v>44658</v>
      </c>
      <c r="B8" s="17" t="s">
        <v>440</v>
      </c>
      <c r="C8" s="17" t="s">
        <v>439</v>
      </c>
      <c r="D8" s="49">
        <v>15</v>
      </c>
      <c r="E8" s="49">
        <v>20</v>
      </c>
      <c r="F8" s="17" t="s">
        <v>396</v>
      </c>
      <c r="G8" s="17" t="s">
        <v>411</v>
      </c>
      <c r="H8" s="17" t="s">
        <v>438</v>
      </c>
      <c r="I8" s="17" t="s">
        <v>480</v>
      </c>
      <c r="J8" s="17" t="s">
        <v>436</v>
      </c>
      <c r="K8" s="49">
        <v>1400</v>
      </c>
      <c r="L8" s="49">
        <f t="shared" si="1"/>
        <v>28000</v>
      </c>
      <c r="M8" s="49">
        <f t="shared" si="0"/>
        <v>1400</v>
      </c>
      <c r="N8" s="49">
        <f t="shared" si="2"/>
        <v>5600</v>
      </c>
    </row>
    <row r="9" spans="1:14" x14ac:dyDescent="0.25">
      <c r="A9" s="66">
        <v>44659</v>
      </c>
      <c r="B9" s="17" t="s">
        <v>435</v>
      </c>
      <c r="C9" s="17" t="s">
        <v>434</v>
      </c>
      <c r="D9" s="49">
        <v>12</v>
      </c>
      <c r="E9" s="49">
        <v>15</v>
      </c>
      <c r="F9" s="17" t="s">
        <v>396</v>
      </c>
      <c r="G9" s="17" t="s">
        <v>410</v>
      </c>
      <c r="H9" s="17" t="s">
        <v>433</v>
      </c>
      <c r="I9" s="17" t="s">
        <v>479</v>
      </c>
      <c r="J9" s="17" t="s">
        <v>431</v>
      </c>
      <c r="K9" s="49">
        <v>9000</v>
      </c>
      <c r="L9" s="49">
        <f t="shared" si="1"/>
        <v>135000</v>
      </c>
      <c r="M9" s="49">
        <f t="shared" si="0"/>
        <v>6750</v>
      </c>
      <c r="N9" s="49">
        <f t="shared" si="2"/>
        <v>20250</v>
      </c>
    </row>
    <row r="10" spans="1:14" x14ac:dyDescent="0.25">
      <c r="A10" s="66">
        <v>44660</v>
      </c>
      <c r="B10" s="17" t="s">
        <v>430</v>
      </c>
      <c r="C10" s="17" t="s">
        <v>429</v>
      </c>
      <c r="D10" s="49">
        <v>150</v>
      </c>
      <c r="E10" s="49">
        <v>160</v>
      </c>
      <c r="F10" s="17" t="s">
        <v>396</v>
      </c>
      <c r="G10" s="17" t="s">
        <v>428</v>
      </c>
      <c r="H10" s="17" t="s">
        <v>427</v>
      </c>
      <c r="I10" s="17" t="s">
        <v>478</v>
      </c>
      <c r="J10" s="17" t="s">
        <v>425</v>
      </c>
      <c r="K10" s="49">
        <v>800</v>
      </c>
      <c r="L10" s="49">
        <f t="shared" si="1"/>
        <v>128000</v>
      </c>
      <c r="M10" s="49">
        <f t="shared" si="0"/>
        <v>6400</v>
      </c>
      <c r="N10" s="49">
        <f t="shared" si="2"/>
        <v>1600</v>
      </c>
    </row>
    <row r="11" spans="1:14" x14ac:dyDescent="0.25">
      <c r="A11" s="66">
        <v>44661</v>
      </c>
      <c r="B11" s="17" t="s">
        <v>424</v>
      </c>
      <c r="C11" s="17" t="s">
        <v>423</v>
      </c>
      <c r="D11" s="49">
        <v>50</v>
      </c>
      <c r="E11" s="49">
        <v>60</v>
      </c>
      <c r="F11" s="17" t="s">
        <v>396</v>
      </c>
      <c r="G11" s="17" t="s">
        <v>422</v>
      </c>
      <c r="H11" s="17" t="s">
        <v>421</v>
      </c>
      <c r="I11" s="17" t="s">
        <v>477</v>
      </c>
      <c r="J11" s="17" t="s">
        <v>419</v>
      </c>
      <c r="K11" s="49">
        <v>1700</v>
      </c>
      <c r="L11" s="49">
        <f t="shared" si="1"/>
        <v>102000</v>
      </c>
      <c r="M11" s="49">
        <f t="shared" si="0"/>
        <v>5100</v>
      </c>
      <c r="N11" s="49">
        <f t="shared" si="2"/>
        <v>11900</v>
      </c>
    </row>
    <row r="12" spans="1:14" x14ac:dyDescent="0.25">
      <c r="A12" s="66">
        <v>44662</v>
      </c>
      <c r="B12" s="17" t="s">
        <v>442</v>
      </c>
      <c r="C12" s="17" t="s">
        <v>441</v>
      </c>
      <c r="D12" s="49">
        <v>50</v>
      </c>
      <c r="E12" s="49">
        <v>55</v>
      </c>
      <c r="F12" s="17" t="s">
        <v>395</v>
      </c>
      <c r="G12" s="17" t="s">
        <v>411</v>
      </c>
      <c r="H12" s="17" t="s">
        <v>451</v>
      </c>
      <c r="I12" s="17" t="s">
        <v>476</v>
      </c>
      <c r="J12" s="17" t="s">
        <v>449</v>
      </c>
      <c r="K12" s="49">
        <v>650</v>
      </c>
      <c r="L12" s="49">
        <f t="shared" si="1"/>
        <v>35750</v>
      </c>
      <c r="M12" s="49">
        <f t="shared" si="0"/>
        <v>1787.5</v>
      </c>
      <c r="N12" s="49">
        <f t="shared" si="2"/>
        <v>1462.5</v>
      </c>
    </row>
    <row r="13" spans="1:14" x14ac:dyDescent="0.25">
      <c r="A13" s="66">
        <v>44663</v>
      </c>
      <c r="B13" s="17" t="s">
        <v>440</v>
      </c>
      <c r="C13" s="17" t="s">
        <v>439</v>
      </c>
      <c r="D13" s="49">
        <v>15</v>
      </c>
      <c r="E13" s="49">
        <v>20</v>
      </c>
      <c r="F13" s="17" t="s">
        <v>395</v>
      </c>
      <c r="G13" s="17" t="s">
        <v>410</v>
      </c>
      <c r="H13" s="17" t="s">
        <v>460</v>
      </c>
      <c r="I13" s="17" t="s">
        <v>475</v>
      </c>
      <c r="J13" s="17" t="s">
        <v>458</v>
      </c>
      <c r="K13" s="49">
        <v>780</v>
      </c>
      <c r="L13" s="49">
        <f t="shared" si="1"/>
        <v>15600</v>
      </c>
      <c r="M13" s="49">
        <f t="shared" si="0"/>
        <v>780</v>
      </c>
      <c r="N13" s="49">
        <f t="shared" si="2"/>
        <v>3120</v>
      </c>
    </row>
    <row r="14" spans="1:14" x14ac:dyDescent="0.25">
      <c r="A14" s="66">
        <v>44664</v>
      </c>
      <c r="B14" s="17" t="s">
        <v>435</v>
      </c>
      <c r="C14" s="17" t="s">
        <v>434</v>
      </c>
      <c r="D14" s="49">
        <v>12</v>
      </c>
      <c r="E14" s="49">
        <v>15</v>
      </c>
      <c r="F14" s="17" t="s">
        <v>395</v>
      </c>
      <c r="G14" s="17" t="s">
        <v>428</v>
      </c>
      <c r="H14" s="17" t="s">
        <v>474</v>
      </c>
      <c r="I14" s="17" t="s">
        <v>473</v>
      </c>
      <c r="J14" s="17" t="s">
        <v>472</v>
      </c>
      <c r="K14" s="49">
        <v>820</v>
      </c>
      <c r="L14" s="49">
        <f t="shared" si="1"/>
        <v>12300</v>
      </c>
      <c r="M14" s="49">
        <f t="shared" si="0"/>
        <v>615</v>
      </c>
      <c r="N14" s="49">
        <f t="shared" si="2"/>
        <v>1845</v>
      </c>
    </row>
    <row r="15" spans="1:14" x14ac:dyDescent="0.25">
      <c r="A15" s="66">
        <v>44665</v>
      </c>
      <c r="B15" s="17" t="s">
        <v>430</v>
      </c>
      <c r="C15" s="17" t="s">
        <v>429</v>
      </c>
      <c r="D15" s="49">
        <v>150</v>
      </c>
      <c r="E15" s="49">
        <v>160</v>
      </c>
      <c r="F15" s="17" t="s">
        <v>395</v>
      </c>
      <c r="G15" s="17" t="s">
        <v>422</v>
      </c>
      <c r="H15" s="17" t="s">
        <v>471</v>
      </c>
      <c r="I15" s="17" t="s">
        <v>470</v>
      </c>
      <c r="J15" s="17" t="s">
        <v>469</v>
      </c>
      <c r="K15" s="49">
        <v>780</v>
      </c>
      <c r="L15" s="49">
        <f t="shared" si="1"/>
        <v>124800</v>
      </c>
      <c r="M15" s="49">
        <f t="shared" si="0"/>
        <v>6240</v>
      </c>
      <c r="N15" s="49">
        <f t="shared" si="2"/>
        <v>1560</v>
      </c>
    </row>
    <row r="16" spans="1:14" x14ac:dyDescent="0.25">
      <c r="A16" s="66">
        <v>44666</v>
      </c>
      <c r="B16" s="17" t="s">
        <v>424</v>
      </c>
      <c r="C16" s="17" t="s">
        <v>423</v>
      </c>
      <c r="D16" s="49">
        <v>50</v>
      </c>
      <c r="E16" s="49">
        <v>60</v>
      </c>
      <c r="F16" s="17" t="s">
        <v>395</v>
      </c>
      <c r="G16" s="17" t="s">
        <v>411</v>
      </c>
      <c r="H16" s="17" t="s">
        <v>468</v>
      </c>
      <c r="I16" s="17" t="s">
        <v>467</v>
      </c>
      <c r="J16" s="17" t="s">
        <v>466</v>
      </c>
      <c r="K16" s="49">
        <v>850</v>
      </c>
      <c r="L16" s="49">
        <f t="shared" si="1"/>
        <v>51000</v>
      </c>
      <c r="M16" s="49">
        <f t="shared" si="0"/>
        <v>2550</v>
      </c>
      <c r="N16" s="49">
        <f t="shared" si="2"/>
        <v>5950</v>
      </c>
    </row>
    <row r="17" spans="1:14" x14ac:dyDescent="0.25">
      <c r="A17" s="66">
        <v>44667</v>
      </c>
      <c r="B17" s="17" t="s">
        <v>442</v>
      </c>
      <c r="C17" s="17" t="s">
        <v>441</v>
      </c>
      <c r="D17" s="49">
        <v>50</v>
      </c>
      <c r="E17" s="49">
        <v>55</v>
      </c>
      <c r="F17" s="17" t="s">
        <v>394</v>
      </c>
      <c r="G17" s="17" t="s">
        <v>410</v>
      </c>
      <c r="H17" s="17" t="s">
        <v>448</v>
      </c>
      <c r="I17" s="17" t="s">
        <v>465</v>
      </c>
      <c r="J17" s="17" t="s">
        <v>446</v>
      </c>
      <c r="K17" s="49">
        <v>980</v>
      </c>
      <c r="L17" s="49">
        <f t="shared" si="1"/>
        <v>53900</v>
      </c>
      <c r="M17" s="49">
        <f t="shared" si="0"/>
        <v>2695</v>
      </c>
      <c r="N17" s="49">
        <f t="shared" si="2"/>
        <v>2205</v>
      </c>
    </row>
    <row r="18" spans="1:14" x14ac:dyDescent="0.25">
      <c r="A18" s="66">
        <v>44668</v>
      </c>
      <c r="B18" s="17" t="s">
        <v>440</v>
      </c>
      <c r="C18" s="17" t="s">
        <v>439</v>
      </c>
      <c r="D18" s="49">
        <v>15</v>
      </c>
      <c r="E18" s="49">
        <v>20</v>
      </c>
      <c r="F18" s="17" t="s">
        <v>394</v>
      </c>
      <c r="G18" s="17" t="s">
        <v>428</v>
      </c>
      <c r="H18" s="17" t="s">
        <v>457</v>
      </c>
      <c r="I18" s="17" t="s">
        <v>456</v>
      </c>
      <c r="J18" s="17" t="s">
        <v>464</v>
      </c>
      <c r="K18" s="49">
        <v>900</v>
      </c>
      <c r="L18" s="49">
        <f t="shared" si="1"/>
        <v>18000</v>
      </c>
      <c r="M18" s="49">
        <f t="shared" si="0"/>
        <v>900</v>
      </c>
      <c r="N18" s="49">
        <f t="shared" si="2"/>
        <v>3600</v>
      </c>
    </row>
    <row r="19" spans="1:14" x14ac:dyDescent="0.25">
      <c r="A19" s="66">
        <v>44669</v>
      </c>
      <c r="B19" s="17" t="s">
        <v>435</v>
      </c>
      <c r="C19" s="17" t="s">
        <v>434</v>
      </c>
      <c r="D19" s="49">
        <v>12</v>
      </c>
      <c r="E19" s="49">
        <v>15</v>
      </c>
      <c r="F19" s="17" t="s">
        <v>394</v>
      </c>
      <c r="G19" s="17" t="s">
        <v>422</v>
      </c>
      <c r="H19" s="17" t="s">
        <v>454</v>
      </c>
      <c r="I19" s="17" t="s">
        <v>463</v>
      </c>
      <c r="J19" s="17" t="s">
        <v>452</v>
      </c>
      <c r="K19" s="49">
        <v>656</v>
      </c>
      <c r="L19" s="49">
        <f t="shared" si="1"/>
        <v>9840</v>
      </c>
      <c r="M19" s="49">
        <f t="shared" si="0"/>
        <v>492</v>
      </c>
      <c r="N19" s="49">
        <f t="shared" si="2"/>
        <v>1476</v>
      </c>
    </row>
    <row r="20" spans="1:14" x14ac:dyDescent="0.25">
      <c r="A20" s="66">
        <v>44670</v>
      </c>
      <c r="B20" s="17" t="s">
        <v>430</v>
      </c>
      <c r="C20" s="17" t="s">
        <v>429</v>
      </c>
      <c r="D20" s="49">
        <v>150</v>
      </c>
      <c r="E20" s="49">
        <v>160</v>
      </c>
      <c r="F20" s="17" t="s">
        <v>394</v>
      </c>
      <c r="G20" s="17" t="s">
        <v>411</v>
      </c>
      <c r="H20" s="17" t="s">
        <v>462</v>
      </c>
      <c r="I20" s="17" t="s">
        <v>462</v>
      </c>
      <c r="J20" s="17" t="s">
        <v>461</v>
      </c>
      <c r="K20" s="49">
        <v>985</v>
      </c>
      <c r="L20" s="49">
        <f t="shared" si="1"/>
        <v>157600</v>
      </c>
      <c r="M20" s="49">
        <f t="shared" si="0"/>
        <v>7880</v>
      </c>
      <c r="N20" s="49">
        <f t="shared" si="2"/>
        <v>1970</v>
      </c>
    </row>
    <row r="21" spans="1:14" x14ac:dyDescent="0.25">
      <c r="A21" s="66">
        <v>44671</v>
      </c>
      <c r="B21" s="17" t="s">
        <v>424</v>
      </c>
      <c r="C21" s="17" t="s">
        <v>423</v>
      </c>
      <c r="D21" s="49">
        <v>50</v>
      </c>
      <c r="E21" s="49">
        <v>60</v>
      </c>
      <c r="F21" s="17" t="s">
        <v>394</v>
      </c>
      <c r="G21" s="17" t="s">
        <v>410</v>
      </c>
      <c r="H21" s="17" t="s">
        <v>460</v>
      </c>
      <c r="I21" s="17" t="s">
        <v>459</v>
      </c>
      <c r="J21" s="17" t="s">
        <v>458</v>
      </c>
      <c r="K21" s="49">
        <v>658</v>
      </c>
      <c r="L21" s="49">
        <f t="shared" si="1"/>
        <v>39480</v>
      </c>
      <c r="M21" s="49">
        <f t="shared" si="0"/>
        <v>1974</v>
      </c>
      <c r="N21" s="49">
        <f t="shared" si="2"/>
        <v>4606</v>
      </c>
    </row>
    <row r="22" spans="1:14" x14ac:dyDescent="0.25">
      <c r="A22" s="66">
        <v>44672</v>
      </c>
      <c r="B22" s="17" t="s">
        <v>442</v>
      </c>
      <c r="C22" s="17" t="s">
        <v>441</v>
      </c>
      <c r="D22" s="49">
        <v>50</v>
      </c>
      <c r="E22" s="49">
        <v>55</v>
      </c>
      <c r="F22" s="17" t="s">
        <v>392</v>
      </c>
      <c r="G22" s="17" t="s">
        <v>428</v>
      </c>
      <c r="H22" s="17" t="s">
        <v>457</v>
      </c>
      <c r="I22" s="17" t="s">
        <v>456</v>
      </c>
      <c r="J22" s="17" t="s">
        <v>455</v>
      </c>
      <c r="K22" s="49">
        <v>657</v>
      </c>
      <c r="L22" s="49">
        <f t="shared" si="1"/>
        <v>36135</v>
      </c>
      <c r="M22" s="49">
        <f t="shared" si="0"/>
        <v>1806.75</v>
      </c>
      <c r="N22" s="49">
        <f t="shared" si="2"/>
        <v>1478.25</v>
      </c>
    </row>
    <row r="23" spans="1:14" x14ac:dyDescent="0.25">
      <c r="A23" s="66">
        <v>44673</v>
      </c>
      <c r="B23" s="17" t="s">
        <v>440</v>
      </c>
      <c r="C23" s="17" t="s">
        <v>439</v>
      </c>
      <c r="D23" s="49">
        <v>15</v>
      </c>
      <c r="E23" s="49">
        <v>20</v>
      </c>
      <c r="F23" s="17" t="s">
        <v>392</v>
      </c>
      <c r="G23" s="17" t="s">
        <v>422</v>
      </c>
      <c r="H23" s="17" t="s">
        <v>454</v>
      </c>
      <c r="I23" s="17" t="s">
        <v>453</v>
      </c>
      <c r="J23" s="17" t="s">
        <v>452</v>
      </c>
      <c r="K23" s="49">
        <v>895</v>
      </c>
      <c r="L23" s="49">
        <f t="shared" si="1"/>
        <v>17900</v>
      </c>
      <c r="M23" s="49">
        <f t="shared" si="0"/>
        <v>895</v>
      </c>
      <c r="N23" s="49">
        <f t="shared" si="2"/>
        <v>3580</v>
      </c>
    </row>
    <row r="24" spans="1:14" x14ac:dyDescent="0.25">
      <c r="A24" s="66">
        <v>44674</v>
      </c>
      <c r="B24" s="17" t="s">
        <v>435</v>
      </c>
      <c r="C24" s="17" t="s">
        <v>434</v>
      </c>
      <c r="D24" s="49">
        <v>12</v>
      </c>
      <c r="E24" s="49">
        <v>15</v>
      </c>
      <c r="F24" s="17" t="s">
        <v>392</v>
      </c>
      <c r="G24" s="17" t="s">
        <v>411</v>
      </c>
      <c r="H24" s="17" t="s">
        <v>451</v>
      </c>
      <c r="I24" s="17" t="s">
        <v>450</v>
      </c>
      <c r="J24" s="17" t="s">
        <v>449</v>
      </c>
      <c r="K24" s="49">
        <v>856</v>
      </c>
      <c r="L24" s="49">
        <f t="shared" si="1"/>
        <v>12840</v>
      </c>
      <c r="M24" s="49">
        <f t="shared" si="0"/>
        <v>642</v>
      </c>
      <c r="N24" s="49">
        <f t="shared" si="2"/>
        <v>1926</v>
      </c>
    </row>
    <row r="25" spans="1:14" x14ac:dyDescent="0.25">
      <c r="A25" s="66">
        <v>44675</v>
      </c>
      <c r="B25" s="17" t="s">
        <v>430</v>
      </c>
      <c r="C25" s="17" t="s">
        <v>429</v>
      </c>
      <c r="D25" s="49">
        <v>150</v>
      </c>
      <c r="E25" s="49">
        <v>160</v>
      </c>
      <c r="F25" s="17" t="s">
        <v>392</v>
      </c>
      <c r="G25" s="17" t="s">
        <v>410</v>
      </c>
      <c r="H25" s="17" t="s">
        <v>448</v>
      </c>
      <c r="I25" s="17" t="s">
        <v>447</v>
      </c>
      <c r="J25" s="17" t="s">
        <v>446</v>
      </c>
      <c r="K25" s="49">
        <v>985</v>
      </c>
      <c r="L25" s="49">
        <f t="shared" si="1"/>
        <v>157600</v>
      </c>
      <c r="M25" s="49">
        <f t="shared" si="0"/>
        <v>7880</v>
      </c>
      <c r="N25" s="49">
        <f t="shared" si="2"/>
        <v>1970</v>
      </c>
    </row>
    <row r="26" spans="1:14" x14ac:dyDescent="0.25">
      <c r="A26" s="66">
        <v>44676</v>
      </c>
      <c r="B26" s="17" t="s">
        <v>424</v>
      </c>
      <c r="C26" s="17" t="s">
        <v>423</v>
      </c>
      <c r="D26" s="49">
        <v>50</v>
      </c>
      <c r="E26" s="49">
        <v>60</v>
      </c>
      <c r="F26" s="17" t="s">
        <v>392</v>
      </c>
      <c r="G26" s="17" t="s">
        <v>428</v>
      </c>
      <c r="H26" s="17" t="s">
        <v>445</v>
      </c>
      <c r="I26" s="17" t="s">
        <v>444</v>
      </c>
      <c r="J26" s="17" t="s">
        <v>443</v>
      </c>
      <c r="K26" s="49">
        <v>658</v>
      </c>
      <c r="L26" s="49">
        <f t="shared" si="1"/>
        <v>39480</v>
      </c>
      <c r="M26" s="49">
        <f t="shared" si="0"/>
        <v>1974</v>
      </c>
      <c r="N26" s="49">
        <f t="shared" si="2"/>
        <v>4606</v>
      </c>
    </row>
    <row r="27" spans="1:14" x14ac:dyDescent="0.25">
      <c r="A27" s="66">
        <v>44677</v>
      </c>
      <c r="B27" s="17" t="s">
        <v>442</v>
      </c>
      <c r="C27" s="17" t="s">
        <v>441</v>
      </c>
      <c r="D27" s="49">
        <v>50</v>
      </c>
      <c r="E27" s="49">
        <v>55</v>
      </c>
      <c r="F27" s="17" t="s">
        <v>412</v>
      </c>
      <c r="G27" s="17" t="s">
        <v>422</v>
      </c>
      <c r="H27" s="17" t="s">
        <v>421</v>
      </c>
      <c r="I27" s="17" t="s">
        <v>420</v>
      </c>
      <c r="J27" s="17" t="s">
        <v>419</v>
      </c>
      <c r="K27" s="49">
        <v>896</v>
      </c>
      <c r="L27" s="49">
        <f t="shared" si="1"/>
        <v>49280</v>
      </c>
      <c r="M27" s="49">
        <f t="shared" si="0"/>
        <v>2464</v>
      </c>
      <c r="N27" s="49">
        <f t="shared" si="2"/>
        <v>2016</v>
      </c>
    </row>
    <row r="28" spans="1:14" x14ac:dyDescent="0.25">
      <c r="A28" s="66">
        <v>44678</v>
      </c>
      <c r="B28" s="17" t="s">
        <v>440</v>
      </c>
      <c r="C28" s="17" t="s">
        <v>439</v>
      </c>
      <c r="D28" s="49">
        <v>15</v>
      </c>
      <c r="E28" s="49">
        <v>20</v>
      </c>
      <c r="F28" s="17" t="s">
        <v>412</v>
      </c>
      <c r="G28" s="17" t="s">
        <v>411</v>
      </c>
      <c r="H28" s="17" t="s">
        <v>438</v>
      </c>
      <c r="I28" s="17" t="s">
        <v>437</v>
      </c>
      <c r="J28" s="17" t="s">
        <v>436</v>
      </c>
      <c r="K28" s="49">
        <v>577</v>
      </c>
      <c r="L28" s="49">
        <f t="shared" si="1"/>
        <v>11540</v>
      </c>
      <c r="M28" s="49">
        <f t="shared" si="0"/>
        <v>577</v>
      </c>
      <c r="N28" s="49">
        <f t="shared" si="2"/>
        <v>2308</v>
      </c>
    </row>
    <row r="29" spans="1:14" x14ac:dyDescent="0.25">
      <c r="A29" s="66">
        <v>44679</v>
      </c>
      <c r="B29" s="17" t="s">
        <v>435</v>
      </c>
      <c r="C29" s="17" t="s">
        <v>434</v>
      </c>
      <c r="D29" s="49">
        <v>12</v>
      </c>
      <c r="E29" s="49">
        <v>15</v>
      </c>
      <c r="F29" s="17" t="s">
        <v>412</v>
      </c>
      <c r="G29" s="17" t="s">
        <v>410</v>
      </c>
      <c r="H29" s="17" t="s">
        <v>433</v>
      </c>
      <c r="I29" s="17" t="s">
        <v>432</v>
      </c>
      <c r="J29" s="17" t="s">
        <v>431</v>
      </c>
      <c r="K29" s="49">
        <v>987</v>
      </c>
      <c r="L29" s="49">
        <f t="shared" si="1"/>
        <v>14805</v>
      </c>
      <c r="M29" s="49">
        <f t="shared" si="0"/>
        <v>740.25</v>
      </c>
      <c r="N29" s="49">
        <f t="shared" si="2"/>
        <v>2220.75</v>
      </c>
    </row>
    <row r="30" spans="1:14" x14ac:dyDescent="0.25">
      <c r="A30" s="66">
        <v>44680</v>
      </c>
      <c r="B30" s="17" t="s">
        <v>430</v>
      </c>
      <c r="C30" s="17" t="s">
        <v>429</v>
      </c>
      <c r="D30" s="49">
        <v>150</v>
      </c>
      <c r="E30" s="49">
        <v>160</v>
      </c>
      <c r="F30" s="17" t="s">
        <v>412</v>
      </c>
      <c r="G30" s="17" t="s">
        <v>428</v>
      </c>
      <c r="H30" s="17" t="s">
        <v>427</v>
      </c>
      <c r="I30" s="17" t="s">
        <v>426</v>
      </c>
      <c r="J30" s="17" t="s">
        <v>425</v>
      </c>
      <c r="K30" s="49">
        <v>897</v>
      </c>
      <c r="L30" s="49">
        <f t="shared" si="1"/>
        <v>143520</v>
      </c>
      <c r="M30" s="49">
        <f t="shared" si="0"/>
        <v>7176</v>
      </c>
      <c r="N30" s="49">
        <f t="shared" si="2"/>
        <v>1794</v>
      </c>
    </row>
    <row r="31" spans="1:14" x14ac:dyDescent="0.25">
      <c r="A31" s="66">
        <v>44681</v>
      </c>
      <c r="B31" s="17" t="s">
        <v>424</v>
      </c>
      <c r="C31" s="17" t="s">
        <v>423</v>
      </c>
      <c r="D31" s="49">
        <v>50</v>
      </c>
      <c r="E31" s="49">
        <v>60</v>
      </c>
      <c r="F31" s="17" t="s">
        <v>412</v>
      </c>
      <c r="G31" s="17" t="s">
        <v>422</v>
      </c>
      <c r="H31" s="17" t="s">
        <v>421</v>
      </c>
      <c r="I31" s="17" t="s">
        <v>420</v>
      </c>
      <c r="J31" s="17" t="s">
        <v>419</v>
      </c>
      <c r="K31" s="49">
        <v>852</v>
      </c>
      <c r="L31" s="49">
        <f t="shared" si="1"/>
        <v>51120</v>
      </c>
      <c r="M31" s="49">
        <f t="shared" si="0"/>
        <v>2556</v>
      </c>
      <c r="N31" s="49">
        <f t="shared" si="2"/>
        <v>5964</v>
      </c>
    </row>
  </sheetData>
  <customSheetViews>
    <customSheetView guid="{BBE43EB8-AC5B-419E-90E4-72D0C525AF66}">
      <selection activeCell="C10" sqref="C10"/>
      <pageMargins left="0.75" right="0.75" top="1" bottom="1" header="0.5" footer="0.5"/>
      <headerFooter alignWithMargins="0"/>
    </customSheetView>
  </customSheetViews>
  <pageMargins left="0.75" right="0.75" top="1" bottom="1" header="0.5" footer="0.5"/>
  <pageSetup orientation="portrait"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B0825-99FD-4A12-A75E-A4BDE1B6FCBF}">
  <dimension ref="A3:B8"/>
  <sheetViews>
    <sheetView workbookViewId="0">
      <selection activeCell="C4" sqref="C4"/>
    </sheetView>
  </sheetViews>
  <sheetFormatPr defaultRowHeight="15" x14ac:dyDescent="0.25"/>
  <cols>
    <col min="1" max="1" width="11.08984375" bestFit="1" customWidth="1"/>
    <col min="2" max="2" width="23.453125" bestFit="1" customWidth="1"/>
  </cols>
  <sheetData>
    <row r="3" spans="1:2" x14ac:dyDescent="0.25">
      <c r="A3" s="353" t="s">
        <v>414</v>
      </c>
      <c r="B3" t="s">
        <v>1010</v>
      </c>
    </row>
    <row r="4" spans="1:2" x14ac:dyDescent="0.25">
      <c r="A4" s="354" t="s">
        <v>428</v>
      </c>
      <c r="B4">
        <v>565435</v>
      </c>
    </row>
    <row r="5" spans="1:2" x14ac:dyDescent="0.25">
      <c r="A5" s="354" t="s">
        <v>411</v>
      </c>
      <c r="B5">
        <v>314730</v>
      </c>
    </row>
    <row r="6" spans="1:2" x14ac:dyDescent="0.25">
      <c r="A6" s="354" t="s">
        <v>410</v>
      </c>
      <c r="B6">
        <v>616385</v>
      </c>
    </row>
    <row r="7" spans="1:2" x14ac:dyDescent="0.25">
      <c r="A7" s="354" t="s">
        <v>422</v>
      </c>
      <c r="B7">
        <v>449190</v>
      </c>
    </row>
    <row r="8" spans="1:2" x14ac:dyDescent="0.25">
      <c r="A8" s="354" t="s">
        <v>994</v>
      </c>
      <c r="B8">
        <v>1945740</v>
      </c>
    </row>
  </sheetData>
  <pageMargins left="0.7" right="0.7" top="0.75" bottom="0.75" header="0.3" footer="0.3"/>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E7488-B6C1-4609-858A-754E05C812C0}">
  <dimension ref="A3:F11"/>
  <sheetViews>
    <sheetView workbookViewId="0">
      <selection activeCell="B6" sqref="B6"/>
    </sheetView>
  </sheetViews>
  <sheetFormatPr defaultRowHeight="15" x14ac:dyDescent="0.25"/>
  <cols>
    <col min="1" max="1" width="17.54296875" bestFit="1" customWidth="1"/>
    <col min="2" max="2" width="15.453125" bestFit="1" customWidth="1"/>
    <col min="3" max="5" width="6.81640625" bestFit="1" customWidth="1"/>
    <col min="6" max="6" width="11.08984375" bestFit="1" customWidth="1"/>
  </cols>
  <sheetData>
    <row r="3" spans="1:6" x14ac:dyDescent="0.25">
      <c r="A3" s="353" t="s">
        <v>1009</v>
      </c>
      <c r="B3" s="353" t="s">
        <v>1011</v>
      </c>
    </row>
    <row r="4" spans="1:6" x14ac:dyDescent="0.25">
      <c r="A4" s="353" t="s">
        <v>1008</v>
      </c>
      <c r="B4" t="s">
        <v>428</v>
      </c>
      <c r="C4" t="s">
        <v>411</v>
      </c>
      <c r="D4" t="s">
        <v>410</v>
      </c>
      <c r="E4" t="s">
        <v>422</v>
      </c>
      <c r="F4" t="s">
        <v>994</v>
      </c>
    </row>
    <row r="5" spans="1:6" x14ac:dyDescent="0.25">
      <c r="A5" s="354" t="s">
        <v>397</v>
      </c>
      <c r="B5">
        <v>188000</v>
      </c>
      <c r="C5">
        <v>18000</v>
      </c>
      <c r="D5">
        <v>200000</v>
      </c>
      <c r="E5">
        <v>20000</v>
      </c>
      <c r="F5">
        <v>426000</v>
      </c>
    </row>
    <row r="6" spans="1:6" x14ac:dyDescent="0.25">
      <c r="A6" s="354" t="s">
        <v>396</v>
      </c>
      <c r="B6">
        <v>128000</v>
      </c>
      <c r="C6">
        <v>28000</v>
      </c>
      <c r="D6">
        <v>135000</v>
      </c>
      <c r="E6">
        <v>176250</v>
      </c>
      <c r="F6">
        <v>467250</v>
      </c>
    </row>
    <row r="7" spans="1:6" x14ac:dyDescent="0.25">
      <c r="A7" s="354" t="s">
        <v>395</v>
      </c>
      <c r="B7">
        <v>12300</v>
      </c>
      <c r="C7">
        <v>86750</v>
      </c>
      <c r="D7">
        <v>15600</v>
      </c>
      <c r="E7">
        <v>124800</v>
      </c>
      <c r="F7">
        <v>239450</v>
      </c>
    </row>
    <row r="8" spans="1:6" x14ac:dyDescent="0.25">
      <c r="A8" s="354" t="s">
        <v>394</v>
      </c>
      <c r="B8">
        <v>18000</v>
      </c>
      <c r="C8">
        <v>157600</v>
      </c>
      <c r="D8">
        <v>93380</v>
      </c>
      <c r="E8">
        <v>9840</v>
      </c>
      <c r="F8">
        <v>278820</v>
      </c>
    </row>
    <row r="9" spans="1:6" x14ac:dyDescent="0.25">
      <c r="A9" s="354" t="s">
        <v>392</v>
      </c>
      <c r="B9">
        <v>75615</v>
      </c>
      <c r="C9">
        <v>12840</v>
      </c>
      <c r="D9">
        <v>157600</v>
      </c>
      <c r="E9">
        <v>17900</v>
      </c>
      <c r="F9">
        <v>263955</v>
      </c>
    </row>
    <row r="10" spans="1:6" x14ac:dyDescent="0.25">
      <c r="A10" s="354" t="s">
        <v>412</v>
      </c>
      <c r="B10">
        <v>143520</v>
      </c>
      <c r="C10">
        <v>11540</v>
      </c>
      <c r="D10">
        <v>14805</v>
      </c>
      <c r="E10">
        <v>100400</v>
      </c>
      <c r="F10">
        <v>270265</v>
      </c>
    </row>
    <row r="11" spans="1:6" x14ac:dyDescent="0.25">
      <c r="A11" s="354" t="s">
        <v>994</v>
      </c>
      <c r="B11">
        <v>565435</v>
      </c>
      <c r="C11">
        <v>314730</v>
      </c>
      <c r="D11">
        <v>616385</v>
      </c>
      <c r="E11">
        <v>449190</v>
      </c>
      <c r="F11">
        <v>1945740</v>
      </c>
    </row>
  </sheetData>
  <pageMargins left="0.7" right="0.7" top="0.75" bottom="0.75" header="0.3" footer="0.3"/>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256AF-9E69-490E-8F9D-CD479059DA8B}">
  <dimension ref="A1:F17"/>
  <sheetViews>
    <sheetView workbookViewId="0">
      <selection activeCell="A21" sqref="A21"/>
    </sheetView>
  </sheetViews>
  <sheetFormatPr defaultRowHeight="15" x14ac:dyDescent="0.25"/>
  <cols>
    <col min="1" max="1" width="17.54296875" bestFit="1" customWidth="1"/>
    <col min="2" max="2" width="15.453125" bestFit="1" customWidth="1"/>
    <col min="3" max="3" width="11.08984375" bestFit="1" customWidth="1"/>
    <col min="4" max="4" width="5.81640625" bestFit="1" customWidth="1"/>
    <col min="5" max="6" width="11.08984375" bestFit="1" customWidth="1"/>
  </cols>
  <sheetData>
    <row r="1" spans="1:3" x14ac:dyDescent="0.25">
      <c r="A1" s="353" t="s">
        <v>498</v>
      </c>
      <c r="B1" t="s">
        <v>454</v>
      </c>
    </row>
    <row r="3" spans="1:3" x14ac:dyDescent="0.25">
      <c r="A3" s="353" t="s">
        <v>1009</v>
      </c>
      <c r="B3" s="353" t="s">
        <v>1011</v>
      </c>
    </row>
    <row r="4" spans="1:3" x14ac:dyDescent="0.25">
      <c r="A4" s="353" t="s">
        <v>1008</v>
      </c>
      <c r="B4" t="s">
        <v>422</v>
      </c>
      <c r="C4" t="s">
        <v>994</v>
      </c>
    </row>
    <row r="5" spans="1:3" x14ac:dyDescent="0.25">
      <c r="A5" s="354" t="s">
        <v>394</v>
      </c>
      <c r="B5">
        <v>9840</v>
      </c>
      <c r="C5">
        <v>9840</v>
      </c>
    </row>
    <row r="6" spans="1:3" x14ac:dyDescent="0.25">
      <c r="A6" s="354" t="s">
        <v>392</v>
      </c>
      <c r="B6">
        <v>17900</v>
      </c>
      <c r="C6">
        <v>17900</v>
      </c>
    </row>
    <row r="7" spans="1:3" x14ac:dyDescent="0.25">
      <c r="A7" s="354" t="s">
        <v>994</v>
      </c>
      <c r="B7">
        <v>27740</v>
      </c>
      <c r="C7">
        <v>27740</v>
      </c>
    </row>
    <row r="17" spans="1:6" ht="51.6" customHeight="1" x14ac:dyDescent="0.25">
      <c r="A17" s="461" t="s">
        <v>1018</v>
      </c>
      <c r="B17" s="461"/>
      <c r="C17" s="461"/>
      <c r="D17" s="461"/>
      <c r="E17" s="461"/>
      <c r="F17" s="461"/>
    </row>
  </sheetData>
  <mergeCells count="1">
    <mergeCell ref="A17:F17"/>
  </mergeCells>
  <pageMargins left="0.7" right="0.7" top="0.75" bottom="0.75" header="0.3" footer="0.3"/>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824F2-FF82-488B-945C-4C15919B16A6}">
  <dimension ref="A1:M14"/>
  <sheetViews>
    <sheetView topLeftCell="E1" workbookViewId="0">
      <selection activeCell="J17" sqref="J17"/>
    </sheetView>
  </sheetViews>
  <sheetFormatPr defaultRowHeight="15" x14ac:dyDescent="0.25"/>
  <cols>
    <col min="1" max="1" width="12.54296875" bestFit="1" customWidth="1"/>
    <col min="2" max="2" width="17.54296875" bestFit="1" customWidth="1"/>
  </cols>
  <sheetData>
    <row r="1" spans="1:13" x14ac:dyDescent="0.25">
      <c r="A1" s="353" t="s">
        <v>417</v>
      </c>
      <c r="B1" t="s">
        <v>1012</v>
      </c>
    </row>
    <row r="3" spans="1:13" x14ac:dyDescent="0.25">
      <c r="A3" s="353" t="s">
        <v>1008</v>
      </c>
      <c r="B3" t="s">
        <v>1009</v>
      </c>
    </row>
    <row r="4" spans="1:13" x14ac:dyDescent="0.25">
      <c r="A4" s="354" t="s">
        <v>410</v>
      </c>
      <c r="B4">
        <v>616385</v>
      </c>
    </row>
    <row r="5" spans="1:13" x14ac:dyDescent="0.25">
      <c r="A5" s="354" t="s">
        <v>422</v>
      </c>
      <c r="B5">
        <v>449190</v>
      </c>
    </row>
    <row r="6" spans="1:13" x14ac:dyDescent="0.25">
      <c r="A6" s="354" t="s">
        <v>994</v>
      </c>
      <c r="B6">
        <v>1065575</v>
      </c>
    </row>
    <row r="14" spans="1:13" ht="50.4" customHeight="1" x14ac:dyDescent="0.25">
      <c r="H14" s="461" t="s">
        <v>1019</v>
      </c>
      <c r="I14" s="461"/>
      <c r="J14" s="461"/>
      <c r="K14" s="461"/>
      <c r="L14" s="461"/>
      <c r="M14" s="461"/>
    </row>
  </sheetData>
  <mergeCells count="1">
    <mergeCell ref="H14:M14"/>
  </mergeCells>
  <pageMargins left="0.7" right="0.7" top="0.75" bottom="0.75" header="0.3" footer="0.3"/>
  <pageSetup orientation="portrait" horizontalDpi="0" verticalDpi="0" r:id="rId2"/>
  <drawing r:id="rId3"/>
  <extLst>
    <ext xmlns:x14="http://schemas.microsoft.com/office/spreadsheetml/2009/9/main" uri="{A8765BA9-456A-4dab-B4F3-ACF838C121DE}">
      <x14:slicerList>
        <x14:slicer r:id="rId4"/>
      </x14:slicerList>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7CCED-E07F-4DC2-ABED-4C2291EB9433}">
  <dimension ref="A3:B8"/>
  <sheetViews>
    <sheetView workbookViewId="0">
      <selection activeCell="B5" sqref="B5"/>
    </sheetView>
  </sheetViews>
  <sheetFormatPr defaultRowHeight="15" x14ac:dyDescent="0.25"/>
  <cols>
    <col min="1" max="1" width="12.54296875" bestFit="1" customWidth="1"/>
    <col min="2" max="2" width="17.54296875" bestFit="1" customWidth="1"/>
  </cols>
  <sheetData>
    <row r="3" spans="1:2" x14ac:dyDescent="0.25">
      <c r="A3" s="353" t="s">
        <v>1008</v>
      </c>
      <c r="B3" t="s">
        <v>1009</v>
      </c>
    </row>
    <row r="4" spans="1:2" x14ac:dyDescent="0.25">
      <c r="A4" s="354" t="s">
        <v>428</v>
      </c>
      <c r="B4">
        <v>565435</v>
      </c>
    </row>
    <row r="5" spans="1:2" x14ac:dyDescent="0.25">
      <c r="A5" s="354" t="s">
        <v>411</v>
      </c>
      <c r="B5">
        <v>314730</v>
      </c>
    </row>
    <row r="6" spans="1:2" x14ac:dyDescent="0.25">
      <c r="A6" s="354" t="s">
        <v>410</v>
      </c>
      <c r="B6">
        <v>616385</v>
      </c>
    </row>
    <row r="7" spans="1:2" x14ac:dyDescent="0.25">
      <c r="A7" s="354" t="s">
        <v>422</v>
      </c>
      <c r="B7">
        <v>449190</v>
      </c>
    </row>
    <row r="8" spans="1:2" x14ac:dyDescent="0.25">
      <c r="A8" s="354" t="s">
        <v>994</v>
      </c>
      <c r="B8">
        <v>1945740</v>
      </c>
    </row>
  </sheetData>
  <pageMargins left="0.7" right="0.7" top="0.75" bottom="0.75" header="0.3" footer="0.3"/>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6AAEA-BF0D-4287-9229-4C3E404B88EF}">
  <dimension ref="A3:G17"/>
  <sheetViews>
    <sheetView workbookViewId="0">
      <selection activeCell="C6" sqref="C6"/>
    </sheetView>
  </sheetViews>
  <sheetFormatPr defaultRowHeight="15" x14ac:dyDescent="0.25"/>
  <cols>
    <col min="1" max="1" width="12.54296875" bestFit="1" customWidth="1"/>
    <col min="2" max="2" width="11.1796875" bestFit="1" customWidth="1"/>
    <col min="3" max="3" width="10.90625" bestFit="1" customWidth="1"/>
  </cols>
  <sheetData>
    <row r="3" spans="1:7" x14ac:dyDescent="0.25">
      <c r="A3" s="353" t="s">
        <v>417</v>
      </c>
      <c r="B3" t="s">
        <v>1016</v>
      </c>
      <c r="C3" t="s">
        <v>1015</v>
      </c>
    </row>
    <row r="4" spans="1:7" x14ac:dyDescent="0.25">
      <c r="A4" s="354" t="s">
        <v>397</v>
      </c>
      <c r="B4">
        <v>426000</v>
      </c>
      <c r="C4">
        <v>1869750</v>
      </c>
    </row>
    <row r="5" spans="1:7" x14ac:dyDescent="0.25">
      <c r="A5" s="354" t="s">
        <v>396</v>
      </c>
      <c r="B5">
        <v>467250</v>
      </c>
      <c r="C5">
        <v>3947250</v>
      </c>
    </row>
    <row r="6" spans="1:7" x14ac:dyDescent="0.25">
      <c r="A6" s="354" t="s">
        <v>395</v>
      </c>
      <c r="B6">
        <v>239450</v>
      </c>
      <c r="C6">
        <v>1074760</v>
      </c>
    </row>
    <row r="7" spans="1:7" x14ac:dyDescent="0.25">
      <c r="A7" s="354" t="s">
        <v>394</v>
      </c>
      <c r="B7">
        <v>278820</v>
      </c>
      <c r="C7">
        <v>1157583</v>
      </c>
    </row>
    <row r="8" spans="1:7" x14ac:dyDescent="0.25">
      <c r="A8" s="354" t="s">
        <v>392</v>
      </c>
      <c r="B8">
        <v>263955</v>
      </c>
      <c r="C8">
        <v>1122127</v>
      </c>
    </row>
    <row r="9" spans="1:7" x14ac:dyDescent="0.25">
      <c r="A9" s="354" t="s">
        <v>412</v>
      </c>
      <c r="B9">
        <v>270265</v>
      </c>
      <c r="C9">
        <v>1165893</v>
      </c>
    </row>
    <row r="10" spans="1:7" x14ac:dyDescent="0.25">
      <c r="A10" s="354" t="s">
        <v>994</v>
      </c>
      <c r="B10">
        <v>1945740</v>
      </c>
      <c r="C10">
        <v>62024178</v>
      </c>
    </row>
    <row r="15" spans="1:7" ht="47.4" customHeight="1" x14ac:dyDescent="0.25">
      <c r="A15" s="455" t="s">
        <v>1013</v>
      </c>
      <c r="B15" s="455"/>
      <c r="C15" s="455"/>
      <c r="D15" s="455"/>
      <c r="E15" s="455"/>
      <c r="F15" s="455"/>
      <c r="G15" s="455"/>
    </row>
    <row r="17" spans="1:7" ht="30.6" customHeight="1" x14ac:dyDescent="0.25">
      <c r="A17" s="455" t="s">
        <v>1014</v>
      </c>
      <c r="B17" s="455"/>
      <c r="C17" s="455"/>
      <c r="D17" s="455"/>
      <c r="E17" s="455"/>
      <c r="F17" s="455"/>
      <c r="G17" s="455"/>
    </row>
  </sheetData>
  <mergeCells count="2">
    <mergeCell ref="A15:G15"/>
    <mergeCell ref="A17:G17"/>
  </mergeCells>
  <pageMargins left="0.7" right="0.7" top="0.75" bottom="0.75" header="0.3" footer="0.3"/>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298A7-2143-4C9D-AE3E-82215271ECF6}">
  <dimension ref="A3:F20"/>
  <sheetViews>
    <sheetView workbookViewId="0">
      <selection activeCell="A22" sqref="A22"/>
    </sheetView>
  </sheetViews>
  <sheetFormatPr defaultRowHeight="15" x14ac:dyDescent="0.25"/>
  <cols>
    <col min="1" max="1" width="12.54296875" bestFit="1" customWidth="1"/>
    <col min="2" max="2" width="17.54296875" bestFit="1" customWidth="1"/>
  </cols>
  <sheetData>
    <row r="3" spans="1:2" x14ac:dyDescent="0.25">
      <c r="A3" s="353" t="s">
        <v>1008</v>
      </c>
      <c r="B3" t="s">
        <v>1009</v>
      </c>
    </row>
    <row r="4" spans="1:2" x14ac:dyDescent="0.25">
      <c r="A4" s="354" t="s">
        <v>428</v>
      </c>
      <c r="B4">
        <v>565435</v>
      </c>
    </row>
    <row r="5" spans="1:2" x14ac:dyDescent="0.25">
      <c r="A5" s="354" t="s">
        <v>411</v>
      </c>
      <c r="B5">
        <v>314730</v>
      </c>
    </row>
    <row r="6" spans="1:2" x14ac:dyDescent="0.25">
      <c r="A6" s="354" t="s">
        <v>410</v>
      </c>
      <c r="B6">
        <v>616385</v>
      </c>
    </row>
    <row r="7" spans="1:2" x14ac:dyDescent="0.25">
      <c r="A7" s="354" t="s">
        <v>422</v>
      </c>
      <c r="B7">
        <v>449190</v>
      </c>
    </row>
    <row r="8" spans="1:2" x14ac:dyDescent="0.25">
      <c r="A8" s="354" t="s">
        <v>994</v>
      </c>
      <c r="B8">
        <v>1945740</v>
      </c>
    </row>
    <row r="20" spans="1:6" ht="15.6" x14ac:dyDescent="0.25">
      <c r="A20" s="455" t="s">
        <v>1017</v>
      </c>
      <c r="B20" s="455"/>
      <c r="C20" s="455"/>
      <c r="D20" s="455"/>
      <c r="E20" s="455"/>
      <c r="F20" s="455"/>
    </row>
  </sheetData>
  <mergeCells count="1">
    <mergeCell ref="A20:F20"/>
  </mergeCells>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BD98A-B547-4369-9603-414F7A86FFE9}">
  <dimension ref="A1:G15"/>
  <sheetViews>
    <sheetView workbookViewId="0">
      <selection activeCell="G17" sqref="G17"/>
    </sheetView>
  </sheetViews>
  <sheetFormatPr defaultRowHeight="15" x14ac:dyDescent="0.25"/>
  <cols>
    <col min="1" max="1" width="12.54296875" bestFit="1" customWidth="1"/>
    <col min="2" max="2" width="17.54296875" bestFit="1" customWidth="1"/>
  </cols>
  <sheetData>
    <row r="1" spans="1:7" x14ac:dyDescent="0.25">
      <c r="A1" s="353" t="s">
        <v>417</v>
      </c>
      <c r="B1" t="s">
        <v>1012</v>
      </c>
    </row>
    <row r="3" spans="1:7" x14ac:dyDescent="0.25">
      <c r="A3" s="353" t="s">
        <v>1008</v>
      </c>
      <c r="B3" t="s">
        <v>1009</v>
      </c>
    </row>
    <row r="4" spans="1:7" x14ac:dyDescent="0.25">
      <c r="A4" s="354" t="s">
        <v>428</v>
      </c>
      <c r="B4">
        <v>565435</v>
      </c>
    </row>
    <row r="5" spans="1:7" x14ac:dyDescent="0.25">
      <c r="A5" s="354" t="s">
        <v>411</v>
      </c>
      <c r="B5">
        <v>314730</v>
      </c>
    </row>
    <row r="6" spans="1:7" x14ac:dyDescent="0.25">
      <c r="A6" s="354" t="s">
        <v>410</v>
      </c>
      <c r="B6">
        <v>616385</v>
      </c>
    </row>
    <row r="7" spans="1:7" x14ac:dyDescent="0.25">
      <c r="A7" s="354" t="s">
        <v>422</v>
      </c>
      <c r="B7">
        <v>449190</v>
      </c>
    </row>
    <row r="8" spans="1:7" x14ac:dyDescent="0.25">
      <c r="A8" s="354" t="s">
        <v>994</v>
      </c>
      <c r="B8">
        <v>1945740</v>
      </c>
    </row>
    <row r="11" spans="1:7" ht="47.4" customHeight="1" x14ac:dyDescent="0.25">
      <c r="A11" s="461" t="s">
        <v>1020</v>
      </c>
      <c r="B11" s="461"/>
      <c r="C11" s="461"/>
      <c r="D11" s="461"/>
      <c r="E11" s="461"/>
      <c r="F11" s="461"/>
      <c r="G11" s="461"/>
    </row>
    <row r="15" spans="1:7" x14ac:dyDescent="0.25">
      <c r="A15" s="56" t="s">
        <v>760</v>
      </c>
      <c r="B15" s="56">
        <v>99874255</v>
      </c>
    </row>
  </sheetData>
  <mergeCells count="1">
    <mergeCell ref="A11:G11"/>
  </mergeCell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638A8-3B12-4E1C-AB39-567AF9B135AE}">
  <dimension ref="A1:K2"/>
  <sheetViews>
    <sheetView tabSelected="1" workbookViewId="0">
      <selection activeCell="B13" sqref="B13"/>
    </sheetView>
  </sheetViews>
  <sheetFormatPr defaultRowHeight="15" x14ac:dyDescent="0.25"/>
  <sheetData>
    <row r="1" spans="1:11" ht="37.200000000000003" customHeight="1" x14ac:dyDescent="0.25">
      <c r="A1" s="463" t="s">
        <v>1021</v>
      </c>
      <c r="B1" s="463"/>
      <c r="C1" s="463"/>
      <c r="D1" s="463"/>
      <c r="E1" s="463"/>
      <c r="F1" s="463"/>
      <c r="G1" s="463"/>
      <c r="H1" s="463"/>
      <c r="I1" s="463"/>
      <c r="J1" s="463"/>
      <c r="K1" s="463"/>
    </row>
    <row r="2" spans="1:11" ht="36" customHeight="1" x14ac:dyDescent="0.25">
      <c r="A2" s="463" t="s">
        <v>1022</v>
      </c>
      <c r="B2" s="463"/>
      <c r="C2" s="463"/>
      <c r="D2" s="463"/>
      <c r="E2" s="463"/>
      <c r="F2" s="463"/>
      <c r="G2" s="463"/>
      <c r="H2" s="463"/>
      <c r="I2" s="463"/>
      <c r="J2" s="463"/>
      <c r="K2" s="463"/>
    </row>
  </sheetData>
  <mergeCells count="2">
    <mergeCell ref="A1:K1"/>
    <mergeCell ref="A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47</vt:i4>
      </vt:variant>
      <vt:variant>
        <vt:lpstr>Named Ranges</vt:lpstr>
      </vt:variant>
      <vt:variant>
        <vt:i4>27</vt:i4>
      </vt:variant>
    </vt:vector>
  </HeadingPairs>
  <TitlesOfParts>
    <vt:vector size="74" baseType="lpstr">
      <vt:lpstr>1) Day 1</vt:lpstr>
      <vt:lpstr>2) Functions</vt:lpstr>
      <vt:lpstr>3) Rating</vt:lpstr>
      <vt:lpstr>4) Income Tax</vt:lpstr>
      <vt:lpstr>5) Sales</vt:lpstr>
      <vt:lpstr>6) Single Formula</vt:lpstr>
      <vt:lpstr>7) Multiple Criteria Totals</vt:lpstr>
      <vt:lpstr>8) AND-OR-NOT</vt:lpstr>
      <vt:lpstr>9) Extract Data (Vlookup)</vt:lpstr>
      <vt:lpstr>10) Extract Data (Hlookup)</vt:lpstr>
      <vt:lpstr>11) Data Set 1</vt:lpstr>
      <vt:lpstr>12) Data Set 2</vt:lpstr>
      <vt:lpstr>13) Data Set 3</vt:lpstr>
      <vt:lpstr>14) Final Data</vt:lpstr>
      <vt:lpstr>15) Tax Rate</vt:lpstr>
      <vt:lpstr>16) General</vt:lpstr>
      <vt:lpstr>17) Index+Match</vt:lpstr>
      <vt:lpstr>18) Date Conversions</vt:lpstr>
      <vt:lpstr>19) Employee Age Calculation</vt:lpstr>
      <vt:lpstr>20) Project End Date</vt:lpstr>
      <vt:lpstr>21) Project Working Days</vt:lpstr>
      <vt:lpstr>22) Random Numbers &amp; Rank</vt:lpstr>
      <vt:lpstr>23) IS Functions</vt:lpstr>
      <vt:lpstr>24) Text Cleanup</vt:lpstr>
      <vt:lpstr>25) Text Functions</vt:lpstr>
      <vt:lpstr>26) Filters</vt:lpstr>
      <vt:lpstr>27) Calculate EMI</vt:lpstr>
      <vt:lpstr>28) One variable table</vt:lpstr>
      <vt:lpstr>29) Two Variable Table</vt:lpstr>
      <vt:lpstr>30) Ref</vt:lpstr>
      <vt:lpstr>31) Product Costing</vt:lpstr>
      <vt:lpstr>32) Dependent Filters</vt:lpstr>
      <vt:lpstr>33) Conditional Formatting (I)</vt:lpstr>
      <vt:lpstr>34) Conditional Formatting (II)</vt:lpstr>
      <vt:lpstr>35) Simple Offset</vt:lpstr>
      <vt:lpstr>36) Group_Ungroup_Subtotal</vt:lpstr>
      <vt:lpstr>37) Restricting Data Entry</vt:lpstr>
      <vt:lpstr>38) Pivot Table</vt:lpstr>
      <vt:lpstr>39) PT1 (Pie)</vt:lpstr>
      <vt:lpstr>40) PT2 (Clustered Column)</vt:lpstr>
      <vt:lpstr>41) PT3 (Filter)</vt:lpstr>
      <vt:lpstr>42) PT4 (Slicer)</vt:lpstr>
      <vt:lpstr>43) PT5 (Doughnut)</vt:lpstr>
      <vt:lpstr>44) PT6 (Calculated Fields)</vt:lpstr>
      <vt:lpstr>45) PT7 (Insert Timeline)</vt:lpstr>
      <vt:lpstr>46) PT8 (Map)</vt:lpstr>
      <vt:lpstr>47) Enable Options</vt:lpstr>
      <vt:lpstr>Basic_Price</vt:lpstr>
      <vt:lpstr>COGS</vt:lpstr>
      <vt:lpstr>Columns</vt:lpstr>
      <vt:lpstr>Customer</vt:lpstr>
      <vt:lpstr>Date</vt:lpstr>
      <vt:lpstr>Finance</vt:lpstr>
      <vt:lpstr>Finance_dep</vt:lpstr>
      <vt:lpstr>Healthcare</vt:lpstr>
      <vt:lpstr>Healthcare_dep</vt:lpstr>
      <vt:lpstr>HR</vt:lpstr>
      <vt:lpstr>HR_Dep</vt:lpstr>
      <vt:lpstr>IT</vt:lpstr>
      <vt:lpstr>IT_dep</vt:lpstr>
      <vt:lpstr>Marketing</vt:lpstr>
      <vt:lpstr>Marketing_dep</vt:lpstr>
      <vt:lpstr>Month</vt:lpstr>
      <vt:lpstr>Price_Unit</vt:lpstr>
      <vt:lpstr>Product</vt:lpstr>
      <vt:lpstr>Product_Code</vt:lpstr>
      <vt:lpstr>Product_Name</vt:lpstr>
      <vt:lpstr>Profit</vt:lpstr>
      <vt:lpstr>Quantity</vt:lpstr>
      <vt:lpstr>Region</vt:lpstr>
      <vt:lpstr>Region_product_costing</vt:lpstr>
      <vt:lpstr>Revenue</vt:lpstr>
      <vt:lpstr>Units_Sold</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Prajwal Sonawane</dc:creator>
  <cp:lastModifiedBy>Prajwal Sonawane</cp:lastModifiedBy>
  <dcterms:created xsi:type="dcterms:W3CDTF">2011-11-05T05:37:51Z</dcterms:created>
  <dcterms:modified xsi:type="dcterms:W3CDTF">2023-10-23T10:13:25Z</dcterms:modified>
</cp:coreProperties>
</file>