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Questions" sheetId="1" r:id="rId4"/>
  </sheets>
  <definedNames/>
  <calcPr/>
</workbook>
</file>

<file path=xl/sharedStrings.xml><?xml version="1.0" encoding="utf-8"?>
<sst xmlns="http://schemas.openxmlformats.org/spreadsheetml/2006/main" count="758" uniqueCount="457">
  <si>
    <t>Question</t>
  </si>
  <si>
    <t>Exhibit Title</t>
  </si>
  <si>
    <t>Translation (Google Translate)</t>
  </si>
  <si>
    <t>Translation (DeepL)</t>
  </si>
  <si>
    <t>Category/Intent</t>
  </si>
  <si>
    <t>Answer</t>
  </si>
  <si>
    <t>Bärenkampf</t>
  </si>
  <si>
    <t>Was ist das für eine Szene, die hier dargestellt wird?</t>
  </si>
  <si>
    <t>What is the scene that is depicted here?</t>
  </si>
  <si>
    <t>visiting.bearFight.story</t>
  </si>
  <si>
    <t>It shows a bear that has knocked down one of its three human opponents and threatens to tear him apart. His other two accomplices attempt to separate the animal from his would-be victim with carefully aimed lashes of their whips.
The men face the bear and are armed only with long whips. As protection, they carry small shields covering the whole left arm. They are dressed in short-sleeved overalls and a wide belt.
The brown bear was first brought to Rome in 169 BC and used in the circuses from the 1st century AD onward in such numbers that the species was threatened with extinction in much of Europe.</t>
  </si>
  <si>
    <t>Wo wurde das Mosaik gefunden?</t>
  </si>
  <si>
    <t>Where was the mosaic found?</t>
  </si>
  <si>
    <t>visiting.discovery</t>
  </si>
  <si>
    <t>All mosaics including this one were found here at the Villa Nennig.</t>
  </si>
  <si>
    <t>Wann wurde das Mosaik gefunden?</t>
  </si>
  <si>
    <t>When was the mosaic found?</t>
  </si>
  <si>
    <t>Woher weiß man aus welchem Jahrhundert das Mosaik stammt?</t>
  </si>
  <si>
    <t>How do you know which century the mosaic is from?</t>
  </si>
  <si>
    <t>Warum haben die Männer auf dem Bild alle unterschiedliche Kleidung an?</t>
  </si>
  <si>
    <t>Why are the men in the picture all wearing different clothes?</t>
  </si>
  <si>
    <t>visiting.common.fight.clothes</t>
  </si>
  <si>
    <t>As protection, they carry small shields covering the whole left arm. Overall, they are dressed in short-sleeved and wide belts with different colors.</t>
  </si>
  <si>
    <t>Peitschen die Männer um den Kampf anzuheizen oder um den Bär von dem Opfer Weg zu halten?</t>
  </si>
  <si>
    <t>Do the men whip to stir up the fight or to keep the bear away from the victim?</t>
  </si>
  <si>
    <t>Ist der Bär ausgewachsen?</t>
  </si>
  <si>
    <t>Is the bear fully grown?</t>
  </si>
  <si>
    <t>Kämpft der Bär gegen einen Menschen?</t>
  </si>
  <si>
    <t>Is the bear fighting a human?</t>
  </si>
  <si>
    <t>Wieso wird mit dem Bären gekämpft?</t>
  </si>
  <si>
    <t>Why is there a fight with the bear?</t>
  </si>
  <si>
    <t>visiting.common.fight.reason</t>
  </si>
  <si>
    <t>These kinds of fights were a source of entertainment for people during that time.</t>
  </si>
  <si>
    <t>Wer Käüft?</t>
  </si>
  <si>
    <t>Who cages?</t>
  </si>
  <si>
    <t>Warum Kämpfen die Menschen?</t>
  </si>
  <si>
    <t>Why do people fight?</t>
  </si>
  <si>
    <t>Warum Kämpfen die mit Peitschen und nicht mit Schwertern und co?</t>
  </si>
  <si>
    <t>Why do they fight with whips and not with swords and co?</t>
  </si>
  <si>
    <t>visiting.common.whip</t>
  </si>
  <si>
    <t>Whiplash was used mainly against animals, because of the rules and regulations that wanted to make the fights more competitive and entertaining for the audience.
Whips are generally used on animals to provide directional guidance or to encourage movement. Some whips are designed to control animals by imparting discomfort by tapping or pain by a full-force strike that produces pain compliance. Some whips provide guidance by the use of sound, such as the cracking of a bullwhip. Other uses of whips are to provide a visual directional cue by extending the reach and visibility of the human arm.</t>
  </si>
  <si>
    <t>What animal is it in the scene depicted?</t>
  </si>
  <si>
    <t>visiting.bearFight.animal</t>
  </si>
  <si>
    <t>Animal depicted in the scene is bear. 
Bears were first brought to Rome in 169 BC. They were used in the circuses from the 1st century AD onward in such numbers that the species was threatened with extinction in much of Europe.</t>
  </si>
  <si>
    <t>Is it a type of sport event for an entertainment during those days?</t>
  </si>
  <si>
    <t>What this roman mosaic depicts?</t>
  </si>
  <si>
    <t>What type of the arms are in the hands of persons depicted in the scene?</t>
  </si>
  <si>
    <t>Who were the persons in the scene?</t>
  </si>
  <si>
    <t>visiting.common.fight.fighters</t>
  </si>
  <si>
    <t>The fighters were slaves or residents trained for these kinds of fights for the entertainment of the people.
Gladiators were either professional fighters, recruited from the corresponding gladiatorial schools, contracted by the organizer of the games. A gladiator (Latin: gladiator, "swordsman", from gladius, "sword") was an armed combatant who entertained audiences in the Roman Republic and Roman Empire in violent confrontations with other gladiators, wild animals, and condemned criminals. Some gladiators were volunteers who risked their lives and their legal and social standing by appearing in the arena. Most were despised as slaves, schooled under harsh conditions, socially marginalized, and segregated even in death.</t>
  </si>
  <si>
    <t>Was tragen die Kämpfer an den Armen?</t>
  </si>
  <si>
    <t>What do the fighters wear on their arms?</t>
  </si>
  <si>
    <t>Wer war in einem Bärenkampf überlegen?</t>
  </si>
  <si>
    <t>Who was superior in a bear fight?</t>
  </si>
  <si>
    <t>War der Bär wirklich so klein wie im Bild dargestellt?</t>
  </si>
  <si>
    <t>Was the bear really as small as shown in the picture?</t>
  </si>
  <si>
    <t>Are they hunting bear or being attacked by it?</t>
  </si>
  <si>
    <t>Why do they have whiplash instead of a sword?</t>
  </si>
  <si>
    <t>Wie konnten die Kämpfer gewinnen`?</t>
  </si>
  <si>
    <t>How could the fighters win`?</t>
  </si>
  <si>
    <t>Wer heilten die Verletzungen?</t>
  </si>
  <si>
    <t>Who healed the injuries?</t>
  </si>
  <si>
    <t>are the two men standing there trying to save the other man?</t>
  </si>
  <si>
    <t>Die Gladiatoren</t>
  </si>
  <si>
    <t>Wer ist die Person im Hintergrund?</t>
  </si>
  <si>
    <t>Who is the person in the background?</t>
  </si>
  <si>
    <t>visiting.gladiators.referee</t>
  </si>
  <si>
    <t>In the background is a referee (Lanista), who monitors compliance with the rules of combat.</t>
  </si>
  <si>
    <t>Wie lange dauert ein solcher Kampf?</t>
  </si>
  <si>
    <t>How long does such a fight last?</t>
  </si>
  <si>
    <t>Aus welchem Grund gab es den Kampf?</t>
  </si>
  <si>
    <t>For what reason was there a fight?</t>
  </si>
  <si>
    <t>Wie heißt die "Waffe" die die Gladiatoren benutzen?</t>
  </si>
  <si>
    <t>What is the name of the "weapon" used by the gladiators?</t>
  </si>
  <si>
    <t>visiting.gladiators.weapons</t>
  </si>
  <si>
    <t>Retiarius whose weapons are usually a net to catch the opponent, a trident (tridens), and a short dagger. His opponent has a large shield and short dagger.</t>
  </si>
  <si>
    <t>Was tut die Person hinter den Gladiatoren?</t>
  </si>
  <si>
    <t>What does the person behind the gladiators do?</t>
  </si>
  <si>
    <t>Waren die Gladiatoren hoch angesehen um diese Zeit?</t>
  </si>
  <si>
    <t>Were gladiators highly respected around that time?</t>
  </si>
  <si>
    <t>Was waren Typische Waffen der Gladiatoren?</t>
  </si>
  <si>
    <t>What were typical weapons of gladiators?</t>
  </si>
  <si>
    <t>Wer ist der Mann im Hintergrund?</t>
  </si>
  <si>
    <t>Who is the man in the background?</t>
  </si>
  <si>
    <t>Wo Kämpfen wie Galiatoren?</t>
  </si>
  <si>
    <t>Where fighting like Galiators?</t>
  </si>
  <si>
    <t>Wie lief ein Gladiatorkampf ab?</t>
  </si>
  <si>
    <t>What did a gladiator fight look like?</t>
  </si>
  <si>
    <t>Was sind Typische Waffen der Gladiatoren?</t>
  </si>
  <si>
    <t>What are typical weapons of gladiators?</t>
  </si>
  <si>
    <t>Was macht der Mann mit der weißen Kleidung?</t>
  </si>
  <si>
    <t>What is the man doing with the white clothes?</t>
  </si>
  <si>
    <t>Was ist der Mann mit der weißen Kleidung?</t>
  </si>
  <si>
    <t>What is the man with the white clothes?</t>
  </si>
  <si>
    <t>Wieso hat einer ein Schild und der andere nicht?</t>
  </si>
  <si>
    <t>Why does one have a sign and the other does not?</t>
  </si>
  <si>
    <t>Was hat der Mann mit der weißen Kleidung in der Hand?</t>
  </si>
  <si>
    <t>What does the man with the white clothes have in his hand?</t>
  </si>
  <si>
    <t>Wieso wird hier gekämpft?</t>
  </si>
  <si>
    <t>Why is there fighting here?</t>
  </si>
  <si>
    <t>Warum ist dieses Mosaik quadratisch und nicht achteckig?</t>
  </si>
  <si>
    <t>Why is this mosaic square and not octagonal?</t>
  </si>
  <si>
    <t>Was tragen die Gladiatoren an den Armen?</t>
  </si>
  <si>
    <t>What do the gladiators wear on their arms?</t>
  </si>
  <si>
    <t>Welche Regeln gelten für einen Gladiatorenkampf?</t>
  </si>
  <si>
    <t>What are the rules for a gladiator fight?</t>
  </si>
  <si>
    <t>Wie wurden Gladiatoren ausgebildet?</t>
  </si>
  <si>
    <t>How were gladiators trained?</t>
  </si>
  <si>
    <t>Wie oft fanden Gladiatorenkämpfe statt?</t>
  </si>
  <si>
    <t>How often did gladiator fights take place?</t>
  </si>
  <si>
    <t>Wer wurde Gladiator?</t>
  </si>
  <si>
    <t>Who became gladiator?</t>
  </si>
  <si>
    <t>Why is one of gladiators equiped with fighting shield?</t>
  </si>
  <si>
    <t>What is the role of third person?</t>
  </si>
  <si>
    <t>were they allowed to kill each other?</t>
  </si>
  <si>
    <t>visiting.common.lifeAndDeath</t>
  </si>
  <si>
    <t>Yes, these fights were matter of life and death as it involves weapons.</t>
  </si>
  <si>
    <t>Welche Gladiatorenarten sind zu sehen?</t>
  </si>
  <si>
    <t>What types of gladiators can be seen?</t>
  </si>
  <si>
    <t>visiting.gladiators.types</t>
  </si>
  <si>
    <t>The earliest types of gladiator were named after Rome's enemies of that time: the Samnite, Thracian, and Gaul. The Samnite, heavily armed, elegantly helmed, and probably the most popular type,[citation needed] was renamed Secutor and the Gaul renamed Murillo, once these former enemies had been conquered then absorbed into Rome's Empire. In the mid-republican Munus, each type seems to have fought against a similar or identical type. In the later Republic and early Empire, various "fantasy" types were introduced and were set against dissimilar but complementary types. For example, the bareheaded, nimble retiarius ("net-man"), armored only at the left arm and shoulder, pitted his net, trident, and dagger against the more heavily armored, helmeted Secutor.</t>
  </si>
  <si>
    <t>Wer ist der Schiedsrichter</t>
  </si>
  <si>
    <t>Who is the referee</t>
  </si>
  <si>
    <t>Beszieht sich das Mosaik auf die Olympischen Spiele</t>
  </si>
  <si>
    <t>Does the mosaic cover the Olympic Games</t>
  </si>
  <si>
    <t>War der Besitzer der Villa ein Gladiator</t>
  </si>
  <si>
    <t>Was the owner of the villa a gladiator</t>
  </si>
  <si>
    <t>Hat der Dreizack, der im Schil steckt symbolische Bedeutung?</t>
  </si>
  <si>
    <t>Does the trident stuck in the shield have symbolic meaning?</t>
  </si>
  <si>
    <t>Wo und wofür wurden diese Mosaike erschaffen?</t>
  </si>
  <si>
    <t>Where and for what were these mosaics created?</t>
  </si>
  <si>
    <t>?srehto naht epahs tnereffid evah ciasom siht yhW</t>
  </si>
  <si>
    <t>Wie wurde man Gladiator?</t>
  </si>
  <si>
    <t>How did you become a gladiator?</t>
  </si>
  <si>
    <t>Gab es viele freiwillige Gladiatorenkämpfer?</t>
  </si>
  <si>
    <t>Were there many volunteer gladiator fighters?</t>
  </si>
  <si>
    <t>Anhand welcher Eigenschaften wurde Gnade erlassen?</t>
  </si>
  <si>
    <t>On the basis of what characteristics was grace dispensed?</t>
  </si>
  <si>
    <t>Gabs auch Tode bei Gladiatorenkampf?</t>
  </si>
  <si>
    <t>Were there also deaths during gladiator fights?</t>
  </si>
  <si>
    <t>Waren das Sklaven?</t>
  </si>
  <si>
    <t>Were they slaves?</t>
  </si>
  <si>
    <t>who is the third man that is looking at the gladiators. is it known what is the reason of the fight?</t>
  </si>
  <si>
    <t>Wer ist der dritte Mann, der die Gladiatoren beobachtet? Ist der Grund für den Kampf bekannt?</t>
  </si>
  <si>
    <t>Were they forced to kill eachother?</t>
  </si>
  <si>
    <t>visiting.gladiators.death</t>
  </si>
  <si>
    <t>To die well, a gladiator should never ask for mercy, nor cry out</t>
  </si>
  <si>
    <t>What does this roman mosaic depict?</t>
  </si>
  <si>
    <t>visiting.gladiators.story</t>
  </si>
  <si>
    <t>In the southeastern, central square the cruelest act, the climax and conclusion of the fighting games in the amphitheater is recorded: the bloody battle of man against man. In accordance with the significance of the gladiator fights as the climax of the circus games, this fight is not placed in an octagonal and smaller medallion, but composed in a large central square.
The scene shows on the left a so-called Retiarius whose weapons are usually a net to catch the opponent, a trident (tridens) and a short dagger. Typical is also the protection of the left arm, which extends far beyond the shoulder to protect the unhelmeted head. The Retiarius is advancing on his opponent, who is absorbing the thrust of the trident with a large shield and is now in turn trying to stab the retiarius with the short sword, which is not visible in the picture. In the background is a referee (Lanista), who monitors compliance with the rules of combat.
The artists have made use of every opportunity offered by the colored mosaic stones to visually portray the tense muscular movements of the semi-naked torses.</t>
  </si>
  <si>
    <t>Die Musikanten</t>
  </si>
  <si>
    <t>visiting.musicians.story</t>
  </si>
  <si>
    <t>Tuba sounds and organ playing were part of the musical frame of the arena games. Thus, the horn player and the organist cannot be missing in the sequence of images of the mosaic carpet. The artist has depicted the water organ (Hydraulis), as the ancient world has known it since the 3rd century BC, in a greatly simplified form. The 27 organ pipes rest on a hexagonal base, which also contains the water tank. On both sides of the container sit two cylindrical air pumps, at the lower ends of which two levers of the piston guide for the hydraulics are visible. The technical principle corresponds to today's organ, with the water having a regulating effect on the air pressure. The organist, who protrudes over the instrument up to his shoulder, plays on the keyboard located behind the pipes. In sound, the organ corresponded to a strong harmonium. The air supply had to be operated by additional forces.</t>
  </si>
  <si>
    <t>Was ist das für ein Instrument, dass der Mann rechts hält?</t>
  </si>
  <si>
    <t>What is that instrument the man on the right is holding?</t>
  </si>
  <si>
    <t>visiting.musicians.instrument</t>
  </si>
  <si>
    <t>Man in the left is playing the water organ (Hydraulis) and man in the right is playing tuba. Both are wind instruments.
The artist has depicted the water organ (Hydraulis), as the ancient world has known it since the 3rd century BC, in a greatly simplified form. The 27 organ pipes rest on a hexagonal base, which also contains the water tank. On both sides of the container sit two cylindrical air pumps, at the lower ends of which two levers of the piston guide for the hydraulics are visible. The technical principle corresponds to today's organ, with the water having a regulating effect on the air pressure. The organist, who protrudes over the instrument up to his shoulder, plays on the keyboard located behind the pipes. In sound, the organ corresponded to a strong harmonium. The air supply had to be operated by additional forces.</t>
  </si>
  <si>
    <t>Welche Instrumente werden hier dargestellt?</t>
  </si>
  <si>
    <t>Which instruments are presented here?</t>
  </si>
  <si>
    <t>Wieso ist die linke Person auf einer erhöhten Position?</t>
  </si>
  <si>
    <t>Why is the person on the left in an elevated position?</t>
  </si>
  <si>
    <t>Für wen spielen die Musikanten?</t>
  </si>
  <si>
    <t>For whom do the musicians play?</t>
  </si>
  <si>
    <t>Wie heißen die beiden Instrumente?</t>
  </si>
  <si>
    <t>What are the names of the two instruments?</t>
  </si>
  <si>
    <t>Welche Lieder haben diese Leute gespielt?</t>
  </si>
  <si>
    <t>What songs did these people play?</t>
  </si>
  <si>
    <t>Was ist dieses Säulen Ding dort?</t>
  </si>
  <si>
    <t>What is that pillar thing there?</t>
  </si>
  <si>
    <t>Diese Menschen häufig zusammen musiziert ?</t>
  </si>
  <si>
    <t>These people often made music together ?</t>
  </si>
  <si>
    <t>Welchem heutigen Instrument sind diese Instrumente ähnlich?</t>
  </si>
  <si>
    <t>Which of today's instruments are these similar to?</t>
  </si>
  <si>
    <t>Welches Musikinstrument ist dies?</t>
  </si>
  <si>
    <t>What musical instrument is this?</t>
  </si>
  <si>
    <t>War der Beruf als Musikant damals angesehen?</t>
  </si>
  <si>
    <t>Was the profession of musician prestigious at that time?</t>
  </si>
  <si>
    <t>Wo wurde um diese Zeit Musik gespielt?</t>
  </si>
  <si>
    <t>Where was music played at that time?</t>
  </si>
  <si>
    <t>Was sind das für instrumente?</t>
  </si>
  <si>
    <t>What are these instruments?</t>
  </si>
  <si>
    <t>Wie Klingen diese Instumente?</t>
  </si>
  <si>
    <t>How do these instruments sound?</t>
  </si>
  <si>
    <t>Was sind Themen der Musik gewesen?</t>
  </si>
  <si>
    <t>What have been the themes of the music?</t>
  </si>
  <si>
    <t>What are the musical instruments depicted in this mosaic?</t>
  </si>
  <si>
    <t>How these instruments works?</t>
  </si>
  <si>
    <t>Were these musicians performing for royal servie?</t>
  </si>
  <si>
    <t>Were these musicians had royal patronage?</t>
  </si>
  <si>
    <t>Are those wind instruments?</t>
  </si>
  <si>
    <t>Welche Instrumente spielen die Personen im Bild?</t>
  </si>
  <si>
    <t>What instruments do the people in the picture play?</t>
  </si>
  <si>
    <t>Wie klingen die Instrumente im Bild?</t>
  </si>
  <si>
    <t>What do the instruments sound like in the picture?</t>
  </si>
  <si>
    <t>Wie funktioniert die Orgel?</t>
  </si>
  <si>
    <t>How does the organ work?</t>
  </si>
  <si>
    <t>Welche Instrumente sind hier dargestellt?</t>
  </si>
  <si>
    <t>Which instruments are shown here?</t>
  </si>
  <si>
    <t>Warum gab es Musikanten in einer Arena?</t>
  </si>
  <si>
    <t>Why were there musicians in an arena?</t>
  </si>
  <si>
    <t>Welche Instrumente wurden damals benutzt?</t>
  </si>
  <si>
    <t>What instruments were used at that time?</t>
  </si>
  <si>
    <t>War Musikant ein Beruf in dieser Zeit?</t>
  </si>
  <si>
    <t>Was musician a profession at that time?</t>
  </si>
  <si>
    <t>Wie viele Musikanten spielten bei einem solchen Spektakel?</t>
  </si>
  <si>
    <t>How many musicians played at such a spectacle?</t>
  </si>
  <si>
    <t>Wie heissen die Instrumente?</t>
  </si>
  <si>
    <t>What are the names of the instruments?</t>
  </si>
  <si>
    <t>Welche Musik spielten die?</t>
  </si>
  <si>
    <t>What music were they playing?</t>
  </si>
  <si>
    <t>Could you please give some information about the instruments that they play? where is the location? is it in church?</t>
  </si>
  <si>
    <t>Kampf mit Stock und Peitsche</t>
  </si>
  <si>
    <t>What kind of scene is depicted here?</t>
  </si>
  <si>
    <t>visiting.fightWithStickAndWhip.story</t>
  </si>
  <si>
    <t>This scene located opposite the previous panel marks the real climax of the drama. Offered as a jocular interlude for the viewer's relaxation, the scene shows a contest between two rogues, their blows being deflected with small shields. 
The combatants are unequally matched; what the one achieves by virtue of his strength and superior size, the smaller one attempts to make up for guile and cunning.</t>
  </si>
  <si>
    <t>Wieso kämpfen die Personen?</t>
  </si>
  <si>
    <t>Why do the characters fight?</t>
  </si>
  <si>
    <t>Was befindet sich am Schild der linken Person?</t>
  </si>
  <si>
    <t>What is on the sign of the person on the left?</t>
  </si>
  <si>
    <t>Sind Kämpfe mit diesen Waffen häufig gewesen?</t>
  </si>
  <si>
    <t>Have fights with these weapons been frequent?</t>
  </si>
  <si>
    <t>Haben diese Beiden Menschen wirklich gelebt?</t>
  </si>
  <si>
    <t>Did these two people really live?</t>
  </si>
  <si>
    <t>Tragen diese Männer etwas am Arm?</t>
  </si>
  <si>
    <t>Are these men wearing something on their arms?</t>
  </si>
  <si>
    <t>Ist der Mann rechts den linken Mann am treten?</t>
  </si>
  <si>
    <t>Is the man on the right kicking the man on the left?</t>
  </si>
  <si>
    <t>Waren diese Männer professionelle Kämpfer?</t>
  </si>
  <si>
    <t>Were these men professional fighters?</t>
  </si>
  <si>
    <t>Was haben die Personen für Kleider an?</t>
  </si>
  <si>
    <t>What kind of clothes do the people have on?</t>
  </si>
  <si>
    <t>Was tragen die Kämpfer für Kleidung?</t>
  </si>
  <si>
    <t>What kind of clothes do the fighters wear?</t>
  </si>
  <si>
    <t>Was ist das Ziel?</t>
  </si>
  <si>
    <t>What is the goal?</t>
  </si>
  <si>
    <t>Von wem ist das Mosaik?</t>
  </si>
  <si>
    <t>Who is the mosaic from?</t>
  </si>
  <si>
    <t>were whips common combat equipment?</t>
  </si>
  <si>
    <t>are both gladiators?</t>
  </si>
  <si>
    <t>why are they fighting?</t>
  </si>
  <si>
    <t>How old were gladiators?</t>
  </si>
  <si>
    <t>Welche Gladiatorentypen sind hier dargestellt?</t>
  </si>
  <si>
    <t>What types of gladiators are depicted here?</t>
  </si>
  <si>
    <t>Is this a traditional game?</t>
  </si>
  <si>
    <t>What is it in their left hands?</t>
  </si>
  <si>
    <t>Why do they have different weapons?</t>
  </si>
  <si>
    <t>Gingen diese Kämpfe auch auf Leben und Tod?</t>
  </si>
  <si>
    <t>Were these battles also to the death?</t>
  </si>
  <si>
    <t>Wie wurde entschieden, wer so kämpfte oder in einem richtigen Gladiatorenkampf?</t>
  </si>
  <si>
    <t>How was it decided who fought like this or in a real gladiatorial fight?</t>
  </si>
  <si>
    <t>warum haben viele keine arme?</t>
  </si>
  <si>
    <t>why don't many have arms?</t>
  </si>
  <si>
    <t>Kann man die Peitsche für was anderes benutzen? ( Paul)</t>
  </si>
  <si>
    <t>Can you use the whip for something else?</t>
  </si>
  <si>
    <t>Packen die mehr als 3 Minuten? ( Natürlich mein ich den Kampf)</t>
  </si>
  <si>
    <t>Do they pack more than 3 minutes? (Of course I mean the fight)</t>
  </si>
  <si>
    <t>Löwe und Sklave</t>
  </si>
  <si>
    <t>was macht der Mensch mit dem Löwen</t>
  </si>
  <si>
    <t>what does man do with the lion</t>
  </si>
  <si>
    <t>visiting.lionAndSlave.oldMan</t>
  </si>
  <si>
    <t>The old man depicted in the mosaic is lion's aged keeper.</t>
  </si>
  <si>
    <t>wie alt ist dieses Bild</t>
  </si>
  <si>
    <t>how old is this picture</t>
  </si>
  <si>
    <t>Was hat der was hat der Mann für komische Schuhe an</t>
  </si>
  <si>
    <t>What has the what has the man for funny shoes on</t>
  </si>
  <si>
    <t>Wer hat dieses Mosaik erstellt?</t>
  </si>
  <si>
    <t>Who created this mosaic?</t>
  </si>
  <si>
    <t>Wen stellt die Peson dar?</t>
  </si>
  <si>
    <t>Who does the peson represent?</t>
  </si>
  <si>
    <t>Was für eine Bedeutung hat das Mosaik?</t>
  </si>
  <si>
    <t>What is the significance of the mosaic?</t>
  </si>
  <si>
    <t>visiting.lionAndSlave.story</t>
  </si>
  <si>
    <t>Angered at being forcibly led away from the arena by the aged keeper, the mighty king of the jungle positions his paw on the head of the wild donkey, the last remains of his greedily devoured prey. The artist has exploited every opportunity to give the indignantly dismayed looking beast an awesome and fearful appearance with its bared teeth and mighty mane. Incidentally, this was the first of the illustrated panels to be uncovered in 1853. Next we find, immediately adjacent to the marble basin on its southeast side and situated in the very centre of the tessellated floor.
In the circus, the morning was reserved for the animal rushes (venatio). This included both fights of wild animals among themselves and the fight man against animal. The fighters were either professional animal fighters (bestiarii) or criminals who had been sentenced "ad bestias". Equipment and armament were chosen in such a way that even the animals had a chance. Prisoners and criminals often had to face the animals unarmed.</t>
  </si>
  <si>
    <t>Wieso wird der Löwe auf dem Mosaik dargestellt? Hat dies eine geschichtliche Bedeutung?</t>
  </si>
  <si>
    <t>Why is the lion depicted on the mosaic? Does this have a historical significance?</t>
  </si>
  <si>
    <t>Wieso umarmt der Mann den Löwen?</t>
  </si>
  <si>
    <t>Why is the man hugging the lion?</t>
  </si>
  <si>
    <t>Was hat der Mann in seiner Hand?</t>
  </si>
  <si>
    <t>What does the man have in his hand?</t>
  </si>
  <si>
    <t>Warum kümmert sich der Sklave um einen Löwen?</t>
  </si>
  <si>
    <t>Why does the slave take care of a lion?</t>
  </si>
  <si>
    <t>Warum Löwe?</t>
  </si>
  <si>
    <t>Why lion?</t>
  </si>
  <si>
    <t>Gab es nicht nur schwarze Sklaven?</t>
  </si>
  <si>
    <t>Weren't there only black slaves?</t>
  </si>
  <si>
    <t>Wieso fasst der Mann den Löwen an?</t>
  </si>
  <si>
    <t>Why does the man touch the lion?</t>
  </si>
  <si>
    <t>Was macht der Mann?</t>
  </si>
  <si>
    <t>What does the man do?</t>
  </si>
  <si>
    <t>Wurde der Löwe gezähmt?</t>
  </si>
  <si>
    <t>Has the lion been tamed?</t>
  </si>
  <si>
    <t>visiting.lionAndSlave.tamed</t>
  </si>
  <si>
    <t>The lion was tamed, and the man is his keeper.</t>
  </si>
  <si>
    <t>Why do not the lion kill the slave?</t>
  </si>
  <si>
    <t>Which animal is the food of the lion in this picture?</t>
  </si>
  <si>
    <t>Was hält der Löwe in seiner linken Tatze?</t>
  </si>
  <si>
    <t>What does the lion hold in its left paw?</t>
  </si>
  <si>
    <t>visiting.lionAndSlave.paw</t>
  </si>
  <si>
    <t>The mighty lion positions his paw on the head of the wild donkey, the last remains of his greedily devoured prey.</t>
  </si>
  <si>
    <t>What is this under the lion's foot?</t>
  </si>
  <si>
    <t>Did people actually held lions or is this a symbolic mosaic?</t>
  </si>
  <si>
    <t>Mussten sich Sklaven um die Tiere kümmern?</t>
  </si>
  <si>
    <t>Did slaves have to take care of the animals?</t>
  </si>
  <si>
    <t>Wie wurden die Tiere gehalten?</t>
  </si>
  <si>
    <t>How were the animals kept?</t>
  </si>
  <si>
    <t>Bist du jetzt Du</t>
  </si>
  <si>
    <t>Are you now you</t>
  </si>
  <si>
    <t>Waren die Tiere wirklich so zahm?</t>
  </si>
  <si>
    <t>Were the animals really that tame?</t>
  </si>
  <si>
    <t>are the slave and lion frinds?</t>
  </si>
  <si>
    <t>Panther und Speerwerfer</t>
  </si>
  <si>
    <t>Gab es damals Panther in Rom?</t>
  </si>
  <si>
    <t>Were there panthers in Rome at that time?</t>
  </si>
  <si>
    <t>visiting.pantherAndJavelinThrower.animal</t>
  </si>
  <si>
    <t>Panthers have been known in the circus since the 2nd century BC, after an earlier ban on imports was lifted. The animals arrived in Rome and the provinces mostly from Africa, more rarely from Asia.</t>
  </si>
  <si>
    <t>Wozu wurden damals Panther gejagt?</t>
  </si>
  <si>
    <t>What were panthers hunted for back then?</t>
  </si>
  <si>
    <t>Hat der Mann seine linke Hand verloren?</t>
  </si>
  <si>
    <t>Did the man lose his left hand?</t>
  </si>
  <si>
    <t>visiting.pantherAndJavelinThrower.clothes</t>
  </si>
  <si>
    <t>Person is armed with two spears, he starts the fight against the feline predator in a yellow dress. His left arm is protected with a strong bandage against the attacks of the panther and guard on the feet.</t>
  </si>
  <si>
    <t>Warum hat der Mann gegen diesen Panther gekämpft?</t>
  </si>
  <si>
    <t>Why did the man fight this panther?</t>
  </si>
  <si>
    <t>Warum sind Panther in Rom bekannt?</t>
  </si>
  <si>
    <t>Why are panthers known in Rome?</t>
  </si>
  <si>
    <t>Sind solche Kämpfe häufig vorgekommen?</t>
  </si>
  <si>
    <t>Did such fights occur frequently?</t>
  </si>
  <si>
    <t>War das hier Entertainment für die Zuschauer?</t>
  </si>
  <si>
    <t>Was this entertainment for the audience?</t>
  </si>
  <si>
    <t>Was hat der Panther im Mund?</t>
  </si>
  <si>
    <t>What does the panther have in its mouth?</t>
  </si>
  <si>
    <t>visiting.pantherAndJavelinThrower.fight</t>
  </si>
  <si>
    <t>The fighter has decisively wounded a panther. 
The animal, hit by one of the fencer's lances, desperately tries to pull it out of the bleeding wound with paws and teeth, and the spear breaks off.</t>
  </si>
  <si>
    <t>Ist dies ein Kampf zwischen Mensch und Tier?</t>
  </si>
  <si>
    <t>Is this a battle between man and beast?</t>
  </si>
  <si>
    <t>Gab es solche Kämpfe wirklich?</t>
  </si>
  <si>
    <t>Did such fights really exist?</t>
  </si>
  <si>
    <t>what is it?</t>
  </si>
  <si>
    <t>visiting.pantherAndJavelinThrower.story</t>
  </si>
  <si>
    <t>In the picture medallion located southwest of the main square image of the gladiators, the fighter has decisively wounded a panther. Armed with two spears, he starts the fight against the feline predator in a yellow dress. His left arm is protected with a strong bandage against the attacks of the panther. Happy about the victory, he proudly faces the applauding invisible audience. The animal, hit by one of the fencer's lances, desperately tries to pull it out of the bleeding wound with paws and teeth, and the spear breaks off.</t>
  </si>
  <si>
    <t>Was this a sport during those days?</t>
  </si>
  <si>
    <t>What is the animal in the scene?</t>
  </si>
  <si>
    <t>What is pweson holding in tyhe hand?</t>
  </si>
  <si>
    <t>Is this scene forms typical a everyday life of that period?</t>
  </si>
  <si>
    <t>Tell me more about arms and body gearused by the person the scene.</t>
  </si>
  <si>
    <t>Was trägt der Kämpfer an den Füßen?</t>
  </si>
  <si>
    <t>What does the fighter wear on his feet?</t>
  </si>
  <si>
    <t>Who was jevelin thrower?</t>
  </si>
  <si>
    <t>Why is different the left hand in this work?</t>
  </si>
  <si>
    <t>Why is the panther bleeding?</t>
  </si>
  <si>
    <t>How many mosaics do build up this work?</t>
  </si>
  <si>
    <t>Warum fehlt dem Mensch ein Arm</t>
  </si>
  <si>
    <t>Why is man missing an arm</t>
  </si>
  <si>
    <t>Wird dem Panther symbolcharakter zugeschrieben</t>
  </si>
  <si>
    <t>Is attributed to the panther symbolic character</t>
  </si>
  <si>
    <t>Wem winkt der Speerwerfer zu</t>
  </si>
  <si>
    <t>Who is the javelin thrower waving to</t>
  </si>
  <si>
    <t>Stammt der Zebrochen Speer im Panther auch vom gezeigten Werfer</t>
  </si>
  <si>
    <t>Does the zebrochen spear in the panther also come from the shown thrower</t>
  </si>
  <si>
    <t>Warum musste der Mensch gegen den Panther antreten</t>
  </si>
  <si>
    <t>Why did man have to compete against the panther</t>
  </si>
  <si>
    <t>Woher gab es bei den Römern so exotische Tiere wie einen Panther?</t>
  </si>
  <si>
    <t>Where did the Romans get such exotic animals as a panther?</t>
  </si>
  <si>
    <t>What is the story behind this? (In other words, why is the man hunting a panther?)</t>
  </si>
  <si>
    <t>Why is his left hand cut off?</t>
  </si>
  <si>
    <t>Was ist die Geschichte dahinter? (Mit anderen Worten, warum jagt der Mann einen Panther?)</t>
  </si>
  <si>
    <t>What is the story behind it? (In other words, why is the man hunting a panther?)</t>
  </si>
  <si>
    <t>Warum ist seine linke Hand abgeschnitten?</t>
  </si>
  <si>
    <t>Woher kamen die exotischen Tiere?</t>
  </si>
  <si>
    <t>Where did the exotic animals come from?</t>
  </si>
  <si>
    <t>Welche Waffen durften die Kämpfer nutzen?</t>
  </si>
  <si>
    <t>What weapons were the fighters allowed to use?</t>
  </si>
  <si>
    <t>Wie lange dauerte ein durchschnittlicher Kampf?</t>
  </si>
  <si>
    <t>How long did an average fight last?</t>
  </si>
  <si>
    <t>warum töten Sie Tiere?</t>
  </si>
  <si>
    <t>why do you kill animals?</t>
  </si>
  <si>
    <t>Warum töten sie die Tiere?</t>
  </si>
  <si>
    <t>Why do they kill the animals?</t>
  </si>
  <si>
    <t>Warum haben sie keine Arme?</t>
  </si>
  <si>
    <t>Why don't they have arms?</t>
  </si>
  <si>
    <t>Warum sind die meisten nackt?</t>
  </si>
  <si>
    <t>Why are most of them naked?</t>
  </si>
  <si>
    <t>Haben die Löwen/Tiger - Fleisch gegessen?</t>
  </si>
  <si>
    <t>Did the lions/tigers - eat meat?</t>
  </si>
  <si>
    <t>Gabs noch grössere Tiere die sie geschlachtet haben als Löwe /Tiger?</t>
  </si>
  <si>
    <t>Were there bigger animals that they slaughtered than lion/tiger?</t>
  </si>
  <si>
    <t>Tiger und Wildesel</t>
  </si>
  <si>
    <t>Was passiert hier</t>
  </si>
  <si>
    <t>What happens here</t>
  </si>
  <si>
    <t>visiting.tigerAndWildDonkey.story</t>
  </si>
  <si>
    <t>Under the paw blows of the tiger, the wild ass has fallen to the ground. 
Tiger, the winner of the unequal fight looks around before beginning his meal. The remains of this gruesome banquet can be viewed on the medallion facing oppositely located southwest of the basin.</t>
  </si>
  <si>
    <t>Wieso bildet man eine solche Scene auf einem Mosaik ab?</t>
  </si>
  <si>
    <t>Why do you depict such a scene on a mosaic?</t>
  </si>
  <si>
    <t>Ist dies ein Kampf zwischen den beiden Tieren?</t>
  </si>
  <si>
    <t>Is this a fight between the two animals?</t>
  </si>
  <si>
    <t>visiting.tigerAndWildDonkey.fight</t>
  </si>
  <si>
    <t>This is a fight between tiger and wild donkey.</t>
  </si>
  <si>
    <t>Warum wurde das Motiv gewählt?</t>
  </si>
  <si>
    <t>Why was the motif chosen?</t>
  </si>
  <si>
    <t>Gewinnt der Wildesel hier den Kampf?</t>
  </si>
  <si>
    <t>Does the wild ass win the battle here?</t>
  </si>
  <si>
    <t>Ist das ein Kampf?</t>
  </si>
  <si>
    <t>Is this a fight?</t>
  </si>
  <si>
    <t>Was genau ist ein Wildesel?</t>
  </si>
  <si>
    <t>What exactly is a wild ass?</t>
  </si>
  <si>
    <t>visiting.tigerAndWildDonkey.donkey</t>
  </si>
  <si>
    <t>Wild donkey is a wild member of the horse family.</t>
  </si>
  <si>
    <t>Woher kamen die Raubtiere? Wie konnten sie importiert werden?</t>
  </si>
  <si>
    <t>Where did the predators come from? How could they be imported?</t>
  </si>
  <si>
    <t>How many wild animals are depicted in this muesum?</t>
  </si>
  <si>
    <t>what was the purpose of depicting wild animals?</t>
  </si>
  <si>
    <t>Were tigers local animals there?</t>
  </si>
  <si>
    <t>Wo sind diese beiden Tiere Aneinandergeraten</t>
  </si>
  <si>
    <t>Where are these two animals clashed</t>
  </si>
  <si>
    <t>Gibt es Assoziationen zwischen dem Tiger und Besitzer der Villa</t>
  </si>
  <si>
    <t>Are there associations between the tiger and owner of the villa</t>
  </si>
  <si>
    <t>Hatte die Villa früher Esel gezüchtet?</t>
  </si>
  <si>
    <t>Did the villa used to breed donkeys?</t>
  </si>
  <si>
    <t>Warum sieht es so aus, als wäre der Tiger in der Luft, wird er gerade vom Esel weggeschleudert?</t>
  </si>
  <si>
    <t>Why does it look like the tiger is in the air, is it just being flung away by the donkey?</t>
  </si>
  <si>
    <t>Warum sind auch unter dem Bauch des Tigers Blutspritzer, ist er auch verletzt?</t>
  </si>
  <si>
    <t>Why are there blood splatters under the tiger's belly too, is he injured too?</t>
  </si>
  <si>
    <t>Welche Tierarten wurden für Tierhatzen herangezogen?</t>
  </si>
  <si>
    <t>What species of animals were used for animal hatches?</t>
  </si>
  <si>
    <t>It looks like the horse is attacking the tiger. Is that true?</t>
  </si>
  <si>
    <t>Welche Tiere mussten kämpfen?</t>
  </si>
  <si>
    <t>Which animals had to fight?</t>
  </si>
  <si>
    <t>Haben die Tiere Geschlechtsverkehr?</t>
  </si>
  <si>
    <t>Do the animals have sexual intercourse?</t>
  </si>
  <si>
    <t>Wo haben die Gefährliche Tiere festgehalten?</t>
  </si>
  <si>
    <t>Where did the Dangerous Animals hold?</t>
  </si>
  <si>
    <t>are these animals symbols of something special in those era? why tiger does not seem to eat the wild donkey?</t>
  </si>
  <si>
    <t>Why are these animals fighting?</t>
  </si>
  <si>
    <t>visiting.tigerAndWildDonkey.reason</t>
  </si>
  <si>
    <t>The mosaic shows a vivid picture of the course of the spectacle called by the Romans "munus" in the amphitheater. The program includes animal venationes, in which wild animals are chased on each other and on people, and the climax of the event is the gladiator fights. The scenes from the fighting arena are grouped around the marble basin in the west and around the large square gladiatorial image in the east of the area.</t>
  </si>
  <si>
    <t>Planning</t>
  </si>
  <si>
    <t>Where is it?</t>
  </si>
  <si>
    <t>planning.location</t>
  </si>
  <si>
    <r>
      <rPr>
        <rFont val="Calibri"/>
        <color rgb="FF000000"/>
        <sz val="11.0"/>
        <u/>
      </rPr>
      <t xml:space="preserve"> Google Map Address</t>
    </r>
  </si>
  <si>
    <t xml:space="preserve"> What are their opening hours?</t>
  </si>
  <si>
    <t>planning.openHours</t>
  </si>
  <si>
    <t>Visitors are welcomed from Tuesday till Sunday. You can come anytime from 8:30 am to 12 pm and 1 pm to 6 pm. On Mondays, Villa is closed.</t>
  </si>
  <si>
    <t>What should I see when I visit?</t>
  </si>
  <si>
    <t>planning.attractions</t>
  </si>
  <si>
    <t>The Villa is famous for its mosaics. The Gladiators, the Bath building, Wandelhalle (Foyer), and other interesting historical stories that I'll tell you during your visit.</t>
  </si>
  <si>
    <t>How much time should I spend there?</t>
  </si>
  <si>
    <t>planning.timeToSpend</t>
  </si>
  <si>
    <t>You can spend as much time as you want, but typically you need 45 minutes to see everything and get overwhelmed by the history of the Villa.</t>
  </si>
  <si>
    <t>Do you offer guides?</t>
  </si>
  <si>
    <t>planning.tour.description</t>
  </si>
  <si>
    <t>I'll guide you during your visit, but if you're planning a visit for academic research it's better to /contact the Villa and ask for guidance from an expert.</t>
  </si>
  <si>
    <t>Where can I purchase a ticket?</t>
  </si>
  <si>
    <t>planning.ticket.booking</t>
  </si>
  <si>
    <t>Currently, there is no online ticket booking system in place. Tickets can be booked at counters only.</t>
  </si>
  <si>
    <t>How much is the price of the ticket?</t>
  </si>
  <si>
    <t>planning.ticket.price</t>
  </si>
  <si>
    <t>Currently there is no online ticket booking system in place. Tickets can be booked at counters only. For adults - 1.50 €, For students - 0.75 €.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</si>
</sst>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1.0"/>
      <color theme="1"/>
      <name val="Calibri"/>
    </font>
    <font>
      <sz val="11.0"/>
      <color theme="1"/>
      <name val="Calibri"/>
    </font>
    <font>
      <sz val="11.0"/>
      <color rgb="FF000000"/>
      <name val="Docs-Calibri"/>
    </font>
    <font>
      <sz val="11.0"/>
      <color rgb="FF000000"/>
      <name val="Calibri"/>
    </font>
    <font>
      <sz val="11.0"/>
      <color rgb="FF2B313F"/>
      <name val="Calibri"/>
    </font>
    <font>
      <u/>
      <sz val="11.0"/>
      <color rgb="FF000000"/>
      <name val="Calibri"/>
    </font>
  </fonts>
  <fills count="9">
    <fill>
      <patternFill patternType="none"/>
    </fill>
    <fill>
      <patternFill patternType="lightGray"/>
    </fill>
    <fill>
      <patternFill patternType="solid">
        <fgColor rgb="FF70AD47"/>
        <bgColor rgb="FF70AD47"/>
      </patternFill>
    </fill>
    <fill>
      <patternFill patternType="solid">
        <fgColor rgb="FFE2EFD9"/>
        <bgColor rgb="FFE2EFD9"/>
      </patternFill>
    </fill>
    <fill>
      <patternFill patternType="solid">
        <fgColor rgb="FFDEEAF6"/>
        <bgColor rgb="FFDEEAF6"/>
      </patternFill>
    </fill>
    <fill>
      <patternFill patternType="solid">
        <fgColor rgb="FFBDBDBD"/>
        <bgColor rgb="FFBDBDBD"/>
      </patternFill>
    </fill>
    <fill>
      <patternFill patternType="solid">
        <fgColor theme="0"/>
        <bgColor theme="0"/>
      </patternFill>
    </fill>
    <fill>
      <patternFill patternType="solid">
        <fgColor rgb="FFFFFFFF"/>
        <bgColor rgb="FFFFFFFF"/>
      </patternFill>
    </fill>
    <fill>
      <patternFill patternType="solid">
        <fgColor rgb="FFF3F3F3"/>
        <bgColor rgb="FFF3F3F3"/>
      </patternFill>
    </fill>
  </fills>
  <borders count="3">
    <border/>
    <border>
      <left style="medium">
        <color rgb="FF000000"/>
      </left>
    </border>
    <border>
      <right style="medium">
        <color rgb="FF000000"/>
      </right>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2" fontId="1" numFmtId="0" xfId="0" applyAlignment="1" applyFont="1">
      <alignment vertical="bottom"/>
    </xf>
    <xf borderId="1" fillId="2" fontId="1" numFmtId="0" xfId="0" applyAlignment="1" applyBorder="1" applyFont="1">
      <alignment readingOrder="0" vertical="bottom"/>
    </xf>
    <xf borderId="2" fillId="2" fontId="1" numFmtId="0" xfId="0" applyAlignment="1" applyBorder="1" applyFont="1">
      <alignment readingOrder="0" shrinkToFit="0" vertical="bottom" wrapText="1"/>
    </xf>
    <xf borderId="0" fillId="2" fontId="2" numFmtId="0" xfId="0" applyAlignment="1" applyFont="1">
      <alignment readingOrder="0" vertical="bottom"/>
    </xf>
    <xf borderId="2" fillId="2" fontId="2" numFmtId="0" xfId="0" applyAlignment="1" applyBorder="1" applyFont="1">
      <alignment shrinkToFit="0" vertical="bottom" wrapText="1"/>
    </xf>
    <xf borderId="0" fillId="3" fontId="2" numFmtId="0" xfId="0" applyAlignment="1" applyFill="1" applyFont="1">
      <alignment shrinkToFit="0" vertical="bottom" wrapText="1"/>
    </xf>
    <xf borderId="0" fillId="3" fontId="2" numFmtId="0" xfId="0" applyAlignment="1" applyFont="1">
      <alignment vertical="bottom"/>
    </xf>
    <xf borderId="1" fillId="3" fontId="2" numFmtId="0" xfId="0" applyAlignment="1" applyBorder="1" applyFont="1">
      <alignment vertical="bottom"/>
    </xf>
    <xf borderId="2" fillId="3" fontId="2" numFmtId="0" xfId="0" applyAlignment="1" applyBorder="1" applyFont="1">
      <alignment shrinkToFit="0" vertical="bottom" wrapText="1"/>
    </xf>
    <xf borderId="0" fillId="3" fontId="2" numFmtId="0" xfId="0" applyAlignment="1" applyFont="1">
      <alignment readingOrder="0" vertical="bottom"/>
    </xf>
    <xf borderId="2" fillId="3" fontId="2" numFmtId="0" xfId="0" applyAlignment="1" applyBorder="1" applyFont="1">
      <alignment readingOrder="0" shrinkToFit="0" vertical="bottom" wrapText="1"/>
    </xf>
    <xf borderId="0" fillId="2" fontId="2" numFmtId="0" xfId="0" applyAlignment="1" applyFont="1">
      <alignment shrinkToFit="0" vertical="bottom" wrapText="1"/>
    </xf>
    <xf borderId="0" fillId="2" fontId="2" numFmtId="0" xfId="0" applyAlignment="1" applyFont="1">
      <alignment vertical="bottom"/>
    </xf>
    <xf borderId="1" fillId="2" fontId="2" numFmtId="0" xfId="0" applyAlignment="1" applyBorder="1" applyFont="1">
      <alignment vertical="bottom"/>
    </xf>
    <xf borderId="1" fillId="0" fontId="2" numFmtId="0" xfId="0" applyAlignment="1" applyBorder="1" applyFont="1">
      <alignment vertical="bottom"/>
    </xf>
    <xf borderId="2" fillId="0" fontId="2" numFmtId="0" xfId="0" applyAlignment="1" applyBorder="1" applyFont="1">
      <alignment readingOrder="0" shrinkToFit="0" vertical="bottom" wrapText="1"/>
    </xf>
    <xf borderId="0" fillId="0" fontId="2" numFmtId="0" xfId="0" applyAlignment="1" applyFont="1">
      <alignment readingOrder="0" vertical="bottom"/>
    </xf>
    <xf borderId="0" fillId="4" fontId="2" numFmtId="0" xfId="0" applyAlignment="1" applyFill="1" applyFont="1">
      <alignment shrinkToFit="0" vertical="bottom" wrapText="1"/>
    </xf>
    <xf borderId="0" fillId="4" fontId="2" numFmtId="0" xfId="0" applyAlignment="1" applyFont="1">
      <alignment vertical="bottom"/>
    </xf>
    <xf borderId="0" fillId="0" fontId="2" numFmtId="0" xfId="0" applyAlignment="1" applyFont="1">
      <alignment vertical="bottom"/>
    </xf>
    <xf borderId="2" fillId="0" fontId="2" numFmtId="0" xfId="0" applyAlignment="1" applyBorder="1" applyFont="1">
      <alignment shrinkToFit="0" vertical="bottom" wrapText="1"/>
    </xf>
    <xf borderId="0" fillId="3" fontId="2" numFmtId="0" xfId="0" applyAlignment="1" applyFont="1">
      <alignment horizontal="left" shrinkToFit="0" textRotation="0" vertical="bottom" wrapText="1"/>
    </xf>
    <xf borderId="0" fillId="4" fontId="2" numFmtId="0" xfId="0" applyAlignment="1" applyFont="1">
      <alignment readingOrder="0" shrinkToFit="0" vertical="bottom" wrapText="1"/>
    </xf>
    <xf borderId="0" fillId="3" fontId="2" numFmtId="0" xfId="0" applyAlignment="1" applyFont="1">
      <alignment readingOrder="0" shrinkToFit="0" vertical="bottom" wrapText="1"/>
    </xf>
    <xf borderId="0" fillId="3" fontId="3" numFmtId="0" xfId="0" applyAlignment="1" applyFont="1">
      <alignment horizontal="left" readingOrder="0" shrinkToFit="0" wrapText="1"/>
    </xf>
    <xf borderId="0" fillId="3" fontId="4" numFmtId="0" xfId="0" applyAlignment="1" applyFont="1">
      <alignment readingOrder="0" shrinkToFit="0" wrapText="1"/>
    </xf>
    <xf borderId="0" fillId="2" fontId="4" numFmtId="0" xfId="0" applyAlignment="1" applyFont="1">
      <alignment readingOrder="0" shrinkToFit="0" vertical="top" wrapText="1"/>
    </xf>
    <xf borderId="0" fillId="2" fontId="2" numFmtId="0" xfId="0" applyAlignment="1" applyFont="1">
      <alignment vertical="top"/>
    </xf>
    <xf borderId="1" fillId="2" fontId="2" numFmtId="0" xfId="0" applyAlignment="1" applyBorder="1" applyFont="1">
      <alignment vertical="top"/>
    </xf>
    <xf borderId="2" fillId="2" fontId="2" numFmtId="0" xfId="0" applyAlignment="1" applyBorder="1" applyFont="1">
      <alignment shrinkToFit="0" vertical="top" wrapText="1"/>
    </xf>
    <xf borderId="0" fillId="2" fontId="5" numFmtId="0" xfId="0" applyAlignment="1" applyFont="1">
      <alignment vertical="top"/>
    </xf>
    <xf borderId="2" fillId="2" fontId="4" numFmtId="0" xfId="0" applyAlignment="1" applyBorder="1" applyFont="1">
      <alignment shrinkToFit="0" vertical="top" wrapText="1"/>
    </xf>
    <xf borderId="0" fillId="5" fontId="4" numFmtId="0" xfId="0" applyAlignment="1" applyFill="1" applyFont="1">
      <alignment shrinkToFit="0" vertical="top" wrapText="1"/>
    </xf>
    <xf borderId="0" fillId="5" fontId="4" numFmtId="0" xfId="0" applyAlignment="1" applyFont="1">
      <alignment readingOrder="0" vertical="top"/>
    </xf>
    <xf borderId="1" fillId="6" fontId="4" numFmtId="0" xfId="0" applyAlignment="1" applyBorder="1" applyFill="1" applyFont="1">
      <alignment readingOrder="0" vertical="top"/>
    </xf>
    <xf borderId="2" fillId="6" fontId="4" numFmtId="0" xfId="0" applyAlignment="1" applyBorder="1" applyFont="1">
      <alignment readingOrder="0" shrinkToFit="0" vertical="top" wrapText="1"/>
    </xf>
    <xf borderId="0" fillId="0" fontId="4" numFmtId="0" xfId="0" applyAlignment="1" applyFont="1">
      <alignment vertical="top"/>
    </xf>
    <xf borderId="2" fillId="0" fontId="6" numFmtId="0" xfId="0" applyAlignment="1" applyBorder="1" applyFont="1">
      <alignment shrinkToFit="0" vertical="top" wrapText="1"/>
    </xf>
    <xf borderId="0" fillId="7" fontId="4" numFmtId="0" xfId="0" applyAlignment="1" applyFill="1" applyFont="1">
      <alignment shrinkToFit="0" vertical="top" wrapText="1"/>
    </xf>
    <xf borderId="0" fillId="7" fontId="4" numFmtId="0" xfId="0" applyAlignment="1" applyFont="1">
      <alignment readingOrder="0" vertical="top"/>
    </xf>
    <xf borderId="2" fillId="0" fontId="4" numFmtId="0" xfId="0" applyAlignment="1" applyBorder="1" applyFont="1">
      <alignment shrinkToFit="0" vertical="top" wrapText="1"/>
    </xf>
    <xf borderId="0" fillId="8" fontId="4" numFmtId="0" xfId="0" applyAlignment="1" applyFill="1" applyFont="1">
      <alignment shrinkToFit="0" vertical="top" wrapText="1"/>
    </xf>
    <xf borderId="0" fillId="8" fontId="4" numFmtId="0" xfId="0" applyAlignment="1" applyFont="1">
      <alignment readingOrder="0" vertical="top"/>
    </xf>
    <xf borderId="0" fillId="7" fontId="4" numFmtId="0" xfId="0" applyAlignment="1" applyFont="1">
      <alignment shrinkToFit="0" vertical="bottom" wrapText="1"/>
    </xf>
    <xf borderId="0" fillId="8" fontId="4" numFmtId="0" xfId="0" applyAlignment="1" applyFont="1">
      <alignment vertical="top"/>
    </xf>
    <xf borderId="1" fillId="6" fontId="4" numFmtId="0" xfId="0" applyAlignment="1" applyBorder="1" applyFont="1">
      <alignment vertical="top"/>
    </xf>
    <xf borderId="2" fillId="6" fontId="4" numFmtId="0" xfId="0" applyAlignment="1" applyBorder="1" applyFont="1">
      <alignment shrinkToFit="0" vertical="top" wrapText="1"/>
    </xf>
  </cellXfs>
  <cellStyles count="1">
    <cellStyle xfId="0" name="Normal" builtinId="0"/>
  </cellStyles>
  <dxfs count="3">
    <dxf>
      <font/>
      <fill>
        <patternFill patternType="none"/>
      </fill>
      <border/>
    </dxf>
    <dxf>
      <font/>
      <fill>
        <patternFill patternType="solid">
          <fgColor rgb="FFE2EFD9"/>
          <bgColor rgb="FFE2EFD9"/>
        </patternFill>
      </fill>
      <border/>
    </dxf>
    <dxf>
      <font/>
      <fill>
        <patternFill patternType="solid">
          <fgColor rgb="FFDEEAF6"/>
          <bgColor rgb="FFDEEAF6"/>
        </patternFill>
      </fill>
      <border/>
    </dxf>
  </dxfs>
  <tableStyles count="1">
    <tableStyle count="3" pivot="0" name="All Questions-style">
      <tableStyleElement dxfId="1" type="headerRow"/>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31:D237" displayName="Table_1" id="1">
  <tableColumns count="4">
    <tableColumn name="Column1" id="1"/>
    <tableColumn name="Column2" id="2"/>
    <tableColumn name="Column3" id="3"/>
    <tableColumn name="Column4" id="4"/>
  </tableColumns>
  <tableStyleInfo name="All Question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google.com/search?q=villa+nennig&amp;sxsrf=ALeKk03BO9pJ62nSGStwKgIL4ggUCztjEQ%3A1623248117316&amp;ei=9czAYIv4EofJkwWOuImIAQ&amp;oq=villa+nennig&amp;gs_lcp=Cgdnd3Mtd2l6EAMyBAgjECcyBAgjECcyBggAEBYQHjIGCAAQFhAeMgYIABAWEB4yBggAEBYQHjIGCAAQFhAeMgYIABAWEB4yBggAEBYQHjIGCAAQFhAeOgYIABAHEB46BAgAEB5QnydYnydgzjNoAHACeACAAd8CiAGSBJIBBTIuMy0xmAEAoAEBqgEHZ3dzLXdpesABAQ&amp;sclient=gws-wiz&amp;ved=0ahUKEwjLxqi73orxAhWH5KQKHQ5cAhEQ4dUDCA4&amp;uact=5"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8.0"/>
    <col customWidth="1" min="2" max="2" width="39.29"/>
    <col customWidth="1" min="3" max="4" width="63.43"/>
    <col customWidth="1" min="5" max="5" width="35.57"/>
    <col customWidth="1" min="6" max="6" width="74.43"/>
  </cols>
  <sheetData>
    <row r="1">
      <c r="A1" s="1" t="s">
        <v>0</v>
      </c>
      <c r="B1" s="2" t="s">
        <v>1</v>
      </c>
      <c r="C1" s="3" t="s">
        <v>2</v>
      </c>
      <c r="D1" s="4" t="s">
        <v>3</v>
      </c>
      <c r="E1" s="5"/>
      <c r="F1" s="6"/>
    </row>
    <row r="2">
      <c r="A2" s="7"/>
      <c r="B2" s="8"/>
      <c r="C2" s="9"/>
      <c r="D2" s="10"/>
      <c r="E2" s="11" t="s">
        <v>4</v>
      </c>
      <c r="F2" s="12" t="s">
        <v>5</v>
      </c>
    </row>
    <row r="3">
      <c r="A3" s="13" t="s">
        <v>6</v>
      </c>
      <c r="B3" s="14"/>
      <c r="C3" s="15"/>
      <c r="D3" s="6"/>
      <c r="E3" s="14"/>
      <c r="F3" s="6"/>
    </row>
    <row r="4">
      <c r="A4" s="7" t="s">
        <v>7</v>
      </c>
      <c r="B4" s="8" t="s">
        <v>6</v>
      </c>
      <c r="C4" s="16" t="str">
        <f>IFERROR(__xludf.DUMMYFUNCTION("GOOGLETRANSLATE(A4, ""de"", ""en"")"),"What is this for a scene that is represented here?")</f>
        <v>What is this for a scene that is represented here?</v>
      </c>
      <c r="D4" s="17" t="s">
        <v>8</v>
      </c>
      <c r="E4" s="18" t="s">
        <v>9</v>
      </c>
      <c r="F4" s="17" t="s">
        <v>10</v>
      </c>
    </row>
    <row r="5">
      <c r="A5" s="19" t="s">
        <v>11</v>
      </c>
      <c r="B5" s="20" t="s">
        <v>6</v>
      </c>
      <c r="C5" s="16" t="str">
        <f>IFERROR(__xludf.DUMMYFUNCTION("GOOGLETRANSLATE(A5, ""de"", ""en"")"),"Where was the mosaic found?")</f>
        <v>Where was the mosaic found?</v>
      </c>
      <c r="D5" s="17" t="s">
        <v>12</v>
      </c>
      <c r="E5" s="18" t="s">
        <v>13</v>
      </c>
      <c r="F5" s="17" t="s">
        <v>14</v>
      </c>
    </row>
    <row r="6">
      <c r="A6" s="7" t="s">
        <v>15</v>
      </c>
      <c r="B6" s="8" t="s">
        <v>6</v>
      </c>
      <c r="C6" s="16" t="str">
        <f>IFERROR(__xludf.DUMMYFUNCTION("GOOGLETRANSLATE(A6, ""de"", ""en"")"),"When was the mosaic found?")</f>
        <v>When was the mosaic found?</v>
      </c>
      <c r="D6" s="17" t="s">
        <v>16</v>
      </c>
      <c r="E6" s="21"/>
      <c r="F6" s="22"/>
    </row>
    <row r="7">
      <c r="A7" s="19" t="s">
        <v>17</v>
      </c>
      <c r="B7" s="20" t="s">
        <v>6</v>
      </c>
      <c r="C7" s="16" t="str">
        <f>IFERROR(__xludf.DUMMYFUNCTION("GOOGLETRANSLATE(A7, ""de"", ""en"")"),"How do you know from which century the mosaic comes from?")</f>
        <v>How do you know from which century the mosaic comes from?</v>
      </c>
      <c r="D7" s="17" t="s">
        <v>18</v>
      </c>
      <c r="E7" s="21"/>
      <c r="F7" s="22"/>
    </row>
    <row r="8">
      <c r="A8" s="7" t="s">
        <v>19</v>
      </c>
      <c r="B8" s="8" t="s">
        <v>6</v>
      </c>
      <c r="C8" s="16" t="str">
        <f>IFERROR(__xludf.DUMMYFUNCTION("GOOGLETRANSLATE(A8, ""de"", ""en"")"),"Why do the men have all different clothes on the picture?")</f>
        <v>Why do the men have all different clothes on the picture?</v>
      </c>
      <c r="D8" s="17" t="s">
        <v>20</v>
      </c>
      <c r="E8" s="18" t="s">
        <v>21</v>
      </c>
      <c r="F8" s="17" t="s">
        <v>22</v>
      </c>
    </row>
    <row r="9">
      <c r="A9" s="19" t="s">
        <v>23</v>
      </c>
      <c r="B9" s="20" t="s">
        <v>6</v>
      </c>
      <c r="C9" s="16" t="str">
        <f>IFERROR(__xludf.DUMMYFUNCTION("GOOGLETRANSLATE(A9, ""de"", ""en"")"),"Whip the men to stick to the fight or to keep the bear from the victim?")</f>
        <v>Whip the men to stick to the fight or to keep the bear from the victim?</v>
      </c>
      <c r="D9" s="17" t="s">
        <v>24</v>
      </c>
      <c r="E9" s="18" t="s">
        <v>9</v>
      </c>
      <c r="F9" s="17"/>
    </row>
    <row r="10">
      <c r="A10" s="7" t="s">
        <v>25</v>
      </c>
      <c r="B10" s="8" t="s">
        <v>6</v>
      </c>
      <c r="C10" s="16" t="str">
        <f>IFERROR(__xludf.DUMMYFUNCTION("GOOGLETRANSLATE(A10, ""de"", ""en"")"),"Is the bear fully grow?")</f>
        <v>Is the bear fully grow?</v>
      </c>
      <c r="D10" s="17" t="s">
        <v>26</v>
      </c>
      <c r="E10" s="21"/>
      <c r="F10" s="22"/>
    </row>
    <row r="11">
      <c r="A11" s="19" t="s">
        <v>27</v>
      </c>
      <c r="B11" s="20" t="s">
        <v>6</v>
      </c>
      <c r="C11" s="16" t="str">
        <f>IFERROR(__xludf.DUMMYFUNCTION("GOOGLETRANSLATE(A11, ""de"", ""en"")"),"Is the bear fighting against a person?")</f>
        <v>Is the bear fighting against a person?</v>
      </c>
      <c r="D11" s="17" t="s">
        <v>28</v>
      </c>
      <c r="E11" s="21"/>
      <c r="F11" s="22"/>
    </row>
    <row r="12">
      <c r="A12" s="7" t="s">
        <v>29</v>
      </c>
      <c r="B12" s="8" t="s">
        <v>6</v>
      </c>
      <c r="C12" s="16" t="str">
        <f>IFERROR(__xludf.DUMMYFUNCTION("GOOGLETRANSLATE(A12, ""de"", ""en"")"),"Why is fought with the bear?")</f>
        <v>Why is fought with the bear?</v>
      </c>
      <c r="D12" s="17" t="s">
        <v>30</v>
      </c>
      <c r="E12" s="18" t="s">
        <v>31</v>
      </c>
      <c r="F12" s="17" t="s">
        <v>32</v>
      </c>
    </row>
    <row r="13">
      <c r="A13" s="19" t="s">
        <v>33</v>
      </c>
      <c r="B13" s="20" t="s">
        <v>6</v>
      </c>
      <c r="C13" s="16" t="str">
        <f>IFERROR(__xludf.DUMMYFUNCTION("GOOGLETRANSLATE(A13, ""de"", ""en"")"),"Who käüt?")</f>
        <v>Who käüt?</v>
      </c>
      <c r="D13" s="17" t="s">
        <v>34</v>
      </c>
      <c r="E13" s="21"/>
      <c r="F13" s="22"/>
    </row>
    <row r="14" ht="16.5" customHeight="1">
      <c r="A14" s="7" t="s">
        <v>35</v>
      </c>
      <c r="B14" s="8" t="s">
        <v>6</v>
      </c>
      <c r="C14" s="16" t="str">
        <f>IFERROR(__xludf.DUMMYFUNCTION("GOOGLETRANSLATE(A14, ""de"", ""en"")"),"Why are people fighting?")</f>
        <v>Why are people fighting?</v>
      </c>
      <c r="D14" s="17" t="s">
        <v>36</v>
      </c>
      <c r="E14" s="18" t="s">
        <v>31</v>
      </c>
      <c r="F14" s="22"/>
    </row>
    <row r="15">
      <c r="A15" s="19" t="s">
        <v>37</v>
      </c>
      <c r="B15" s="20" t="s">
        <v>6</v>
      </c>
      <c r="C15" s="16" t="str">
        <f>IFERROR(__xludf.DUMMYFUNCTION("GOOGLETRANSLATE(A15, ""de"", ""en"")"),"Why are they struggling with whips and not with swords and co?")</f>
        <v>Why are they struggling with whips and not with swords and co?</v>
      </c>
      <c r="D15" s="17" t="s">
        <v>38</v>
      </c>
      <c r="E15" s="18" t="s">
        <v>39</v>
      </c>
      <c r="F15" s="17" t="s">
        <v>40</v>
      </c>
    </row>
    <row r="16">
      <c r="A16" s="7" t="s">
        <v>41</v>
      </c>
      <c r="B16" s="8" t="s">
        <v>6</v>
      </c>
      <c r="C16" s="16" t="str">
        <f>IFERROR(__xludf.DUMMYFUNCTION("GOOGLETRANSLATE(A16, ""de"", ""en"")"),"What Animal Is It in The Scene Depicted?")</f>
        <v>What Animal Is It in The Scene Depicted?</v>
      </c>
      <c r="D16" s="22"/>
      <c r="E16" s="18" t="s">
        <v>42</v>
      </c>
      <c r="F16" s="17" t="s">
        <v>43</v>
      </c>
    </row>
    <row r="17">
      <c r="A17" s="19" t="s">
        <v>44</v>
      </c>
      <c r="B17" s="20" t="s">
        <v>6</v>
      </c>
      <c r="C17" s="16" t="str">
        <f>IFERROR(__xludf.DUMMYFUNCTION("GOOGLETRANSLATE(A17, ""de"", ""en"")"),"Is it a Type of Sport Event for to Entertainment During Those Days?")</f>
        <v>Is it a Type of Sport Event for to Entertainment During Those Days?</v>
      </c>
      <c r="D17" s="22"/>
      <c r="E17" s="18" t="s">
        <v>31</v>
      </c>
      <c r="F17" s="22"/>
    </row>
    <row r="18">
      <c r="A18" s="7" t="s">
        <v>45</v>
      </c>
      <c r="B18" s="8" t="s">
        <v>6</v>
      </c>
      <c r="C18" s="16" t="str">
        <f>IFERROR(__xludf.DUMMYFUNCTION("GOOGLETRANSLATE(A18, ""de"", ""en"")"),"What this Roman Mosaic Depicts?")</f>
        <v>What this Roman Mosaic Depicts?</v>
      </c>
      <c r="D18" s="22"/>
      <c r="E18" s="18" t="s">
        <v>9</v>
      </c>
      <c r="F18" s="17"/>
    </row>
    <row r="19">
      <c r="A19" s="19" t="s">
        <v>46</v>
      </c>
      <c r="B19" s="20" t="s">
        <v>6</v>
      </c>
      <c r="C19" s="16" t="str">
        <f>IFERROR(__xludf.DUMMYFUNCTION("GOOGLETRANSLATE(A19, ""de"", ""en"")"),"What Type Of The Arms Are In The Hands Of Person's Depicted In The Scene?")</f>
        <v>What Type Of The Arms Are In The Hands Of Person's Depicted In The Scene?</v>
      </c>
      <c r="D19" s="22"/>
      <c r="E19" s="18" t="s">
        <v>21</v>
      </c>
      <c r="F19" s="17"/>
    </row>
    <row r="20">
      <c r="A20" s="7" t="s">
        <v>47</v>
      </c>
      <c r="B20" s="8" t="s">
        <v>6</v>
      </c>
      <c r="C20" s="16" t="str">
        <f>IFERROR(__xludf.DUMMYFUNCTION("GOOGLETRANSLATE(A20, ""de"", ""en"")"),"WHO Were the Person in The Scene?")</f>
        <v>WHO Were the Person in The Scene?</v>
      </c>
      <c r="D20" s="22"/>
      <c r="E20" s="18" t="s">
        <v>48</v>
      </c>
      <c r="F20" s="17" t="s">
        <v>49</v>
      </c>
    </row>
    <row r="21">
      <c r="A21" s="19" t="s">
        <v>50</v>
      </c>
      <c r="B21" s="20" t="s">
        <v>6</v>
      </c>
      <c r="C21" s="16" t="str">
        <f>IFERROR(__xludf.DUMMYFUNCTION("GOOGLETRANSLATE(A21, ""de"", ""en"")"),"What are the fighters wearing the poor?")</f>
        <v>What are the fighters wearing the poor?</v>
      </c>
      <c r="D21" s="17" t="s">
        <v>51</v>
      </c>
      <c r="E21" s="21"/>
      <c r="F21" s="22"/>
    </row>
    <row r="22">
      <c r="A22" s="7" t="s">
        <v>52</v>
      </c>
      <c r="B22" s="8" t="s">
        <v>6</v>
      </c>
      <c r="C22" s="16" t="str">
        <f>IFERROR(__xludf.DUMMYFUNCTION("GOOGLETRANSLATE(A22, ""de"", ""en"")"),"Who was superior in a bear beam?")</f>
        <v>Who was superior in a bear beam?</v>
      </c>
      <c r="D22" s="17" t="s">
        <v>53</v>
      </c>
      <c r="E22" s="21"/>
      <c r="F22" s="22"/>
    </row>
    <row r="23">
      <c r="A23" s="19" t="s">
        <v>54</v>
      </c>
      <c r="B23" s="20" t="s">
        <v>6</v>
      </c>
      <c r="C23" s="16" t="str">
        <f>IFERROR(__xludf.DUMMYFUNCTION("GOOGLETRANSLATE(A23, ""de"", ""en"")"),"Was the bear really as small as shown in the picture?")</f>
        <v>Was the bear really as small as shown in the picture?</v>
      </c>
      <c r="D23" s="17" t="s">
        <v>55</v>
      </c>
      <c r="E23" s="21"/>
      <c r="F23" s="22"/>
    </row>
    <row r="24">
      <c r="A24" s="7" t="s">
        <v>56</v>
      </c>
      <c r="B24" s="8" t="s">
        <v>6</v>
      </c>
      <c r="C24" s="16" t="str">
        <f>IFERROR(__xludf.DUMMYFUNCTION("GOOGLETRANSLATE(A24, ""de"", ""en"")"),"Are they Hunting Bear or Being Attacked by It?")</f>
        <v>Are they Hunting Bear or Being Attacked by It?</v>
      </c>
      <c r="D24" s="22"/>
      <c r="E24" s="21"/>
      <c r="F24" s="22"/>
    </row>
    <row r="25">
      <c r="A25" s="19" t="s">
        <v>57</v>
      </c>
      <c r="B25" s="20" t="s">
        <v>6</v>
      </c>
      <c r="C25" s="16" t="str">
        <f>IFERROR(__xludf.DUMMYFUNCTION("GOOGLETRANSLATE(A25, ""de"", ""en"")"),"Why Do They Have Whiplash Instead of a Sword?")</f>
        <v>Why Do They Have Whiplash Instead of a Sword?</v>
      </c>
      <c r="D25" s="22"/>
      <c r="E25" s="18" t="s">
        <v>39</v>
      </c>
      <c r="F25" s="22"/>
    </row>
    <row r="26">
      <c r="A26" s="7" t="s">
        <v>58</v>
      </c>
      <c r="B26" s="8" t="s">
        <v>6</v>
      </c>
      <c r="C26" s="16" t="str">
        <f>IFERROR(__xludf.DUMMYFUNCTION("GOOGLETRANSLATE(A26, ""de"", ""en"")"),"How could the fighters win`?")</f>
        <v>How could the fighters win`?</v>
      </c>
      <c r="D26" s="17" t="s">
        <v>59</v>
      </c>
      <c r="E26" s="21"/>
      <c r="F26" s="22"/>
    </row>
    <row r="27">
      <c r="A27" s="19" t="s">
        <v>60</v>
      </c>
      <c r="B27" s="20" t="s">
        <v>6</v>
      </c>
      <c r="C27" s="16" t="str">
        <f>IFERROR(__xludf.DUMMYFUNCTION("GOOGLETRANSLATE(A27, ""de"", ""en"")"),"Who healed the injuries?")</f>
        <v>Who healed the injuries?</v>
      </c>
      <c r="D27" s="17" t="s">
        <v>61</v>
      </c>
      <c r="E27" s="21"/>
      <c r="F27" s="22"/>
    </row>
    <row r="28">
      <c r="A28" s="7" t="s">
        <v>62</v>
      </c>
      <c r="B28" s="8" t="s">
        <v>6</v>
      </c>
      <c r="C28" s="16" t="str">
        <f>IFERROR(__xludf.DUMMYFUNCTION("GOOGLETRANSLATE(A28, ""de"", ""en"")"),"Are the Two Men Standing There Trying to Save the Other Man?")</f>
        <v>Are the Two Men Standing There Trying to Save the Other Man?</v>
      </c>
      <c r="D28" s="22"/>
      <c r="E28" s="21"/>
      <c r="F28" s="22"/>
    </row>
    <row r="29">
      <c r="A29" s="19"/>
      <c r="B29" s="20"/>
      <c r="C29" s="16"/>
      <c r="D29" s="22"/>
      <c r="E29" s="21"/>
      <c r="F29" s="22"/>
    </row>
    <row r="30">
      <c r="A30" s="13" t="s">
        <v>63</v>
      </c>
      <c r="B30" s="14"/>
      <c r="C30" s="15"/>
      <c r="D30" s="6"/>
      <c r="E30" s="14"/>
      <c r="F30" s="6"/>
    </row>
    <row r="31">
      <c r="A31" s="19" t="s">
        <v>64</v>
      </c>
      <c r="B31" s="20" t="s">
        <v>63</v>
      </c>
      <c r="C31" s="16" t="str">
        <f>IFERROR(__xludf.DUMMYFUNCTION("GOOGLETRANSLATE(A31, ""de"", ""en"")"),"Who is the person in the background?")</f>
        <v>Who is the person in the background?</v>
      </c>
      <c r="D31" s="17" t="s">
        <v>65</v>
      </c>
      <c r="E31" s="18" t="s">
        <v>66</v>
      </c>
      <c r="F31" s="17" t="s">
        <v>67</v>
      </c>
    </row>
    <row r="32">
      <c r="A32" s="7" t="s">
        <v>68</v>
      </c>
      <c r="B32" s="8" t="s">
        <v>63</v>
      </c>
      <c r="C32" s="16" t="str">
        <f>IFERROR(__xludf.DUMMYFUNCTION("GOOGLETRANSLATE(A32, ""de"", ""en"")"),"How long does such a fight take?")</f>
        <v>How long does such a fight take?</v>
      </c>
      <c r="D32" s="17" t="s">
        <v>69</v>
      </c>
      <c r="E32" s="21"/>
      <c r="F32" s="22"/>
    </row>
    <row r="33">
      <c r="A33" s="19" t="s">
        <v>70</v>
      </c>
      <c r="B33" s="20" t="s">
        <v>63</v>
      </c>
      <c r="C33" s="16" t="str">
        <f>IFERROR(__xludf.DUMMYFUNCTION("GOOGLETRANSLATE(A33, ""de"", ""en"")"),"For what reason was the fight?")</f>
        <v>For what reason was the fight?</v>
      </c>
      <c r="D33" s="17" t="s">
        <v>71</v>
      </c>
      <c r="E33" s="18" t="s">
        <v>31</v>
      </c>
      <c r="F33" s="22"/>
    </row>
    <row r="34">
      <c r="A34" s="7" t="s">
        <v>72</v>
      </c>
      <c r="B34" s="8" t="s">
        <v>63</v>
      </c>
      <c r="C34" s="16" t="str">
        <f>IFERROR(__xludf.DUMMYFUNCTION("GOOGLETRANSLATE(A34, ""de"", ""en"")"),"What is the name of the ""weapon"" that use the gladiators?")</f>
        <v>What is the name of the "weapon" that use the gladiators?</v>
      </c>
      <c r="D34" s="17" t="s">
        <v>73</v>
      </c>
      <c r="E34" s="18" t="s">
        <v>74</v>
      </c>
      <c r="F34" s="17" t="s">
        <v>75</v>
      </c>
    </row>
    <row r="35">
      <c r="A35" s="19" t="s">
        <v>76</v>
      </c>
      <c r="B35" s="20" t="s">
        <v>63</v>
      </c>
      <c r="C35" s="16" t="str">
        <f>IFERROR(__xludf.DUMMYFUNCTION("GOOGLETRANSLATE(A35, ""de"", ""en"")"),"What does the person do behind the gladiators?")</f>
        <v>What does the person do behind the gladiators?</v>
      </c>
      <c r="D35" s="17" t="s">
        <v>77</v>
      </c>
      <c r="E35" s="18" t="s">
        <v>66</v>
      </c>
      <c r="F35" s="22"/>
    </row>
    <row r="36">
      <c r="A36" s="7" t="s">
        <v>78</v>
      </c>
      <c r="B36" s="8" t="s">
        <v>63</v>
      </c>
      <c r="C36" s="16" t="str">
        <f>IFERROR(__xludf.DUMMYFUNCTION("GOOGLETRANSLATE(A36, ""de"", ""en"")"),"Were the gladiators high at this time?")</f>
        <v>Were the gladiators high at this time?</v>
      </c>
      <c r="D36" s="17" t="s">
        <v>79</v>
      </c>
      <c r="E36" s="21"/>
      <c r="F36" s="22"/>
    </row>
    <row r="37">
      <c r="A37" s="19" t="s">
        <v>80</v>
      </c>
      <c r="B37" s="20" t="s">
        <v>63</v>
      </c>
      <c r="C37" s="16" t="str">
        <f>IFERROR(__xludf.DUMMYFUNCTION("GOOGLETRANSLATE(A37, ""de"", ""en"")"),"What were typical weapons of gladiators?")</f>
        <v>What were typical weapons of gladiators?</v>
      </c>
      <c r="D37" s="17" t="s">
        <v>81</v>
      </c>
      <c r="E37" s="18" t="s">
        <v>74</v>
      </c>
      <c r="F37" s="22"/>
    </row>
    <row r="38">
      <c r="A38" s="7" t="s">
        <v>82</v>
      </c>
      <c r="B38" s="8" t="s">
        <v>63</v>
      </c>
      <c r="C38" s="16" t="str">
        <f>IFERROR(__xludf.DUMMYFUNCTION("GOOGLETRANSLATE(A38, ""de"", ""en"")"),"Who is the man in the background?")</f>
        <v>Who is the man in the background?</v>
      </c>
      <c r="D38" s="17" t="s">
        <v>83</v>
      </c>
      <c r="E38" s="18" t="s">
        <v>66</v>
      </c>
      <c r="F38" s="22"/>
    </row>
    <row r="39">
      <c r="A39" s="19" t="s">
        <v>84</v>
      </c>
      <c r="B39" s="20" t="s">
        <v>63</v>
      </c>
      <c r="C39" s="16" t="str">
        <f>IFERROR(__xludf.DUMMYFUNCTION("GOOGLETRANSLATE(A39, ""de"", ""en"")"),"Where are there like galiators?")</f>
        <v>Where are there like galiators?</v>
      </c>
      <c r="D39" s="17" t="s">
        <v>85</v>
      </c>
      <c r="E39" s="18"/>
      <c r="F39" s="22"/>
    </row>
    <row r="40">
      <c r="A40" s="7" t="s">
        <v>86</v>
      </c>
      <c r="B40" s="8" t="s">
        <v>63</v>
      </c>
      <c r="C40" s="16" t="str">
        <f>IFERROR(__xludf.DUMMYFUNCTION("GOOGLETRANSLATE(A40, ""de"", ""en"")"),"How did a gladiator fight?")</f>
        <v>How did a gladiator fight?</v>
      </c>
      <c r="D40" s="17" t="s">
        <v>87</v>
      </c>
      <c r="E40" s="21"/>
      <c r="F40" s="22"/>
    </row>
    <row r="41">
      <c r="A41" s="19" t="s">
        <v>88</v>
      </c>
      <c r="B41" s="20" t="s">
        <v>63</v>
      </c>
      <c r="C41" s="16" t="str">
        <f>IFERROR(__xludf.DUMMYFUNCTION("GOOGLETRANSLATE(A41, ""de"", ""en"")"),"What are typical weapons of gladiators?")</f>
        <v>What are typical weapons of gladiators?</v>
      </c>
      <c r="D41" s="17" t="s">
        <v>89</v>
      </c>
      <c r="E41" s="18" t="s">
        <v>74</v>
      </c>
      <c r="F41" s="22"/>
    </row>
    <row r="42">
      <c r="A42" s="7" t="s">
        <v>90</v>
      </c>
      <c r="B42" s="8" t="s">
        <v>63</v>
      </c>
      <c r="C42" s="16" t="str">
        <f>IFERROR(__xludf.DUMMYFUNCTION("GOOGLETRANSLATE(A42, ""de"", ""en"")"),"What makes the man with white clothes?")</f>
        <v>What makes the man with white clothes?</v>
      </c>
      <c r="D42" s="17" t="s">
        <v>91</v>
      </c>
      <c r="E42" s="18" t="s">
        <v>66</v>
      </c>
      <c r="F42" s="22"/>
    </row>
    <row r="43">
      <c r="A43" s="19" t="s">
        <v>92</v>
      </c>
      <c r="B43" s="20" t="s">
        <v>63</v>
      </c>
      <c r="C43" s="16" t="str">
        <f>IFERROR(__xludf.DUMMYFUNCTION("GOOGLETRANSLATE(A43, ""de"", ""en"")"),"What is the man with white clothes?")</f>
        <v>What is the man with white clothes?</v>
      </c>
      <c r="D43" s="17" t="s">
        <v>93</v>
      </c>
      <c r="E43" s="18" t="s">
        <v>66</v>
      </c>
      <c r="F43" s="22"/>
    </row>
    <row r="44">
      <c r="A44" s="7" t="s">
        <v>94</v>
      </c>
      <c r="B44" s="8" t="s">
        <v>63</v>
      </c>
      <c r="C44" s="16" t="str">
        <f>IFERROR(__xludf.DUMMYFUNCTION("GOOGLETRANSLATE(A44, ""de"", ""en"")"),"Why does one have a shield and the other?")</f>
        <v>Why does one have a shield and the other?</v>
      </c>
      <c r="D44" s="17" t="s">
        <v>95</v>
      </c>
      <c r="E44" s="18" t="s">
        <v>74</v>
      </c>
      <c r="F44" s="22"/>
    </row>
    <row r="45">
      <c r="A45" s="19" t="s">
        <v>96</v>
      </c>
      <c r="B45" s="20" t="s">
        <v>63</v>
      </c>
      <c r="C45" s="16" t="str">
        <f>IFERROR(__xludf.DUMMYFUNCTION("GOOGLETRANSLATE(A45, ""de"", ""en"")"),"What does the man with white clothes in hand?")</f>
        <v>What does the man with white clothes in hand?</v>
      </c>
      <c r="D45" s="17" t="s">
        <v>97</v>
      </c>
      <c r="E45" s="18" t="s">
        <v>66</v>
      </c>
      <c r="F45" s="22"/>
    </row>
    <row r="46">
      <c r="A46" s="7" t="s">
        <v>98</v>
      </c>
      <c r="B46" s="8" t="s">
        <v>63</v>
      </c>
      <c r="C46" s="16" t="str">
        <f>IFERROR(__xludf.DUMMYFUNCTION("GOOGLETRANSLATE(A46, ""de"", ""en"")"),"Why is fought here?")</f>
        <v>Why is fought here?</v>
      </c>
      <c r="D46" s="17" t="s">
        <v>99</v>
      </c>
      <c r="E46" s="18" t="s">
        <v>31</v>
      </c>
      <c r="F46" s="22"/>
    </row>
    <row r="47">
      <c r="A47" s="19" t="s">
        <v>100</v>
      </c>
      <c r="B47" s="20" t="s">
        <v>63</v>
      </c>
      <c r="C47" s="16" t="str">
        <f>IFERROR(__xludf.DUMMYFUNCTION("GOOGLETRANSLATE(A47, ""de"", ""en"")"),"Why is this mosaic square and not octagonal?")</f>
        <v>Why is this mosaic square and not octagonal?</v>
      </c>
      <c r="D47" s="17" t="s">
        <v>101</v>
      </c>
      <c r="E47" s="21"/>
      <c r="F47" s="22"/>
    </row>
    <row r="48">
      <c r="A48" s="7" t="s">
        <v>102</v>
      </c>
      <c r="B48" s="8" t="s">
        <v>63</v>
      </c>
      <c r="C48" s="16" t="str">
        <f>IFERROR(__xludf.DUMMYFUNCTION("GOOGLETRANSLATE(A48, ""de"", ""en"")"),"What are the gladiators bearing the poor?")</f>
        <v>What are the gladiators bearing the poor?</v>
      </c>
      <c r="D48" s="17" t="s">
        <v>103</v>
      </c>
      <c r="E48" s="21"/>
      <c r="F48" s="22"/>
    </row>
    <row r="49">
      <c r="A49" s="19" t="s">
        <v>104</v>
      </c>
      <c r="B49" s="20" t="s">
        <v>63</v>
      </c>
      <c r="C49" s="16" t="str">
        <f>IFERROR(__xludf.DUMMYFUNCTION("GOOGLETRANSLATE(A49, ""de"", ""en"")"),"Which rules apply to a gladiator's fight?")</f>
        <v>Which rules apply to a gladiator's fight?</v>
      </c>
      <c r="D49" s="17" t="s">
        <v>105</v>
      </c>
      <c r="E49" s="21"/>
      <c r="F49" s="22"/>
    </row>
    <row r="50">
      <c r="A50" s="7" t="s">
        <v>106</v>
      </c>
      <c r="B50" s="8" t="s">
        <v>63</v>
      </c>
      <c r="C50" s="16" t="str">
        <f>IFERROR(__xludf.DUMMYFUNCTION("GOOGLETRANSLATE(A50, ""de"", ""en"")"),"How were gladiators trained?")</f>
        <v>How were gladiators trained?</v>
      </c>
      <c r="D50" s="17" t="s">
        <v>107</v>
      </c>
      <c r="E50" s="21"/>
      <c r="F50" s="22"/>
    </row>
    <row r="51">
      <c r="A51" s="19" t="s">
        <v>108</v>
      </c>
      <c r="B51" s="20" t="s">
        <v>63</v>
      </c>
      <c r="C51" s="16" t="str">
        <f>IFERROR(__xludf.DUMMYFUNCTION("GOOGLETRANSLATE(A51, ""de"", ""en"")"),"How often were gladiator struggles to take place?")</f>
        <v>How often were gladiator struggles to take place?</v>
      </c>
      <c r="D51" s="17" t="s">
        <v>109</v>
      </c>
      <c r="E51" s="21"/>
      <c r="F51" s="22"/>
    </row>
    <row r="52">
      <c r="A52" s="7" t="s">
        <v>110</v>
      </c>
      <c r="B52" s="8" t="s">
        <v>63</v>
      </c>
      <c r="C52" s="16" t="str">
        <f>IFERROR(__xludf.DUMMYFUNCTION("GOOGLETRANSLATE(A52, ""de"", ""en"")"),"Who became Gladiator?")</f>
        <v>Who became Gladiator?</v>
      </c>
      <c r="D52" s="17" t="s">
        <v>111</v>
      </c>
      <c r="E52" s="21"/>
      <c r="F52" s="22"/>
    </row>
    <row r="53">
      <c r="A53" s="19" t="s">
        <v>112</v>
      </c>
      <c r="B53" s="20" t="s">
        <v>63</v>
      </c>
      <c r="C53" s="16" t="str">
        <f>IFERROR(__xludf.DUMMYFUNCTION("GOOGLETRANSLATE(A53, ""de"", ""en"")"),"Why Is One of Gladiators Equiped With Fighting Shield?")</f>
        <v>Why Is One of Gladiators Equiped With Fighting Shield?</v>
      </c>
      <c r="D53" s="22"/>
      <c r="E53" s="18" t="s">
        <v>74</v>
      </c>
      <c r="F53" s="22"/>
    </row>
    <row r="54">
      <c r="A54" s="7" t="s">
        <v>113</v>
      </c>
      <c r="B54" s="8" t="s">
        <v>63</v>
      </c>
      <c r="C54" s="16" t="str">
        <f>IFERROR(__xludf.DUMMYFUNCTION("GOOGLETRANSLATE(A54, ""de"", ""en"")"),"What is the Role of Third Person?")</f>
        <v>What is the Role of Third Person?</v>
      </c>
      <c r="D54" s="22"/>
      <c r="E54" s="18" t="s">
        <v>66</v>
      </c>
      <c r="F54" s="22"/>
    </row>
    <row r="55">
      <c r="A55" s="19" t="s">
        <v>114</v>
      </c>
      <c r="B55" s="20" t="s">
        <v>63</v>
      </c>
      <c r="C55" s="16" t="str">
        <f>IFERROR(__xludf.DUMMYFUNCTION("GOOGLETRANSLATE(A55, ""de"", ""en"")"),"Were They Allowed to Kill Each Other?")</f>
        <v>Were They Allowed to Kill Each Other?</v>
      </c>
      <c r="D55" s="22"/>
      <c r="E55" s="18" t="s">
        <v>115</v>
      </c>
      <c r="F55" s="17" t="s">
        <v>116</v>
      </c>
    </row>
    <row r="56">
      <c r="A56" s="7" t="s">
        <v>117</v>
      </c>
      <c r="B56" s="8" t="s">
        <v>63</v>
      </c>
      <c r="C56" s="16" t="str">
        <f>IFERROR(__xludf.DUMMYFUNCTION("GOOGLETRANSLATE(A56, ""de"", ""en"")"),"Which types of gladiator can be seen?")</f>
        <v>Which types of gladiator can be seen?</v>
      </c>
      <c r="D56" s="17" t="s">
        <v>118</v>
      </c>
      <c r="E56" s="18" t="s">
        <v>119</v>
      </c>
      <c r="F56" s="17" t="s">
        <v>120</v>
      </c>
    </row>
    <row r="57">
      <c r="A57" s="19" t="s">
        <v>121</v>
      </c>
      <c r="B57" s="20" t="s">
        <v>63</v>
      </c>
      <c r="C57" s="16" t="str">
        <f>IFERROR(__xludf.DUMMYFUNCTION("GOOGLETRANSLATE(A57, ""de"", ""en"")"),"Who is the referee")</f>
        <v>Who is the referee</v>
      </c>
      <c r="D57" s="17" t="s">
        <v>122</v>
      </c>
      <c r="E57" s="18" t="s">
        <v>66</v>
      </c>
      <c r="F57" s="22"/>
    </row>
    <row r="58">
      <c r="A58" s="7" t="s">
        <v>123</v>
      </c>
      <c r="B58" s="8" t="s">
        <v>63</v>
      </c>
      <c r="C58" s="16" t="str">
        <f>IFERROR(__xludf.DUMMYFUNCTION("GOOGLETRANSLATE(A58, ""de"", ""en"")"),"The mosaic is on the Olympic Games")</f>
        <v>The mosaic is on the Olympic Games</v>
      </c>
      <c r="D58" s="17" t="s">
        <v>124</v>
      </c>
      <c r="E58" s="21"/>
      <c r="F58" s="22"/>
    </row>
    <row r="59">
      <c r="A59" s="19" t="s">
        <v>125</v>
      </c>
      <c r="B59" s="20" t="s">
        <v>63</v>
      </c>
      <c r="C59" s="16" t="str">
        <f>IFERROR(__xludf.DUMMYFUNCTION("GOOGLETRANSLATE(A59, ""de"", ""en"")"),"Was the owner of the villa a gladiator")</f>
        <v>Was the owner of the villa a gladiator</v>
      </c>
      <c r="D59" s="17" t="s">
        <v>126</v>
      </c>
      <c r="E59" s="21"/>
      <c r="F59" s="22"/>
    </row>
    <row r="60">
      <c r="A60" s="7" t="s">
        <v>127</v>
      </c>
      <c r="B60" s="8" t="s">
        <v>63</v>
      </c>
      <c r="C60" s="16" t="str">
        <f>IFERROR(__xludf.DUMMYFUNCTION("GOOGLETRANSLATE(A60, ""de"", ""en"")"),"Has the trident, which is in the Schil symbolic meaning?")</f>
        <v>Has the trident, which is in the Schil symbolic meaning?</v>
      </c>
      <c r="D60" s="17" t="s">
        <v>128</v>
      </c>
      <c r="E60" s="21"/>
      <c r="F60" s="22"/>
    </row>
    <row r="61">
      <c r="A61" s="19" t="s">
        <v>129</v>
      </c>
      <c r="B61" s="20" t="s">
        <v>63</v>
      </c>
      <c r="C61" s="16" t="str">
        <f>IFERROR(__xludf.DUMMYFUNCTION("GOOGLETRANSLATE(A61, ""de"", ""en"")"),"Where and what were these mosaics created for?")</f>
        <v>Where and what were these mosaics created for?</v>
      </c>
      <c r="D61" s="17" t="s">
        <v>130</v>
      </c>
      <c r="E61" s="21"/>
      <c r="F61" s="22"/>
    </row>
    <row r="62">
      <c r="A62" s="23" t="s">
        <v>131</v>
      </c>
      <c r="B62" s="8" t="s">
        <v>63</v>
      </c>
      <c r="C62" s="16" t="str">
        <f>IFERROR(__xludf.DUMMYFUNCTION("GOOGLETRANSLATE(A62, ""de"", ""en"")"),"? Sretho seams Epah's Tnerffid Evah Ciasom Siht YHW")</f>
        <v>? Sretho seams Epah's Tnerffid Evah Ciasom Siht YHW</v>
      </c>
      <c r="D62" s="22"/>
      <c r="E62" s="21"/>
      <c r="F62" s="22"/>
    </row>
    <row r="63">
      <c r="A63" s="19" t="s">
        <v>132</v>
      </c>
      <c r="B63" s="20" t="s">
        <v>63</v>
      </c>
      <c r="C63" s="16" t="str">
        <f>IFERROR(__xludf.DUMMYFUNCTION("GOOGLETRANSLATE(A63, ""de"", ""en"")"),"How was you gladiator?")</f>
        <v>How was you gladiator?</v>
      </c>
      <c r="D63" s="17" t="s">
        <v>133</v>
      </c>
      <c r="E63" s="21"/>
      <c r="F63" s="22"/>
    </row>
    <row r="64">
      <c r="A64" s="7" t="s">
        <v>134</v>
      </c>
      <c r="B64" s="8" t="s">
        <v>63</v>
      </c>
      <c r="C64" s="16" t="str">
        <f>IFERROR(__xludf.DUMMYFUNCTION("GOOGLETRANSLATE(A64, ""de"", ""en"")"),"Were there many voluntary gladiator fighters?")</f>
        <v>Were there many voluntary gladiator fighters?</v>
      </c>
      <c r="D64" s="17" t="s">
        <v>135</v>
      </c>
      <c r="E64" s="21"/>
      <c r="F64" s="22"/>
    </row>
    <row r="65">
      <c r="A65" s="19" t="s">
        <v>136</v>
      </c>
      <c r="B65" s="20" t="s">
        <v>63</v>
      </c>
      <c r="C65" s="16" t="str">
        <f>IFERROR(__xludf.DUMMYFUNCTION("GOOGLETRANSLATE(A65, ""de"", ""en"")"),"On the basis of which properties was graceful?")</f>
        <v>On the basis of which properties was graceful?</v>
      </c>
      <c r="D65" s="17" t="s">
        <v>137</v>
      </c>
      <c r="E65" s="21"/>
      <c r="F65" s="22"/>
    </row>
    <row r="66">
      <c r="A66" s="7" t="s">
        <v>138</v>
      </c>
      <c r="B66" s="8" t="s">
        <v>63</v>
      </c>
      <c r="C66" s="16" t="str">
        <f>IFERROR(__xludf.DUMMYFUNCTION("GOOGLETRANSLATE(A66, ""de"", ""en"")"),"Gabs also death with gladiator's fight?")</f>
        <v>Gabs also death with gladiator's fight?</v>
      </c>
      <c r="D66" s="17" t="s">
        <v>139</v>
      </c>
      <c r="E66" s="18" t="s">
        <v>115</v>
      </c>
      <c r="F66" s="17"/>
    </row>
    <row r="67">
      <c r="A67" s="19" t="s">
        <v>140</v>
      </c>
      <c r="B67" s="20" t="s">
        <v>63</v>
      </c>
      <c r="C67" s="16" t="str">
        <f>IFERROR(__xludf.DUMMYFUNCTION("GOOGLETRANSLATE(A67, ""de"", ""en"")"),"Were the slave?")</f>
        <v>Were the slave?</v>
      </c>
      <c r="D67" s="17" t="s">
        <v>141</v>
      </c>
      <c r="E67" s="18" t="s">
        <v>48</v>
      </c>
      <c r="F67" s="22"/>
    </row>
    <row r="68">
      <c r="A68" s="7" t="s">
        <v>142</v>
      </c>
      <c r="B68" s="8" t="s">
        <v>63</v>
      </c>
      <c r="C68" s="16" t="str">
        <f>IFERROR(__xludf.DUMMYFUNCTION("GOOGLETRANSLATE(A68, ""de"", ""en"")"),"Who is the Third Man That Is Looking at the Gladiators. Is It Known What is the Reason of the Fight?")</f>
        <v>Who is the Third Man That Is Looking at the Gladiators. Is It Known What is the Reason of the Fight?</v>
      </c>
      <c r="D68" s="17" t="s">
        <v>143</v>
      </c>
      <c r="E68" s="18" t="s">
        <v>66</v>
      </c>
      <c r="F68" s="22"/>
    </row>
    <row r="69">
      <c r="A69" s="24" t="s">
        <v>144</v>
      </c>
      <c r="B69" s="20" t="s">
        <v>63</v>
      </c>
      <c r="C69" s="16" t="str">
        <f>IFERROR(__xludf.DUMMYFUNCTION("GOOGLETRANSLATE(A69, ""de"", ""en"")"),"Were They Forced to Kill Eachother?")</f>
        <v>Were They Forced to Kill Eachother?</v>
      </c>
      <c r="D69" s="22"/>
      <c r="E69" s="18" t="s">
        <v>145</v>
      </c>
      <c r="F69" s="17" t="s">
        <v>146</v>
      </c>
    </row>
    <row r="70">
      <c r="A70" s="25" t="s">
        <v>147</v>
      </c>
      <c r="B70" s="8" t="s">
        <v>63</v>
      </c>
      <c r="C70" s="16" t="str">
        <f>IFERROR(__xludf.DUMMYFUNCTION("GOOGLETRANSLATE(A70, ""de"", ""en"")"),"What Does This Roman Mosaic Depict?")</f>
        <v>What Does This Roman Mosaic Depict?</v>
      </c>
      <c r="D70" s="22"/>
      <c r="E70" s="18" t="s">
        <v>148</v>
      </c>
      <c r="F70" s="17" t="s">
        <v>149</v>
      </c>
    </row>
    <row r="71">
      <c r="A71" s="24"/>
      <c r="B71" s="20" t="s">
        <v>63</v>
      </c>
      <c r="C71" s="16"/>
      <c r="D71" s="22"/>
      <c r="E71" s="18"/>
      <c r="F71" s="17"/>
    </row>
    <row r="72">
      <c r="A72" s="13" t="s">
        <v>150</v>
      </c>
      <c r="B72" s="14"/>
      <c r="C72" s="15"/>
      <c r="D72" s="6"/>
      <c r="E72" s="14"/>
      <c r="F72" s="6"/>
    </row>
    <row r="73">
      <c r="A73" s="26" t="s">
        <v>147</v>
      </c>
      <c r="B73" s="8" t="s">
        <v>150</v>
      </c>
      <c r="C73" s="16" t="str">
        <f>IFERROR(__xludf.DUMMYFUNCTION("GOOGLETRANSLATE(A73, ""de"", ""en"")"),"What Does This Roman Mosaic Depict?")</f>
        <v>What Does This Roman Mosaic Depict?</v>
      </c>
      <c r="D73" s="22"/>
      <c r="E73" s="18" t="s">
        <v>151</v>
      </c>
      <c r="F73" s="17" t="s">
        <v>152</v>
      </c>
    </row>
    <row r="74">
      <c r="A74" s="19" t="s">
        <v>153</v>
      </c>
      <c r="B74" s="20" t="s">
        <v>150</v>
      </c>
      <c r="C74" s="16" t="str">
        <f>IFERROR(__xludf.DUMMYFUNCTION("GOOGLETRANSLATE(A74, ""de"", ""en"")"),"What is this for an instrument that the man holds right?")</f>
        <v>What is this for an instrument that the man holds right?</v>
      </c>
      <c r="D74" s="17" t="s">
        <v>154</v>
      </c>
      <c r="E74" s="18" t="s">
        <v>155</v>
      </c>
      <c r="F74" s="17" t="s">
        <v>156</v>
      </c>
    </row>
    <row r="75">
      <c r="A75" s="7" t="s">
        <v>157</v>
      </c>
      <c r="B75" s="8" t="s">
        <v>150</v>
      </c>
      <c r="C75" s="16" t="str">
        <f>IFERROR(__xludf.DUMMYFUNCTION("GOOGLETRANSLATE(A75, ""de"", ""en"")"),"Which instruments are displayed here?")</f>
        <v>Which instruments are displayed here?</v>
      </c>
      <c r="D75" s="17" t="s">
        <v>158</v>
      </c>
      <c r="E75" s="18" t="s">
        <v>155</v>
      </c>
      <c r="F75" s="17"/>
    </row>
    <row r="76">
      <c r="A76" s="19" t="s">
        <v>159</v>
      </c>
      <c r="B76" s="20" t="s">
        <v>150</v>
      </c>
      <c r="C76" s="16" t="str">
        <f>IFERROR(__xludf.DUMMYFUNCTION("GOOGLETRANSLATE(A76, ""de"", ""en"")"),"Why is the left person on an elevated position?")</f>
        <v>Why is the left person on an elevated position?</v>
      </c>
      <c r="D76" s="17" t="s">
        <v>160</v>
      </c>
      <c r="E76" s="18"/>
      <c r="F76" s="17"/>
    </row>
    <row r="77">
      <c r="A77" s="7" t="s">
        <v>161</v>
      </c>
      <c r="B77" s="8" t="s">
        <v>150</v>
      </c>
      <c r="C77" s="16" t="str">
        <f>IFERROR(__xludf.DUMMYFUNCTION("GOOGLETRANSLATE(A77, ""de"", ""en"")"),"For whom do the musicians play?")</f>
        <v>For whom do the musicians play?</v>
      </c>
      <c r="D77" s="17" t="s">
        <v>162</v>
      </c>
      <c r="E77" s="18" t="s">
        <v>155</v>
      </c>
      <c r="F77" s="17"/>
    </row>
    <row r="78">
      <c r="A78" s="19" t="s">
        <v>163</v>
      </c>
      <c r="B78" s="20" t="s">
        <v>150</v>
      </c>
      <c r="C78" s="16" t="str">
        <f>IFERROR(__xludf.DUMMYFUNCTION("GOOGLETRANSLATE(A78, ""de"", ""en"")"),"What are the two instruments?")</f>
        <v>What are the two instruments?</v>
      </c>
      <c r="D78" s="17" t="s">
        <v>164</v>
      </c>
      <c r="E78" s="18" t="s">
        <v>155</v>
      </c>
      <c r="F78" s="17"/>
    </row>
    <row r="79">
      <c r="A79" s="7" t="s">
        <v>165</v>
      </c>
      <c r="B79" s="8" t="s">
        <v>150</v>
      </c>
      <c r="C79" s="16" t="str">
        <f>IFERROR(__xludf.DUMMYFUNCTION("GOOGLETRANSLATE(A79, ""de"", ""en"")"),"Which songs have these people played?")</f>
        <v>Which songs have these people played?</v>
      </c>
      <c r="D79" s="17" t="s">
        <v>166</v>
      </c>
      <c r="E79" s="21"/>
      <c r="F79" s="22"/>
    </row>
    <row r="80">
      <c r="A80" s="19" t="s">
        <v>167</v>
      </c>
      <c r="B80" s="20" t="s">
        <v>150</v>
      </c>
      <c r="C80" s="16" t="str">
        <f>IFERROR(__xludf.DUMMYFUNCTION("GOOGLETRANSLATE(A80, ""de"", ""en"")"),"What is this pillar thing there?")</f>
        <v>What is this pillar thing there?</v>
      </c>
      <c r="D80" s="17" t="s">
        <v>168</v>
      </c>
      <c r="E80" s="21"/>
      <c r="F80" s="22"/>
    </row>
    <row r="81">
      <c r="A81" s="7" t="s">
        <v>169</v>
      </c>
      <c r="B81" s="8" t="s">
        <v>150</v>
      </c>
      <c r="C81" s="16" t="str">
        <f>IFERROR(__xludf.DUMMYFUNCTION("GOOGLETRANSLATE(A81, ""de"", ""en"")"),"These people often muse together?")</f>
        <v>These people often muse together?</v>
      </c>
      <c r="D81" s="17" t="s">
        <v>170</v>
      </c>
      <c r="E81" s="21"/>
      <c r="F81" s="22"/>
    </row>
    <row r="82">
      <c r="A82" s="19" t="s">
        <v>171</v>
      </c>
      <c r="B82" s="20" t="s">
        <v>150</v>
      </c>
      <c r="C82" s="16" t="str">
        <f>IFERROR(__xludf.DUMMYFUNCTION("GOOGLETRANSLATE(A82, ""de"", ""en"")"),"What today's instrument are these instruments similar?")</f>
        <v>What today's instrument are these instruments similar?</v>
      </c>
      <c r="D82" s="17" t="s">
        <v>172</v>
      </c>
      <c r="E82" s="21"/>
      <c r="F82" s="22"/>
    </row>
    <row r="83">
      <c r="A83" s="7" t="s">
        <v>173</v>
      </c>
      <c r="B83" s="8" t="s">
        <v>150</v>
      </c>
      <c r="C83" s="16" t="str">
        <f>IFERROR(__xludf.DUMMYFUNCTION("GOOGLETRANSLATE(A83, ""de"", ""en"")"),"Which musical instrument is this?")</f>
        <v>Which musical instrument is this?</v>
      </c>
      <c r="D83" s="17" t="s">
        <v>174</v>
      </c>
      <c r="E83" s="18" t="s">
        <v>155</v>
      </c>
      <c r="F83" s="22"/>
    </row>
    <row r="84">
      <c r="A84" s="19" t="s">
        <v>175</v>
      </c>
      <c r="B84" s="20" t="s">
        <v>150</v>
      </c>
      <c r="C84" s="16" t="str">
        <f>IFERROR(__xludf.DUMMYFUNCTION("GOOGLETRANSLATE(A84, ""de"", ""en"")"),"Was the profession considered as a musician then?")</f>
        <v>Was the profession considered as a musician then?</v>
      </c>
      <c r="D84" s="17" t="s">
        <v>176</v>
      </c>
      <c r="E84" s="21"/>
      <c r="F84" s="22"/>
    </row>
    <row r="85">
      <c r="A85" s="7" t="s">
        <v>177</v>
      </c>
      <c r="B85" s="8" t="s">
        <v>150</v>
      </c>
      <c r="C85" s="16" t="str">
        <f>IFERROR(__xludf.DUMMYFUNCTION("GOOGLETRANSLATE(A85, ""de"", ""en"")"),"Where was this time played music?")</f>
        <v>Where was this time played music?</v>
      </c>
      <c r="D85" s="17" t="s">
        <v>178</v>
      </c>
      <c r="E85" s="21"/>
      <c r="F85" s="22"/>
    </row>
    <row r="86">
      <c r="A86" s="19" t="s">
        <v>179</v>
      </c>
      <c r="B86" s="20" t="s">
        <v>150</v>
      </c>
      <c r="C86" s="16" t="str">
        <f>IFERROR(__xludf.DUMMYFUNCTION("GOOGLETRANSLATE(A86, ""de"", ""en"")"),"What are that for instruments?")</f>
        <v>What are that for instruments?</v>
      </c>
      <c r="D86" s="17" t="s">
        <v>180</v>
      </c>
      <c r="E86" s="18" t="s">
        <v>155</v>
      </c>
      <c r="F86" s="22"/>
    </row>
    <row r="87">
      <c r="A87" s="7" t="s">
        <v>181</v>
      </c>
      <c r="B87" s="8" t="s">
        <v>150</v>
      </c>
      <c r="C87" s="16" t="str">
        <f>IFERROR(__xludf.DUMMYFUNCTION("GOOGLETRANSLATE(A87, ""de"", ""en"")"),"How do these institutions sound?")</f>
        <v>How do these institutions sound?</v>
      </c>
      <c r="D87" s="17" t="s">
        <v>182</v>
      </c>
      <c r="E87" s="18" t="s">
        <v>155</v>
      </c>
      <c r="F87" s="22"/>
    </row>
    <row r="88">
      <c r="A88" s="19" t="s">
        <v>183</v>
      </c>
      <c r="B88" s="20" t="s">
        <v>150</v>
      </c>
      <c r="C88" s="16" t="str">
        <f>IFERROR(__xludf.DUMMYFUNCTION("GOOGLETRANSLATE(A88, ""de"", ""en"")"),"What have topics of music have been?")</f>
        <v>What have topics of music have been?</v>
      </c>
      <c r="D88" s="17" t="s">
        <v>184</v>
      </c>
      <c r="E88" s="21"/>
      <c r="F88" s="22"/>
    </row>
    <row r="89">
      <c r="A89" s="7" t="s">
        <v>185</v>
      </c>
      <c r="B89" s="8" t="s">
        <v>150</v>
      </c>
      <c r="C89" s="16" t="str">
        <f>IFERROR(__xludf.DUMMYFUNCTION("GOOGLETRANSLATE(A89, ""de"", ""en"")"),"What Are The Musical Instruments Depicted in This Mosaic?")</f>
        <v>What Are The Musical Instruments Depicted in This Mosaic?</v>
      </c>
      <c r="D89" s="22"/>
      <c r="E89" s="18" t="s">
        <v>155</v>
      </c>
      <c r="F89" s="22"/>
    </row>
    <row r="90">
      <c r="A90" s="19" t="s">
        <v>186</v>
      </c>
      <c r="B90" s="20" t="s">
        <v>150</v>
      </c>
      <c r="C90" s="16" t="str">
        <f>IFERROR(__xludf.DUMMYFUNCTION("GOOGLETRANSLATE(A90, ""de"", ""en"")"),"HOW THESES INSTRUMENTS WORKS?")</f>
        <v>HOW THESES INSTRUMENTS WORKS?</v>
      </c>
      <c r="D90" s="22"/>
      <c r="E90" s="18" t="s">
        <v>155</v>
      </c>
      <c r="F90" s="22"/>
    </row>
    <row r="91">
      <c r="A91" s="7" t="s">
        <v>187</v>
      </c>
      <c r="B91" s="8" t="s">
        <v>150</v>
      </c>
      <c r="C91" s="16" t="str">
        <f>IFERROR(__xludf.DUMMYFUNCTION("GOOGLETRANSLATE(A91, ""de"", ""en"")"),"Were Thesis Musicians Performing for Royal Servie?")</f>
        <v>Were Thesis Musicians Performing for Royal Servie?</v>
      </c>
      <c r="D91" s="22"/>
      <c r="E91" s="21"/>
      <c r="F91" s="22"/>
    </row>
    <row r="92">
      <c r="A92" s="19" t="s">
        <v>188</v>
      </c>
      <c r="B92" s="20" t="s">
        <v>150</v>
      </c>
      <c r="C92" s="16" t="str">
        <f>IFERROR(__xludf.DUMMYFUNCTION("GOOGLETRANSLATE(A92, ""de"", ""en"")"),"Were Thesis Musicians Had Royal Patronage?")</f>
        <v>Were Thesis Musicians Had Royal Patronage?</v>
      </c>
      <c r="D92" s="22"/>
      <c r="E92" s="21"/>
      <c r="F92" s="22"/>
    </row>
    <row r="93">
      <c r="A93" s="7" t="s">
        <v>189</v>
      </c>
      <c r="B93" s="8" t="s">
        <v>150</v>
      </c>
      <c r="C93" s="16" t="str">
        <f>IFERROR(__xludf.DUMMYFUNCTION("GOOGLETRANSLATE(A93, ""de"", ""en"")"),"Are Those Wind Instruments?")</f>
        <v>Are Those Wind Instruments?</v>
      </c>
      <c r="D93" s="22"/>
      <c r="E93" s="18" t="s">
        <v>155</v>
      </c>
      <c r="F93" s="22"/>
    </row>
    <row r="94">
      <c r="A94" s="19" t="s">
        <v>190</v>
      </c>
      <c r="B94" s="20" t="s">
        <v>150</v>
      </c>
      <c r="C94" s="16" t="str">
        <f>IFERROR(__xludf.DUMMYFUNCTION("GOOGLETRANSLATE(A94, ""de"", ""en"")"),"Which instruments do people play in the picture?")</f>
        <v>Which instruments do people play in the picture?</v>
      </c>
      <c r="D94" s="17" t="s">
        <v>191</v>
      </c>
      <c r="E94" s="18" t="s">
        <v>155</v>
      </c>
      <c r="F94" s="22"/>
    </row>
    <row r="95">
      <c r="A95" s="7" t="s">
        <v>192</v>
      </c>
      <c r="B95" s="8" t="s">
        <v>150</v>
      </c>
      <c r="C95" s="16" t="str">
        <f>IFERROR(__xludf.DUMMYFUNCTION("GOOGLETRANSLATE(A95, ""de"", ""en"")"),"How do the instruments sound in the picture?")</f>
        <v>How do the instruments sound in the picture?</v>
      </c>
      <c r="D95" s="17" t="s">
        <v>193</v>
      </c>
      <c r="E95" s="18" t="s">
        <v>155</v>
      </c>
      <c r="F95" s="22"/>
    </row>
    <row r="96">
      <c r="A96" s="19" t="s">
        <v>194</v>
      </c>
      <c r="B96" s="20" t="s">
        <v>150</v>
      </c>
      <c r="C96" s="16" t="str">
        <f>IFERROR(__xludf.DUMMYFUNCTION("GOOGLETRANSLATE(A96, ""de"", ""en"")"),"How does the organ work?")</f>
        <v>How does the organ work?</v>
      </c>
      <c r="D96" s="17" t="s">
        <v>195</v>
      </c>
      <c r="E96" s="18" t="s">
        <v>155</v>
      </c>
      <c r="F96" s="22"/>
    </row>
    <row r="97">
      <c r="A97" s="7" t="s">
        <v>196</v>
      </c>
      <c r="B97" s="8" t="s">
        <v>150</v>
      </c>
      <c r="C97" s="16" t="str">
        <f>IFERROR(__xludf.DUMMYFUNCTION("GOOGLETRANSLATE(A97, ""de"", ""en"")"),"Which instruments are shown here?")</f>
        <v>Which instruments are shown here?</v>
      </c>
      <c r="D97" s="17" t="s">
        <v>197</v>
      </c>
      <c r="E97" s="18" t="s">
        <v>155</v>
      </c>
      <c r="F97" s="22"/>
    </row>
    <row r="98">
      <c r="A98" s="19" t="s">
        <v>198</v>
      </c>
      <c r="B98" s="20" t="s">
        <v>150</v>
      </c>
      <c r="C98" s="16" t="str">
        <f>IFERROR(__xludf.DUMMYFUNCTION("GOOGLETRANSLATE(A98, ""de"", ""en"")"),"Why were there musicians in an arena?")</f>
        <v>Why were there musicians in an arena?</v>
      </c>
      <c r="D98" s="17" t="s">
        <v>199</v>
      </c>
      <c r="E98" s="21"/>
      <c r="F98" s="22"/>
    </row>
    <row r="99">
      <c r="A99" s="7" t="s">
        <v>200</v>
      </c>
      <c r="B99" s="8" t="s">
        <v>150</v>
      </c>
      <c r="C99" s="16" t="str">
        <f>IFERROR(__xludf.DUMMYFUNCTION("GOOGLETRANSLATE(A99, ""de"", ""en"")"),"Which instruments were used at that time?")</f>
        <v>Which instruments were used at that time?</v>
      </c>
      <c r="D99" s="17" t="s">
        <v>201</v>
      </c>
      <c r="E99" s="18" t="s">
        <v>155</v>
      </c>
      <c r="F99" s="22"/>
    </row>
    <row r="100">
      <c r="A100" s="19" t="s">
        <v>202</v>
      </c>
      <c r="B100" s="20" t="s">
        <v>150</v>
      </c>
      <c r="C100" s="16" t="str">
        <f>IFERROR(__xludf.DUMMYFUNCTION("GOOGLETRANSLATE(A100, ""de"", ""en"")"),"Was musician a profession in this time?")</f>
        <v>Was musician a profession in this time?</v>
      </c>
      <c r="D100" s="17" t="s">
        <v>203</v>
      </c>
      <c r="E100" s="21"/>
      <c r="F100" s="22"/>
    </row>
    <row r="101">
      <c r="A101" s="7" t="s">
        <v>204</v>
      </c>
      <c r="B101" s="8" t="s">
        <v>150</v>
      </c>
      <c r="C101" s="16" t="str">
        <f>IFERROR(__xludf.DUMMYFUNCTION("GOOGLETRANSLATE(A101, ""de"", ""en"")"),"How many musicians played in such a spectacle?")</f>
        <v>How many musicians played in such a spectacle?</v>
      </c>
      <c r="D101" s="17" t="s">
        <v>205</v>
      </c>
      <c r="E101" s="21"/>
      <c r="F101" s="22"/>
    </row>
    <row r="102">
      <c r="A102" s="19" t="s">
        <v>206</v>
      </c>
      <c r="B102" s="20" t="s">
        <v>150</v>
      </c>
      <c r="C102" s="16" t="str">
        <f>IFERROR(__xludf.DUMMYFUNCTION("GOOGLETRANSLATE(A102, ""de"", ""en"")"),"How do the instruments mean?")</f>
        <v>How do the instruments mean?</v>
      </c>
      <c r="D102" s="17" t="s">
        <v>207</v>
      </c>
      <c r="E102" s="18" t="s">
        <v>155</v>
      </c>
      <c r="F102" s="22"/>
    </row>
    <row r="103">
      <c r="A103" s="7" t="s">
        <v>208</v>
      </c>
      <c r="B103" s="8" t="s">
        <v>150</v>
      </c>
      <c r="C103" s="16" t="str">
        <f>IFERROR(__xludf.DUMMYFUNCTION("GOOGLETRANSLATE(A103, ""de"", ""en"")"),"Which music did they play?")</f>
        <v>Which music did they play?</v>
      </c>
      <c r="D103" s="17" t="s">
        <v>209</v>
      </c>
      <c r="E103" s="21"/>
      <c r="F103" s="22"/>
    </row>
    <row r="104">
      <c r="A104" s="19" t="s">
        <v>210</v>
      </c>
      <c r="B104" s="20" t="s">
        <v>150</v>
      </c>
      <c r="C104" s="16" t="str">
        <f>IFERROR(__xludf.DUMMYFUNCTION("GOOGLETRANSLATE(A104, ""de"", ""en"")"),"Could You Please Give Some Information About The Instruments That You Play? Where is the location? Is it in Church?")</f>
        <v>Could You Please Give Some Information About The Instruments That You Play? Where is the location? Is it in Church?</v>
      </c>
      <c r="D104" s="22"/>
      <c r="E104" s="18" t="s">
        <v>155</v>
      </c>
      <c r="F104" s="22"/>
    </row>
    <row r="105">
      <c r="A105" s="7"/>
      <c r="B105" s="8"/>
      <c r="C105" s="16"/>
      <c r="D105" s="22"/>
      <c r="E105" s="21"/>
      <c r="F105" s="22"/>
    </row>
    <row r="106">
      <c r="A106" s="13" t="s">
        <v>211</v>
      </c>
      <c r="B106" s="14"/>
      <c r="C106" s="15"/>
      <c r="D106" s="6"/>
      <c r="E106" s="14"/>
      <c r="F106" s="6"/>
    </row>
    <row r="107">
      <c r="A107" s="24" t="s">
        <v>212</v>
      </c>
      <c r="B107" s="20" t="s">
        <v>211</v>
      </c>
      <c r="C107" s="16" t="str">
        <f>IFERROR(__xludf.DUMMYFUNCTION("GOOGLETRANSLATE(A107, ""de"", ""en"")"),"What Child Of Scene Is Depicted Here?")</f>
        <v>What Child Of Scene Is Depicted Here?</v>
      </c>
      <c r="D107" s="22"/>
      <c r="E107" s="18" t="s">
        <v>213</v>
      </c>
      <c r="F107" s="17" t="s">
        <v>214</v>
      </c>
    </row>
    <row r="108">
      <c r="A108" s="7" t="s">
        <v>215</v>
      </c>
      <c r="B108" s="8" t="s">
        <v>211</v>
      </c>
      <c r="C108" s="16" t="str">
        <f>IFERROR(__xludf.DUMMYFUNCTION("GOOGLETRANSLATE(A108, ""de"", ""en"")"),"Why are the people fighting?")</f>
        <v>Why are the people fighting?</v>
      </c>
      <c r="D108" s="17" t="s">
        <v>216</v>
      </c>
      <c r="E108" s="18" t="s">
        <v>31</v>
      </c>
      <c r="F108" s="22"/>
    </row>
    <row r="109">
      <c r="A109" s="19" t="s">
        <v>217</v>
      </c>
      <c r="B109" s="20" t="s">
        <v>211</v>
      </c>
      <c r="C109" s="16" t="str">
        <f>IFERROR(__xludf.DUMMYFUNCTION("GOOGLETRANSLATE(A109, ""de"", ""en"")"),"What is the sign of the left person?")</f>
        <v>What is the sign of the left person?</v>
      </c>
      <c r="D109" s="17" t="s">
        <v>218</v>
      </c>
      <c r="E109" s="21"/>
      <c r="F109" s="22"/>
    </row>
    <row r="110">
      <c r="A110" s="7" t="s">
        <v>219</v>
      </c>
      <c r="B110" s="8" t="s">
        <v>211</v>
      </c>
      <c r="C110" s="16" t="str">
        <f>IFERROR(__xludf.DUMMYFUNCTION("GOOGLETRANSLATE(A110, ""de"", ""en"")"),"Have struggles have been common with these weapons?")</f>
        <v>Have struggles have been common with these weapons?</v>
      </c>
      <c r="D110" s="17" t="s">
        <v>220</v>
      </c>
      <c r="E110" s="21"/>
      <c r="F110" s="22"/>
    </row>
    <row r="111">
      <c r="A111" s="19" t="s">
        <v>221</v>
      </c>
      <c r="B111" s="20" t="s">
        <v>211</v>
      </c>
      <c r="C111" s="16" t="str">
        <f>IFERROR(__xludf.DUMMYFUNCTION("GOOGLETRANSLATE(A111, ""de"", ""en"")"),"Have these two people really lived?")</f>
        <v>Have these two people really lived?</v>
      </c>
      <c r="D111" s="17" t="s">
        <v>222</v>
      </c>
      <c r="E111" s="21"/>
      <c r="F111" s="22"/>
    </row>
    <row r="112">
      <c r="A112" s="7" t="s">
        <v>223</v>
      </c>
      <c r="B112" s="8" t="s">
        <v>211</v>
      </c>
      <c r="C112" s="16" t="str">
        <f>IFERROR(__xludf.DUMMYFUNCTION("GOOGLETRANSLATE(A112, ""de"", ""en"")"),"Do these men wear something on the arm?")</f>
        <v>Do these men wear something on the arm?</v>
      </c>
      <c r="D112" s="17" t="s">
        <v>224</v>
      </c>
      <c r="E112" s="18" t="s">
        <v>21</v>
      </c>
      <c r="F112" s="22"/>
    </row>
    <row r="113">
      <c r="A113" s="19" t="s">
        <v>225</v>
      </c>
      <c r="B113" s="20" t="s">
        <v>211</v>
      </c>
      <c r="C113" s="16" t="str">
        <f>IFERROR(__xludf.DUMMYFUNCTION("GOOGLETRANSLATE(A113, ""de"", ""en"")"),"Is the man on the right on the left man?")</f>
        <v>Is the man on the right on the left man?</v>
      </c>
      <c r="D113" s="17" t="s">
        <v>226</v>
      </c>
      <c r="E113" s="21"/>
      <c r="F113" s="22"/>
    </row>
    <row r="114">
      <c r="A114" s="7" t="s">
        <v>227</v>
      </c>
      <c r="B114" s="8" t="s">
        <v>211</v>
      </c>
      <c r="C114" s="16" t="str">
        <f>IFERROR(__xludf.DUMMYFUNCTION("GOOGLETRANSLATE(A114, ""de"", ""en"")"),"Were these men professional fighters?")</f>
        <v>Were these men professional fighters?</v>
      </c>
      <c r="D114" s="17" t="s">
        <v>228</v>
      </c>
      <c r="E114" s="18" t="s">
        <v>48</v>
      </c>
      <c r="F114" s="22"/>
    </row>
    <row r="115">
      <c r="A115" s="19" t="s">
        <v>229</v>
      </c>
      <c r="B115" s="20" t="s">
        <v>211</v>
      </c>
      <c r="C115" s="16" t="str">
        <f>IFERROR(__xludf.DUMMYFUNCTION("GOOGLETRANSLATE(A115, ""de"", ""en"")"),"What do the people have for clothes?")</f>
        <v>What do the people have for clothes?</v>
      </c>
      <c r="D115" s="17" t="s">
        <v>230</v>
      </c>
      <c r="E115" s="18" t="s">
        <v>21</v>
      </c>
      <c r="F115" s="22"/>
    </row>
    <row r="116">
      <c r="A116" s="7" t="s">
        <v>231</v>
      </c>
      <c r="B116" s="8" t="s">
        <v>211</v>
      </c>
      <c r="C116" s="16" t="str">
        <f>IFERROR(__xludf.DUMMYFUNCTION("GOOGLETRANSLATE(A116, ""de"", ""en"")"),"What are the fighters wearing clothes?")</f>
        <v>What are the fighters wearing clothes?</v>
      </c>
      <c r="D116" s="17" t="s">
        <v>232</v>
      </c>
      <c r="E116" s="18" t="s">
        <v>21</v>
      </c>
      <c r="F116" s="22"/>
    </row>
    <row r="117">
      <c r="A117" s="19" t="s">
        <v>98</v>
      </c>
      <c r="B117" s="20" t="s">
        <v>211</v>
      </c>
      <c r="C117" s="16" t="str">
        <f>IFERROR(__xludf.DUMMYFUNCTION("GOOGLETRANSLATE(A117, ""de"", ""en"")"),"Why is fought here?")</f>
        <v>Why is fought here?</v>
      </c>
      <c r="D117" s="17" t="s">
        <v>99</v>
      </c>
      <c r="E117" s="18" t="s">
        <v>31</v>
      </c>
      <c r="F117" s="22"/>
    </row>
    <row r="118">
      <c r="A118" s="7" t="s">
        <v>233</v>
      </c>
      <c r="B118" s="8" t="s">
        <v>211</v>
      </c>
      <c r="C118" s="16" t="str">
        <f>IFERROR(__xludf.DUMMYFUNCTION("GOOGLETRANSLATE(A118, ""de"", ""en"")"),"What is the goal?")</f>
        <v>What is the goal?</v>
      </c>
      <c r="D118" s="17" t="s">
        <v>234</v>
      </c>
      <c r="E118" s="21"/>
      <c r="F118" s="22"/>
    </row>
    <row r="119">
      <c r="A119" s="19" t="s">
        <v>235</v>
      </c>
      <c r="B119" s="20" t="s">
        <v>211</v>
      </c>
      <c r="C119" s="16" t="str">
        <f>IFERROR(__xludf.DUMMYFUNCTION("GOOGLETRANSLATE(A119, ""de"", ""en"")"),"Who is the mosaic?")</f>
        <v>Who is the mosaic?</v>
      </c>
      <c r="D119" s="17" t="s">
        <v>236</v>
      </c>
      <c r="E119" s="21"/>
      <c r="F119" s="22"/>
    </row>
    <row r="120">
      <c r="A120" s="7" t="s">
        <v>237</v>
      </c>
      <c r="B120" s="8" t="s">
        <v>211</v>
      </c>
      <c r="C120" s="16" t="str">
        <f>IFERROR(__xludf.DUMMYFUNCTION("GOOGLETRANSLATE(A120, ""de"", ""en"")"),"WHEE WHIPS COMMON COMBAT EQUIPMENT?")</f>
        <v>WHEE WHIPS COMMON COMBAT EQUIPMENT?</v>
      </c>
      <c r="D120" s="22"/>
      <c r="E120" s="18" t="s">
        <v>39</v>
      </c>
      <c r="F120" s="22"/>
    </row>
    <row r="121">
      <c r="A121" s="19" t="s">
        <v>238</v>
      </c>
      <c r="B121" s="20" t="s">
        <v>211</v>
      </c>
      <c r="C121" s="16" t="str">
        <f>IFERROR(__xludf.DUMMYFUNCTION("GOOGLETRANSLATE(A121, ""de"", ""en"")"),"Are Both Gladiators?")</f>
        <v>Are Both Gladiators?</v>
      </c>
      <c r="D121" s="22"/>
      <c r="E121" s="18" t="s">
        <v>48</v>
      </c>
      <c r="F121" s="22"/>
    </row>
    <row r="122">
      <c r="A122" s="7" t="s">
        <v>239</v>
      </c>
      <c r="B122" s="8" t="s">
        <v>211</v>
      </c>
      <c r="C122" s="16" t="str">
        <f>IFERROR(__xludf.DUMMYFUNCTION("GOOGLETRANSLATE(A122, ""de"", ""en"")"),"Why Are they fighting?")</f>
        <v>Why Are they fighting?</v>
      </c>
      <c r="D122" s="22"/>
      <c r="E122" s="18" t="s">
        <v>31</v>
      </c>
      <c r="F122" s="22"/>
    </row>
    <row r="123">
      <c r="A123" s="19" t="s">
        <v>240</v>
      </c>
      <c r="B123" s="20" t="s">
        <v>211</v>
      </c>
      <c r="C123" s="16" t="str">
        <f>IFERROR(__xludf.DUMMYFUNCTION("GOOGLETRANSLATE(A123, ""de"", ""en"")"),"How Old Were Gladiators?")</f>
        <v>How Old Were Gladiators?</v>
      </c>
      <c r="D123" s="22"/>
      <c r="E123" s="21"/>
      <c r="F123" s="22"/>
    </row>
    <row r="124">
      <c r="A124" s="7" t="s">
        <v>241</v>
      </c>
      <c r="B124" s="8" t="s">
        <v>211</v>
      </c>
      <c r="C124" s="16" t="str">
        <f>IFERROR(__xludf.DUMMYFUNCTION("GOOGLETRANSLATE(A124, ""de"", ""en"")"),"Which gladiator types are shown here?")</f>
        <v>Which gladiator types are shown here?</v>
      </c>
      <c r="D124" s="17" t="s">
        <v>242</v>
      </c>
      <c r="E124" s="21"/>
      <c r="F124" s="22"/>
    </row>
    <row r="125">
      <c r="A125" s="19" t="s">
        <v>243</v>
      </c>
      <c r="B125" s="20" t="s">
        <v>211</v>
      </c>
      <c r="C125" s="16" t="str">
        <f>IFERROR(__xludf.DUMMYFUNCTION("GOOGLETRANSLATE(A125, ""de"", ""en"")"),"Is this a traditional game?")</f>
        <v>Is this a traditional game?</v>
      </c>
      <c r="D125" s="22"/>
      <c r="E125" s="18" t="s">
        <v>31</v>
      </c>
      <c r="F125" s="22"/>
    </row>
    <row r="126">
      <c r="A126" s="7" t="s">
        <v>244</v>
      </c>
      <c r="B126" s="8" t="s">
        <v>211</v>
      </c>
      <c r="C126" s="16" t="str">
        <f>IFERROR(__xludf.DUMMYFUNCTION("GOOGLETRANSLATE(A126, ""de"", ""en"")"),"What Is It in Their Left Hands?")</f>
        <v>What Is It in Their Left Hands?</v>
      </c>
      <c r="D126" s="22"/>
      <c r="E126" s="21"/>
      <c r="F126" s="22"/>
    </row>
    <row r="127">
      <c r="A127" s="19" t="s">
        <v>245</v>
      </c>
      <c r="B127" s="20" t="s">
        <v>211</v>
      </c>
      <c r="C127" s="16" t="str">
        <f>IFERROR(__xludf.DUMMYFUNCTION("GOOGLETRANSLATE(A127, ""de"", ""en"")"),"Why Do They Have Different Weapons?")</f>
        <v>Why Do They Have Different Weapons?</v>
      </c>
      <c r="D127" s="22"/>
      <c r="E127" s="21"/>
      <c r="F127" s="22"/>
    </row>
    <row r="128">
      <c r="A128" s="7" t="s">
        <v>246</v>
      </c>
      <c r="B128" s="8" t="s">
        <v>211</v>
      </c>
      <c r="C128" s="16" t="str">
        <f>IFERROR(__xludf.DUMMYFUNCTION("GOOGLETRANSLATE(A128, ""de"", ""en"")"),"Do these struggles also went to life and death?")</f>
        <v>Do these struggles also went to life and death?</v>
      </c>
      <c r="D128" s="17" t="s">
        <v>247</v>
      </c>
      <c r="E128" s="18" t="s">
        <v>115</v>
      </c>
      <c r="F128" s="22"/>
    </row>
    <row r="129">
      <c r="A129" s="19" t="s">
        <v>248</v>
      </c>
      <c r="B129" s="20" t="s">
        <v>211</v>
      </c>
      <c r="C129" s="16" t="str">
        <f>IFERROR(__xludf.DUMMYFUNCTION("GOOGLETRANSLATE(A129, ""de"", ""en"")"),"How was he decided who fought or in a real gladiator's fight?")</f>
        <v>How was he decided who fought or in a real gladiator's fight?</v>
      </c>
      <c r="D129" s="17" t="s">
        <v>249</v>
      </c>
      <c r="E129" s="21"/>
      <c r="F129" s="22"/>
    </row>
    <row r="130">
      <c r="A130" s="7" t="s">
        <v>250</v>
      </c>
      <c r="B130" s="8" t="s">
        <v>211</v>
      </c>
      <c r="C130" s="16" t="str">
        <f>IFERROR(__xludf.DUMMYFUNCTION("GOOGLETRANSLATE(A130, ""de"", ""en"")"),"Why do many have no arms?")</f>
        <v>Why do many have no arms?</v>
      </c>
      <c r="D130" s="17" t="s">
        <v>251</v>
      </c>
      <c r="E130" s="18"/>
      <c r="F130" s="22"/>
    </row>
    <row r="131">
      <c r="A131" s="19" t="s">
        <v>252</v>
      </c>
      <c r="B131" s="20" t="s">
        <v>211</v>
      </c>
      <c r="C131" s="16" t="str">
        <f>IFERROR(__xludf.DUMMYFUNCTION("GOOGLETRANSLATE(A131, ""de"", ""en"")"),"Can you use the whip for something else? (Paul)")</f>
        <v>Can you use the whip for something else? (Paul)</v>
      </c>
      <c r="D131" s="17" t="s">
        <v>253</v>
      </c>
      <c r="E131" s="18" t="s">
        <v>39</v>
      </c>
      <c r="F131" s="22"/>
    </row>
    <row r="132">
      <c r="A132" s="7" t="s">
        <v>254</v>
      </c>
      <c r="B132" s="8" t="s">
        <v>211</v>
      </c>
      <c r="C132" s="16" t="str">
        <f>IFERROR(__xludf.DUMMYFUNCTION("GOOGLETRANSLATE(A132, ""de"", ""en"")"),"Pack the more than 3 minutes? (Of course, my fight)")</f>
        <v>Pack the more than 3 minutes? (Of course, my fight)</v>
      </c>
      <c r="D132" s="17" t="s">
        <v>255</v>
      </c>
      <c r="E132" s="21"/>
      <c r="F132" s="22"/>
    </row>
    <row r="133">
      <c r="A133" s="19"/>
      <c r="B133" s="20"/>
      <c r="C133" s="16"/>
      <c r="D133" s="22"/>
      <c r="E133" s="21"/>
      <c r="F133" s="22"/>
    </row>
    <row r="134">
      <c r="A134" s="13" t="s">
        <v>256</v>
      </c>
      <c r="B134" s="14"/>
      <c r="C134" s="15"/>
      <c r="D134" s="6"/>
      <c r="E134" s="14"/>
      <c r="F134" s="6"/>
    </row>
    <row r="135">
      <c r="A135" s="19" t="s">
        <v>257</v>
      </c>
      <c r="B135" s="20" t="s">
        <v>256</v>
      </c>
      <c r="C135" s="16" t="str">
        <f>IFERROR(__xludf.DUMMYFUNCTION("GOOGLETRANSLATE(A135, ""de"", ""en"")"),"What makes man with the lion")</f>
        <v>What makes man with the lion</v>
      </c>
      <c r="D135" s="17" t="s">
        <v>258</v>
      </c>
      <c r="E135" s="18" t="s">
        <v>259</v>
      </c>
      <c r="F135" s="17" t="s">
        <v>260</v>
      </c>
    </row>
    <row r="136">
      <c r="A136" s="7" t="s">
        <v>261</v>
      </c>
      <c r="B136" s="8" t="s">
        <v>256</v>
      </c>
      <c r="C136" s="16" t="str">
        <f>IFERROR(__xludf.DUMMYFUNCTION("GOOGLETRANSLATE(A136, ""de"", ""en"")"),"How old is this picture")</f>
        <v>How old is this picture</v>
      </c>
      <c r="D136" s="17" t="s">
        <v>262</v>
      </c>
      <c r="E136" s="21"/>
      <c r="F136" s="22"/>
    </row>
    <row r="137">
      <c r="A137" s="19" t="s">
        <v>263</v>
      </c>
      <c r="B137" s="20" t="s">
        <v>256</v>
      </c>
      <c r="C137" s="16" t="str">
        <f>IFERROR(__xludf.DUMMYFUNCTION("GOOGLETRANSLATE(A137, ""de"", ""en"")"),"What does the man have for comic shoes")</f>
        <v>What does the man have for comic shoes</v>
      </c>
      <c r="D137" s="17" t="s">
        <v>264</v>
      </c>
      <c r="E137" s="21"/>
      <c r="F137" s="22"/>
    </row>
    <row r="138">
      <c r="A138" s="7" t="s">
        <v>265</v>
      </c>
      <c r="B138" s="8" t="s">
        <v>256</v>
      </c>
      <c r="C138" s="16" t="str">
        <f>IFERROR(__xludf.DUMMYFUNCTION("GOOGLETRANSLATE(A138, ""de"", ""en"")"),"Who created this mosaic?")</f>
        <v>Who created this mosaic?</v>
      </c>
      <c r="D138" s="17" t="s">
        <v>266</v>
      </c>
      <c r="E138" s="21"/>
      <c r="F138" s="22"/>
    </row>
    <row r="139">
      <c r="A139" s="19" t="s">
        <v>267</v>
      </c>
      <c r="B139" s="20" t="s">
        <v>256</v>
      </c>
      <c r="C139" s="16" t="str">
        <f>IFERROR(__xludf.DUMMYFUNCTION("GOOGLETRANSLATE(A139, ""de"", ""en"")"),"Who represents the peson?")</f>
        <v>Who represents the peson?</v>
      </c>
      <c r="D139" s="17" t="s">
        <v>268</v>
      </c>
      <c r="E139" s="18" t="s">
        <v>259</v>
      </c>
      <c r="F139" s="22"/>
    </row>
    <row r="140">
      <c r="A140" s="7" t="s">
        <v>269</v>
      </c>
      <c r="B140" s="8" t="s">
        <v>256</v>
      </c>
      <c r="C140" s="16" t="str">
        <f>IFERROR(__xludf.DUMMYFUNCTION("GOOGLETRANSLATE(A140, ""de"", ""en"")"),"What meaning does the mosaic have?")</f>
        <v>What meaning does the mosaic have?</v>
      </c>
      <c r="D140" s="17" t="s">
        <v>270</v>
      </c>
      <c r="E140" s="18" t="s">
        <v>271</v>
      </c>
      <c r="F140" s="17" t="s">
        <v>272</v>
      </c>
    </row>
    <row r="141">
      <c r="A141" s="19" t="s">
        <v>273</v>
      </c>
      <c r="B141" s="20" t="s">
        <v>256</v>
      </c>
      <c r="C141" s="16" t="str">
        <f>IFERROR(__xludf.DUMMYFUNCTION("GOOGLETRANSLATE(A141, ""de"", ""en"")"),"Why is the lion displayed on the mosaic? Does this have a historical meaning?")</f>
        <v>Why is the lion displayed on the mosaic? Does this have a historical meaning?</v>
      </c>
      <c r="D141" s="17" t="s">
        <v>274</v>
      </c>
      <c r="E141" s="21"/>
      <c r="F141" s="22"/>
    </row>
    <row r="142">
      <c r="A142" s="7" t="s">
        <v>275</v>
      </c>
      <c r="B142" s="8" t="s">
        <v>256</v>
      </c>
      <c r="C142" s="16" t="str">
        <f>IFERROR(__xludf.DUMMYFUNCTION("GOOGLETRANSLATE(A142, ""de"", ""en"")"),"Why does the man hug the lion?")</f>
        <v>Why does the man hug the lion?</v>
      </c>
      <c r="D142" s="17" t="s">
        <v>276</v>
      </c>
      <c r="E142" s="18" t="s">
        <v>259</v>
      </c>
      <c r="F142" s="22"/>
    </row>
    <row r="143">
      <c r="A143" s="19" t="s">
        <v>277</v>
      </c>
      <c r="B143" s="20" t="s">
        <v>256</v>
      </c>
      <c r="C143" s="16" t="str">
        <f>IFERROR(__xludf.DUMMYFUNCTION("GOOGLETRANSLATE(A143, ""de"", ""en"")"),"What does the man in his hand have?")</f>
        <v>What does the man in his hand have?</v>
      </c>
      <c r="D143" s="17" t="s">
        <v>278</v>
      </c>
      <c r="E143" s="18" t="s">
        <v>259</v>
      </c>
      <c r="F143" s="22"/>
    </row>
    <row r="144">
      <c r="A144" s="7" t="s">
        <v>279</v>
      </c>
      <c r="B144" s="8" t="s">
        <v>256</v>
      </c>
      <c r="C144" s="16" t="str">
        <f>IFERROR(__xludf.DUMMYFUNCTION("GOOGLETRANSLATE(A144, ""de"", ""en"")"),"Why does the slave take care of a lion?")</f>
        <v>Why does the slave take care of a lion?</v>
      </c>
      <c r="D144" s="17" t="s">
        <v>280</v>
      </c>
      <c r="E144" s="18" t="s">
        <v>259</v>
      </c>
      <c r="F144" s="22"/>
    </row>
    <row r="145">
      <c r="A145" s="19" t="s">
        <v>281</v>
      </c>
      <c r="B145" s="20" t="s">
        <v>256</v>
      </c>
      <c r="C145" s="16" t="str">
        <f>IFERROR(__xludf.DUMMYFUNCTION("GOOGLETRANSLATE(A145, ""de"", ""en"")"),"Why lion?")</f>
        <v>Why lion?</v>
      </c>
      <c r="D145" s="17" t="s">
        <v>282</v>
      </c>
      <c r="E145" s="21"/>
      <c r="F145" s="22"/>
    </row>
    <row r="146">
      <c r="A146" s="7" t="s">
        <v>283</v>
      </c>
      <c r="B146" s="8" t="s">
        <v>256</v>
      </c>
      <c r="C146" s="16" t="str">
        <f>IFERROR(__xludf.DUMMYFUNCTION("GOOGLETRANSLATE(A146, ""de"", ""en"")"),"Were not only black slaves?")</f>
        <v>Were not only black slaves?</v>
      </c>
      <c r="D146" s="17" t="s">
        <v>284</v>
      </c>
      <c r="E146" s="21"/>
      <c r="F146" s="22"/>
    </row>
    <row r="147">
      <c r="A147" s="19" t="s">
        <v>285</v>
      </c>
      <c r="B147" s="20" t="s">
        <v>256</v>
      </c>
      <c r="C147" s="16" t="str">
        <f>IFERROR(__xludf.DUMMYFUNCTION("GOOGLETRANSLATE(A147, ""de"", ""en"")"),"Why does the man hold the lion?")</f>
        <v>Why does the man hold the lion?</v>
      </c>
      <c r="D147" s="17" t="s">
        <v>286</v>
      </c>
      <c r="E147" s="18" t="s">
        <v>259</v>
      </c>
      <c r="F147" s="22"/>
    </row>
    <row r="148">
      <c r="A148" s="7" t="s">
        <v>287</v>
      </c>
      <c r="B148" s="8" t="s">
        <v>256</v>
      </c>
      <c r="C148" s="16" t="str">
        <f>IFERROR(__xludf.DUMMYFUNCTION("GOOGLETRANSLATE(A148, ""de"", ""en"")"),"What does the man?")</f>
        <v>What does the man?</v>
      </c>
      <c r="D148" s="17" t="s">
        <v>288</v>
      </c>
      <c r="E148" s="18" t="s">
        <v>259</v>
      </c>
      <c r="F148" s="22"/>
    </row>
    <row r="149">
      <c r="A149" s="19" t="s">
        <v>289</v>
      </c>
      <c r="B149" s="20" t="s">
        <v>256</v>
      </c>
      <c r="C149" s="16" t="str">
        <f>IFERROR(__xludf.DUMMYFUNCTION("GOOGLETRANSLATE(A149, ""de"", ""en"")"),"Has the lion been tamed?")</f>
        <v>Has the lion been tamed?</v>
      </c>
      <c r="D149" s="17" t="s">
        <v>290</v>
      </c>
      <c r="E149" s="18" t="s">
        <v>291</v>
      </c>
      <c r="F149" s="17" t="s">
        <v>292</v>
      </c>
    </row>
    <row r="150">
      <c r="A150" s="7" t="s">
        <v>293</v>
      </c>
      <c r="B150" s="8" t="s">
        <v>256</v>
      </c>
      <c r="C150" s="16" t="str">
        <f>IFERROR(__xludf.DUMMYFUNCTION("GOOGLETRANSLATE(A150, ""de"", ""en"")"),"Why Do Not The Lion Kill The Slave?")</f>
        <v>Why Do Not The Lion Kill The Slave?</v>
      </c>
      <c r="D150" s="22"/>
      <c r="E150" s="21"/>
      <c r="F150" s="22"/>
    </row>
    <row r="151">
      <c r="A151" s="19" t="s">
        <v>294</v>
      </c>
      <c r="B151" s="20" t="s">
        <v>256</v>
      </c>
      <c r="C151" s="16" t="str">
        <f>IFERROR(__xludf.DUMMYFUNCTION("GOOGLETRANSLATE(A151, ""de"", ""en"")"),"Which Animal is the Food of the Lion in This Picture?")</f>
        <v>Which Animal is the Food of the Lion in This Picture?</v>
      </c>
      <c r="D151" s="22"/>
      <c r="E151" s="21"/>
      <c r="F151" s="22"/>
    </row>
    <row r="152">
      <c r="A152" s="7" t="s">
        <v>295</v>
      </c>
      <c r="B152" s="8" t="s">
        <v>256</v>
      </c>
      <c r="C152" s="16" t="str">
        <f>IFERROR(__xludf.DUMMYFUNCTION("GOOGLETRANSLATE(A152, ""de"", ""en"")"),"What keeps the lion in his left paw?")</f>
        <v>What keeps the lion in his left paw?</v>
      </c>
      <c r="D152" s="17" t="s">
        <v>296</v>
      </c>
      <c r="E152" s="18" t="s">
        <v>297</v>
      </c>
      <c r="F152" s="17" t="s">
        <v>298</v>
      </c>
    </row>
    <row r="153">
      <c r="A153" s="19" t="s">
        <v>299</v>
      </c>
      <c r="B153" s="20" t="s">
        <v>256</v>
      </c>
      <c r="C153" s="16" t="str">
        <f>IFERROR(__xludf.DUMMYFUNCTION("GOOGLETRANSLATE(A153, ""de"", ""en"")"),"What is this under the Lion's Foot?")</f>
        <v>What is this under the Lion's Foot?</v>
      </c>
      <c r="D153" s="22"/>
      <c r="E153" s="18" t="s">
        <v>297</v>
      </c>
      <c r="F153" s="22"/>
    </row>
    <row r="154">
      <c r="A154" s="7" t="s">
        <v>300</v>
      </c>
      <c r="B154" s="8" t="s">
        <v>256</v>
      </c>
      <c r="C154" s="16" t="str">
        <f>IFERROR(__xludf.DUMMYFUNCTION("GOOGLETRANSLATE(A154, ""de"", ""en"")"),"Did People Actualy Hero Lions Or Is This A Symbolic Mosaic?")</f>
        <v>Did People Actualy Hero Lions Or Is This A Symbolic Mosaic?</v>
      </c>
      <c r="D154" s="22"/>
      <c r="E154" s="21"/>
      <c r="F154" s="22"/>
    </row>
    <row r="155">
      <c r="A155" s="19" t="s">
        <v>301</v>
      </c>
      <c r="B155" s="20" t="s">
        <v>256</v>
      </c>
      <c r="C155" s="16" t="str">
        <f>IFERROR(__xludf.DUMMYFUNCTION("GOOGLETRANSLATE(A155, ""de"", ""en"")"),"Did slaves had to take care of the animals?")</f>
        <v>Did slaves had to take care of the animals?</v>
      </c>
      <c r="D155" s="17" t="s">
        <v>302</v>
      </c>
      <c r="E155" s="18"/>
      <c r="F155" s="22"/>
    </row>
    <row r="156">
      <c r="A156" s="7" t="s">
        <v>303</v>
      </c>
      <c r="B156" s="8" t="s">
        <v>256</v>
      </c>
      <c r="C156" s="16" t="str">
        <f>IFERROR(__xludf.DUMMYFUNCTION("GOOGLETRANSLATE(A156, ""de"", ""en"")"),"How were the animals kept?")</f>
        <v>How were the animals kept?</v>
      </c>
      <c r="D156" s="17" t="s">
        <v>304</v>
      </c>
      <c r="E156" s="21"/>
      <c r="F156" s="22"/>
    </row>
    <row r="157">
      <c r="A157" s="19" t="s">
        <v>305</v>
      </c>
      <c r="B157" s="20" t="s">
        <v>256</v>
      </c>
      <c r="C157" s="16" t="str">
        <f>IFERROR(__xludf.DUMMYFUNCTION("GOOGLETRANSLATE(A157, ""de"", ""en"")"),"Are you now you?")</f>
        <v>Are you now you?</v>
      </c>
      <c r="D157" s="17" t="s">
        <v>306</v>
      </c>
      <c r="E157" s="21"/>
      <c r="F157" s="22"/>
    </row>
    <row r="158">
      <c r="A158" s="7" t="s">
        <v>307</v>
      </c>
      <c r="B158" s="8" t="s">
        <v>256</v>
      </c>
      <c r="C158" s="16" t="str">
        <f>IFERROR(__xludf.DUMMYFUNCTION("GOOGLETRANSLATE(A158, ""de"", ""en"")"),"Were the animals really so tame?")</f>
        <v>Were the animals really so tame?</v>
      </c>
      <c r="D158" s="17" t="s">
        <v>308</v>
      </c>
      <c r="E158" s="18" t="s">
        <v>291</v>
      </c>
      <c r="F158" s="22"/>
    </row>
    <row r="159">
      <c r="A159" s="19" t="s">
        <v>309</v>
      </c>
      <c r="B159" s="20" t="s">
        <v>256</v>
      </c>
      <c r="C159" s="16" t="str">
        <f>IFERROR(__xludf.DUMMYFUNCTION("GOOGLETRANSLATE(A159, ""de"", ""en"")"),"Are the slave and lion frinds?")</f>
        <v>Are the slave and lion frinds?</v>
      </c>
      <c r="D159" s="22"/>
      <c r="E159" s="18" t="s">
        <v>259</v>
      </c>
      <c r="F159" s="22"/>
    </row>
    <row r="160">
      <c r="A160" s="7"/>
      <c r="B160" s="8"/>
      <c r="C160" s="16"/>
      <c r="D160" s="22"/>
      <c r="E160" s="21"/>
      <c r="F160" s="22"/>
    </row>
    <row r="161">
      <c r="A161" s="13" t="s">
        <v>310</v>
      </c>
      <c r="B161" s="14"/>
      <c r="C161" s="15"/>
      <c r="D161" s="6"/>
      <c r="E161" s="14"/>
      <c r="F161" s="6"/>
    </row>
    <row r="162">
      <c r="A162" s="7" t="s">
        <v>311</v>
      </c>
      <c r="B162" s="8" t="s">
        <v>310</v>
      </c>
      <c r="C162" s="16" t="str">
        <f>IFERROR(__xludf.DUMMYFUNCTION("GOOGLETRANSLATE(A162, ""de"", ""en"")"),"Was there Panther in Rome then?")</f>
        <v>Was there Panther in Rome then?</v>
      </c>
      <c r="D162" s="17" t="s">
        <v>312</v>
      </c>
      <c r="E162" s="18" t="s">
        <v>313</v>
      </c>
      <c r="F162" s="17" t="s">
        <v>314</v>
      </c>
    </row>
    <row r="163">
      <c r="A163" s="19" t="s">
        <v>315</v>
      </c>
      <c r="B163" s="20" t="s">
        <v>310</v>
      </c>
      <c r="C163" s="16" t="str">
        <f>IFERROR(__xludf.DUMMYFUNCTION("GOOGLETRANSLATE(A163, ""de"", ""en"")"),"Why were Panther chased at that time?")</f>
        <v>Why were Panther chased at that time?</v>
      </c>
      <c r="D163" s="17" t="s">
        <v>316</v>
      </c>
      <c r="E163" s="21"/>
      <c r="F163" s="22"/>
    </row>
    <row r="164">
      <c r="A164" s="7" t="s">
        <v>317</v>
      </c>
      <c r="B164" s="8" t="s">
        <v>310</v>
      </c>
      <c r="C164" s="16" t="str">
        <f>IFERROR(__xludf.DUMMYFUNCTION("GOOGLETRANSLATE(A164, ""de"", ""en"")"),"Has the man lost his left hand?")</f>
        <v>Has the man lost his left hand?</v>
      </c>
      <c r="D164" s="17" t="s">
        <v>318</v>
      </c>
      <c r="E164" s="18" t="s">
        <v>319</v>
      </c>
      <c r="F164" s="17" t="s">
        <v>320</v>
      </c>
    </row>
    <row r="165">
      <c r="A165" s="19" t="s">
        <v>321</v>
      </c>
      <c r="B165" s="20" t="s">
        <v>310</v>
      </c>
      <c r="C165" s="16" t="str">
        <f>IFERROR(__xludf.DUMMYFUNCTION("GOOGLETRANSLATE(A165, ""de"", ""en"")"),"Why did the man fight against this Panther?")</f>
        <v>Why did the man fight against this Panther?</v>
      </c>
      <c r="D165" s="17" t="s">
        <v>322</v>
      </c>
      <c r="E165" s="18" t="s">
        <v>31</v>
      </c>
      <c r="F165" s="22"/>
    </row>
    <row r="166">
      <c r="A166" s="7" t="s">
        <v>323</v>
      </c>
      <c r="B166" s="8" t="s">
        <v>310</v>
      </c>
      <c r="C166" s="16" t="str">
        <f>IFERROR(__xludf.DUMMYFUNCTION("GOOGLETRANSLATE(A166, ""de"", ""en"")"),"Why are Panther known in Rome?")</f>
        <v>Why are Panther known in Rome?</v>
      </c>
      <c r="D166" s="17" t="s">
        <v>324</v>
      </c>
      <c r="E166" s="18" t="s">
        <v>313</v>
      </c>
      <c r="F166" s="22"/>
    </row>
    <row r="167">
      <c r="A167" s="19" t="s">
        <v>325</v>
      </c>
      <c r="B167" s="20" t="s">
        <v>310</v>
      </c>
      <c r="C167" s="16" t="str">
        <f>IFERROR(__xludf.DUMMYFUNCTION("GOOGLETRANSLATE(A167, ""de"", ""en"")"),"Are such struggles commonly occurred?")</f>
        <v>Are such struggles commonly occurred?</v>
      </c>
      <c r="D167" s="17" t="s">
        <v>326</v>
      </c>
      <c r="E167" s="21"/>
      <c r="F167" s="22"/>
    </row>
    <row r="168">
      <c r="A168" s="7" t="s">
        <v>327</v>
      </c>
      <c r="B168" s="8" t="s">
        <v>310</v>
      </c>
      <c r="C168" s="16" t="str">
        <f>IFERROR(__xludf.DUMMYFUNCTION("GOOGLETRANSLATE(A168, ""de"", ""en"")"),"Was this entertainment for the viewers?")</f>
        <v>Was this entertainment for the viewers?</v>
      </c>
      <c r="D168" s="17" t="s">
        <v>328</v>
      </c>
      <c r="E168" s="18" t="s">
        <v>31</v>
      </c>
      <c r="F168" s="22"/>
    </row>
    <row r="169">
      <c r="A169" s="19" t="s">
        <v>329</v>
      </c>
      <c r="B169" s="20" t="s">
        <v>310</v>
      </c>
      <c r="C169" s="16" t="str">
        <f>IFERROR(__xludf.DUMMYFUNCTION("GOOGLETRANSLATE(A169, ""de"", ""en"")"),"What does the Panther in the mouth have?")</f>
        <v>What does the Panther in the mouth have?</v>
      </c>
      <c r="D169" s="17" t="s">
        <v>330</v>
      </c>
      <c r="E169" s="18" t="s">
        <v>331</v>
      </c>
      <c r="F169" s="17" t="s">
        <v>332</v>
      </c>
    </row>
    <row r="170">
      <c r="A170" s="7" t="s">
        <v>333</v>
      </c>
      <c r="B170" s="8" t="s">
        <v>310</v>
      </c>
      <c r="C170" s="16" t="str">
        <f>IFERROR(__xludf.DUMMYFUNCTION("GOOGLETRANSLATE(A170, ""de"", ""en"")"),"Is this a fight between humans and animals?")</f>
        <v>Is this a fight between humans and animals?</v>
      </c>
      <c r="D170" s="17" t="s">
        <v>334</v>
      </c>
      <c r="E170" s="18" t="s">
        <v>331</v>
      </c>
      <c r="F170" s="22"/>
    </row>
    <row r="171">
      <c r="A171" s="19" t="s">
        <v>335</v>
      </c>
      <c r="B171" s="20" t="s">
        <v>310</v>
      </c>
      <c r="C171" s="16" t="str">
        <f>IFERROR(__xludf.DUMMYFUNCTION("GOOGLETRANSLATE(A171, ""de"", ""en"")"),"Were there such fighting really?")</f>
        <v>Were there such fighting really?</v>
      </c>
      <c r="D171" s="17" t="s">
        <v>336</v>
      </c>
      <c r="E171" s="21"/>
      <c r="F171" s="22"/>
    </row>
    <row r="172">
      <c r="A172" s="7" t="s">
        <v>337</v>
      </c>
      <c r="B172" s="8" t="s">
        <v>310</v>
      </c>
      <c r="C172" s="16" t="str">
        <f>IFERROR(__xludf.DUMMYFUNCTION("GOOGLETRANSLATE(A172, ""de"", ""en"")"),"What is it?")</f>
        <v>What is it?</v>
      </c>
      <c r="D172" s="22"/>
      <c r="E172" s="18" t="s">
        <v>338</v>
      </c>
      <c r="F172" s="17" t="s">
        <v>339</v>
      </c>
    </row>
    <row r="173">
      <c r="A173" s="19" t="s">
        <v>340</v>
      </c>
      <c r="B173" s="20" t="s">
        <v>310</v>
      </c>
      <c r="C173" s="16" t="str">
        <f>IFERROR(__xludf.DUMMYFUNCTION("GOOGLETRANSLATE(A173, ""de"", ""en"")"),"What this a sport During Those Days?")</f>
        <v>What this a sport During Those Days?</v>
      </c>
      <c r="D173" s="22"/>
      <c r="E173" s="18" t="s">
        <v>31</v>
      </c>
      <c r="F173" s="22"/>
    </row>
    <row r="174">
      <c r="A174" s="7" t="s">
        <v>341</v>
      </c>
      <c r="B174" s="8" t="s">
        <v>310</v>
      </c>
      <c r="C174" s="16" t="str">
        <f>IFERROR(__xludf.DUMMYFUNCTION("GOOGLETRANSLATE(A174, ""de"", ""en"")"),"What is the animal in the scene?")</f>
        <v>What is the animal in the scene?</v>
      </c>
      <c r="D174" s="22"/>
      <c r="E174" s="18" t="s">
        <v>313</v>
      </c>
      <c r="F174" s="22"/>
    </row>
    <row r="175">
      <c r="A175" s="19" t="s">
        <v>342</v>
      </c>
      <c r="B175" s="20" t="s">
        <v>310</v>
      </c>
      <c r="C175" s="16" t="str">
        <f>IFERROR(__xludf.DUMMYFUNCTION("GOOGLETRANSLATE(A175, ""de"", ""en"")"),"What Is Pweson Holding in Tyhe Hand?")</f>
        <v>What Is Pweson Holding in Tyhe Hand?</v>
      </c>
      <c r="D175" s="22"/>
      <c r="E175" s="18" t="s">
        <v>319</v>
      </c>
      <c r="F175" s="22"/>
    </row>
    <row r="176">
      <c r="A176" s="7" t="s">
        <v>343</v>
      </c>
      <c r="B176" s="8" t="s">
        <v>310</v>
      </c>
      <c r="C176" s="16" t="str">
        <f>IFERROR(__xludf.DUMMYFUNCTION("GOOGLETRANSLATE(A176, ""de"", ""en"")"),"Is This Scene Forms Typical A Everyday Life Of That Period?")</f>
        <v>Is This Scene Forms Typical A Everyday Life Of That Period?</v>
      </c>
      <c r="D176" s="22"/>
      <c r="E176" s="21"/>
      <c r="F176" s="22"/>
    </row>
    <row r="177">
      <c r="A177" s="19" t="s">
        <v>344</v>
      </c>
      <c r="B177" s="20" t="s">
        <v>310</v>
      </c>
      <c r="C177" s="16" t="str">
        <f>IFERROR(__xludf.DUMMYFUNCTION("GOOGLETRANSLATE(A177, ""de"", ""en"")"),"Tell Me More about Arms and Body Gearused by the person The Scene.")</f>
        <v>Tell Me More about Arms and Body Gearused by the person The Scene.</v>
      </c>
      <c r="D177" s="22"/>
      <c r="E177" s="18" t="s">
        <v>319</v>
      </c>
      <c r="F177" s="22"/>
    </row>
    <row r="178">
      <c r="A178" s="7" t="s">
        <v>345</v>
      </c>
      <c r="B178" s="8" t="s">
        <v>310</v>
      </c>
      <c r="C178" s="16" t="str">
        <f>IFERROR(__xludf.DUMMYFUNCTION("GOOGLETRANSLATE(A178, ""de"", ""en"")"),"What does the fighter wear on your feet?")</f>
        <v>What does the fighter wear on your feet?</v>
      </c>
      <c r="D178" s="17" t="s">
        <v>346</v>
      </c>
      <c r="E178" s="18" t="s">
        <v>319</v>
      </c>
      <c r="F178" s="22"/>
    </row>
    <row r="179">
      <c r="A179" s="19" t="s">
        <v>347</v>
      </c>
      <c r="B179" s="20" t="s">
        <v>310</v>
      </c>
      <c r="C179" s="16" t="str">
        <f>IFERROR(__xludf.DUMMYFUNCTION("GOOGLETRANSLATE(A179, ""de"", ""en"")"),"Who What JeVelin Thrower?")</f>
        <v>Who What JeVelin Thrower?</v>
      </c>
      <c r="D179" s="22"/>
      <c r="E179" s="18" t="s">
        <v>48</v>
      </c>
      <c r="F179" s="22"/>
    </row>
    <row r="180">
      <c r="A180" s="7" t="s">
        <v>348</v>
      </c>
      <c r="B180" s="8" t="s">
        <v>310</v>
      </c>
      <c r="C180" s="16" t="str">
        <f>IFERROR(__xludf.DUMMYFUNCTION("GOOGLETRANSLATE(A180, ""de"", ""en"")"),"Why Is Different The Left Hand In This Work?")</f>
        <v>Why Is Different The Left Hand In This Work?</v>
      </c>
      <c r="D180" s="22"/>
      <c r="E180" s="18" t="s">
        <v>21</v>
      </c>
      <c r="F180" s="22"/>
    </row>
    <row r="181">
      <c r="A181" s="19" t="s">
        <v>349</v>
      </c>
      <c r="B181" s="20" t="s">
        <v>310</v>
      </c>
      <c r="C181" s="16" t="str">
        <f>IFERROR(__xludf.DUMMYFUNCTION("GOOGLETRANSLATE(A181, ""de"", ""en"")"),"Why is the Panther Bleeding?")</f>
        <v>Why is the Panther Bleeding?</v>
      </c>
      <c r="D181" s="22"/>
      <c r="E181" s="18" t="s">
        <v>331</v>
      </c>
      <c r="F181" s="22"/>
    </row>
    <row r="182">
      <c r="A182" s="7" t="s">
        <v>350</v>
      </c>
      <c r="B182" s="8" t="s">
        <v>310</v>
      </c>
      <c r="C182" s="16" t="str">
        <f>IFERROR(__xludf.DUMMYFUNCTION("GOOGLETRANSLATE(A182, ""de"", ""en"")"),"How Many Mosaics Do Build Up This Work?")</f>
        <v>How Many Mosaics Do Build Up This Work?</v>
      </c>
      <c r="D182" s="22"/>
      <c r="E182" s="21"/>
      <c r="F182" s="22"/>
    </row>
    <row r="183">
      <c r="A183" s="19" t="s">
        <v>351</v>
      </c>
      <c r="B183" s="20" t="s">
        <v>310</v>
      </c>
      <c r="C183" s="16" t="str">
        <f>IFERROR(__xludf.DUMMYFUNCTION("GOOGLETRANSLATE(A183, ""de"", ""en"")"),"Why is human missing a poor")</f>
        <v>Why is human missing a poor</v>
      </c>
      <c r="D183" s="17" t="s">
        <v>352</v>
      </c>
      <c r="E183" s="21"/>
      <c r="F183" s="22"/>
    </row>
    <row r="184">
      <c r="A184" s="7" t="s">
        <v>353</v>
      </c>
      <c r="B184" s="8" t="s">
        <v>310</v>
      </c>
      <c r="C184" s="16" t="str">
        <f>IFERROR(__xludf.DUMMYFUNCTION("GOOGLETRANSLATE(A184, ""de"", ""en"")"),"Is attributed to the Panther symbol character")</f>
        <v>Is attributed to the Panther symbol character</v>
      </c>
      <c r="D184" s="17" t="s">
        <v>354</v>
      </c>
      <c r="E184" s="21"/>
      <c r="F184" s="22"/>
    </row>
    <row r="185">
      <c r="A185" s="19" t="s">
        <v>355</v>
      </c>
      <c r="B185" s="20" t="s">
        <v>310</v>
      </c>
      <c r="C185" s="16" t="str">
        <f>IFERROR(__xludf.DUMMYFUNCTION("GOOGLETRANSLATE(A185, ""de"", ""en"")"),"Who beckons the spearlight")</f>
        <v>Who beckons the spearlight</v>
      </c>
      <c r="D185" s="17" t="s">
        <v>356</v>
      </c>
      <c r="E185" s="21"/>
      <c r="F185" s="22"/>
    </row>
    <row r="186">
      <c r="A186" s="7" t="s">
        <v>357</v>
      </c>
      <c r="B186" s="8" t="s">
        <v>310</v>
      </c>
      <c r="C186" s="16" t="str">
        <f>IFERROR(__xludf.DUMMYFUNCTION("GOOGLETRANSLATE(A186, ""de"", ""en"")"),"The Zebress Spear in Panther also comes from the thrower shown")</f>
        <v>The Zebress Spear in Panther also comes from the thrower shown</v>
      </c>
      <c r="D186" s="17" t="s">
        <v>358</v>
      </c>
      <c r="E186" s="21"/>
      <c r="F186" s="22"/>
    </row>
    <row r="187">
      <c r="A187" s="19" t="s">
        <v>359</v>
      </c>
      <c r="B187" s="20" t="s">
        <v>310</v>
      </c>
      <c r="C187" s="16" t="str">
        <f>IFERROR(__xludf.DUMMYFUNCTION("GOOGLETRANSLATE(A187, ""de"", ""en"")"),"Why did the person had to compete against Panther")</f>
        <v>Why did the person had to compete against Panther</v>
      </c>
      <c r="D187" s="17" t="s">
        <v>360</v>
      </c>
      <c r="E187" s="18" t="s">
        <v>31</v>
      </c>
      <c r="F187" s="22"/>
    </row>
    <row r="188">
      <c r="A188" s="7" t="s">
        <v>361</v>
      </c>
      <c r="B188" s="8" t="s">
        <v>310</v>
      </c>
      <c r="C188" s="16" t="str">
        <f>IFERROR(__xludf.DUMMYFUNCTION("GOOGLETRANSLATE(A188, ""de"", ""en"")"),"How did the Romans have such exotic animals like a panther?")</f>
        <v>How did the Romans have such exotic animals like a panther?</v>
      </c>
      <c r="D188" s="17" t="s">
        <v>362</v>
      </c>
      <c r="E188" s="18" t="s">
        <v>313</v>
      </c>
      <c r="F188" s="22"/>
    </row>
    <row r="189">
      <c r="A189" s="19" t="s">
        <v>363</v>
      </c>
      <c r="B189" s="20" t="s">
        <v>310</v>
      </c>
      <c r="C189" s="16" t="str">
        <f>IFERROR(__xludf.DUMMYFUNCTION("GOOGLETRANSLATE(A189, ""de"", ""en"")"),"What Is The Story Behind This? (In Other Words, Why is the Man Hunting A Panther?)")</f>
        <v>What Is The Story Behind This? (In Other Words, Why is the Man Hunting A Panther?)</v>
      </c>
      <c r="D189" s="22"/>
      <c r="E189" s="18" t="s">
        <v>338</v>
      </c>
      <c r="F189" s="22"/>
    </row>
    <row r="190">
      <c r="A190" s="7" t="s">
        <v>364</v>
      </c>
      <c r="B190" s="8" t="s">
        <v>310</v>
      </c>
      <c r="C190" s="16" t="str">
        <f>IFERROR(__xludf.DUMMYFUNCTION("GOOGLETRANSLATE(A190, ""de"", ""en"")"),"Why Is His Left Hand Cut Off?")</f>
        <v>Why Is His Left Hand Cut Off?</v>
      </c>
      <c r="D190" s="22"/>
      <c r="E190" s="18" t="s">
        <v>319</v>
      </c>
      <c r="F190" s="22"/>
    </row>
    <row r="191">
      <c r="A191" s="19" t="s">
        <v>365</v>
      </c>
      <c r="B191" s="20" t="s">
        <v>310</v>
      </c>
      <c r="C191" s="16" t="str">
        <f>IFERROR(__xludf.DUMMYFUNCTION("GOOGLETRANSLATE(A191, ""de"", ""en"")"),"What is the story behind it? (In other words, why are the man chasing a panther?)")</f>
        <v>What is the story behind it? (In other words, why are the man chasing a panther?)</v>
      </c>
      <c r="D191" s="17" t="s">
        <v>366</v>
      </c>
      <c r="E191" s="18" t="s">
        <v>338</v>
      </c>
      <c r="F191" s="22"/>
    </row>
    <row r="192">
      <c r="A192" s="7" t="s">
        <v>367</v>
      </c>
      <c r="B192" s="8" t="s">
        <v>310</v>
      </c>
      <c r="C192" s="16" t="str">
        <f>IFERROR(__xludf.DUMMYFUNCTION("GOOGLETRANSLATE(A192, ""de"", ""en"")"),"Why is his left hand cut off?")</f>
        <v>Why is his left hand cut off?</v>
      </c>
      <c r="D192" s="17" t="s">
        <v>364</v>
      </c>
      <c r="E192" s="18" t="s">
        <v>319</v>
      </c>
      <c r="F192" s="22"/>
    </row>
    <row r="193">
      <c r="A193" s="19" t="s">
        <v>368</v>
      </c>
      <c r="B193" s="20" t="s">
        <v>310</v>
      </c>
      <c r="C193" s="16" t="str">
        <f>IFERROR(__xludf.DUMMYFUNCTION("GOOGLETRANSLATE(A193, ""de"", ""en"")"),"Where did the exotic animals come from?")</f>
        <v>Where did the exotic animals come from?</v>
      </c>
      <c r="D193" s="17" t="s">
        <v>369</v>
      </c>
      <c r="E193" s="18" t="s">
        <v>313</v>
      </c>
      <c r="F193" s="22"/>
    </row>
    <row r="194">
      <c r="A194" s="7" t="s">
        <v>370</v>
      </c>
      <c r="B194" s="8" t="s">
        <v>310</v>
      </c>
      <c r="C194" s="16" t="str">
        <f>IFERROR(__xludf.DUMMYFUNCTION("GOOGLETRANSLATE(A194, ""de"", ""en"")"),"Which weapons were allowed to use the fighters?")</f>
        <v>Which weapons were allowed to use the fighters?</v>
      </c>
      <c r="D194" s="17" t="s">
        <v>371</v>
      </c>
      <c r="E194" s="18"/>
      <c r="F194" s="22"/>
    </row>
    <row r="195">
      <c r="A195" s="19" t="s">
        <v>372</v>
      </c>
      <c r="B195" s="20" t="s">
        <v>310</v>
      </c>
      <c r="C195" s="16" t="str">
        <f>IFERROR(__xludf.DUMMYFUNCTION("GOOGLETRANSLATE(A195, ""de"", ""en"")"),"How long did an average fight lasted?")</f>
        <v>How long did an average fight lasted?</v>
      </c>
      <c r="D195" s="17" t="s">
        <v>373</v>
      </c>
      <c r="E195" s="18"/>
      <c r="F195" s="22"/>
    </row>
    <row r="196">
      <c r="A196" s="7" t="s">
        <v>374</v>
      </c>
      <c r="B196" s="8" t="s">
        <v>310</v>
      </c>
      <c r="C196" s="16" t="str">
        <f>IFERROR(__xludf.DUMMYFUNCTION("GOOGLETRANSLATE(A196, ""de"", ""en"")"),"Why do you kill animals?")</f>
        <v>Why do you kill animals?</v>
      </c>
      <c r="D196" s="17" t="s">
        <v>375</v>
      </c>
      <c r="E196" s="18" t="s">
        <v>31</v>
      </c>
      <c r="F196" s="22"/>
    </row>
    <row r="197">
      <c r="A197" s="19" t="s">
        <v>374</v>
      </c>
      <c r="B197" s="20" t="s">
        <v>310</v>
      </c>
      <c r="C197" s="16" t="str">
        <f>IFERROR(__xludf.DUMMYFUNCTION("GOOGLETRANSLATE(A197, ""de"", ""en"")"),"Why do you kill animals?")</f>
        <v>Why do you kill animals?</v>
      </c>
      <c r="D197" s="22"/>
      <c r="E197" s="21"/>
      <c r="F197" s="22"/>
    </row>
    <row r="198">
      <c r="A198" s="7" t="s">
        <v>374</v>
      </c>
      <c r="B198" s="8" t="s">
        <v>310</v>
      </c>
      <c r="C198" s="16" t="str">
        <f>IFERROR(__xludf.DUMMYFUNCTION("GOOGLETRANSLATE(A198, ""de"", ""en"")"),"Why do you kill animals?")</f>
        <v>Why do you kill animals?</v>
      </c>
      <c r="D198" s="22"/>
      <c r="E198" s="21"/>
      <c r="F198" s="22"/>
    </row>
    <row r="199">
      <c r="A199" s="19" t="s">
        <v>376</v>
      </c>
      <c r="B199" s="20" t="s">
        <v>310</v>
      </c>
      <c r="C199" s="16" t="str">
        <f>IFERROR(__xludf.DUMMYFUNCTION("GOOGLETRANSLATE(A199, ""de"", ""en"")"),"Why do you kill the animals?")</f>
        <v>Why do you kill the animals?</v>
      </c>
      <c r="D199" s="17" t="s">
        <v>377</v>
      </c>
      <c r="E199" s="21"/>
      <c r="F199" s="22"/>
    </row>
    <row r="200">
      <c r="A200" s="7" t="s">
        <v>378</v>
      </c>
      <c r="B200" s="8" t="s">
        <v>310</v>
      </c>
      <c r="C200" s="16" t="str">
        <f>IFERROR(__xludf.DUMMYFUNCTION("GOOGLETRANSLATE(A200, ""de"", ""en"")"),"Why do not you have any arms?")</f>
        <v>Why do not you have any arms?</v>
      </c>
      <c r="D200" s="17" t="s">
        <v>379</v>
      </c>
      <c r="E200" s="18" t="s">
        <v>319</v>
      </c>
      <c r="F200" s="22"/>
    </row>
    <row r="201">
      <c r="A201" s="19" t="s">
        <v>380</v>
      </c>
      <c r="B201" s="20" t="s">
        <v>310</v>
      </c>
      <c r="C201" s="16" t="str">
        <f>IFERROR(__xludf.DUMMYFUNCTION("GOOGLETRANSLATE(A201, ""de"", ""en"")"),"Why are most naked?")</f>
        <v>Why are most naked?</v>
      </c>
      <c r="D201" s="17" t="s">
        <v>381</v>
      </c>
      <c r="E201" s="21"/>
      <c r="F201" s="22"/>
    </row>
    <row r="202">
      <c r="A202" s="7" t="s">
        <v>382</v>
      </c>
      <c r="B202" s="8" t="s">
        <v>310</v>
      </c>
      <c r="C202" s="16" t="str">
        <f>IFERROR(__xludf.DUMMYFUNCTION("GOOGLETRANSLATE(A202, ""de"", ""en"")"),"Have the lions / Tiger - eaten meat?")</f>
        <v>Have the lions / Tiger - eaten meat?</v>
      </c>
      <c r="D202" s="17" t="s">
        <v>383</v>
      </c>
      <c r="E202" s="21"/>
      <c r="F202" s="22"/>
    </row>
    <row r="203">
      <c r="A203" s="19" t="s">
        <v>384</v>
      </c>
      <c r="B203" s="20" t="s">
        <v>310</v>
      </c>
      <c r="C203" s="16" t="str">
        <f>IFERROR(__xludf.DUMMYFUNCTION("GOOGLETRANSLATE(A203, ""de"", ""en"")"),"Gabs even greater animals you have slaughtered as Leo / Tiger?")</f>
        <v>Gabs even greater animals you have slaughtered as Leo / Tiger?</v>
      </c>
      <c r="D203" s="17" t="s">
        <v>385</v>
      </c>
      <c r="E203" s="21"/>
      <c r="F203" s="22"/>
    </row>
    <row r="204">
      <c r="A204" s="7"/>
      <c r="B204" s="8"/>
      <c r="C204" s="16"/>
      <c r="D204" s="22"/>
      <c r="E204" s="21"/>
      <c r="F204" s="22"/>
    </row>
    <row r="205">
      <c r="A205" s="13" t="s">
        <v>386</v>
      </c>
      <c r="B205" s="14"/>
      <c r="C205" s="15"/>
      <c r="D205" s="6"/>
      <c r="E205" s="14"/>
      <c r="F205" s="6"/>
    </row>
    <row r="206">
      <c r="A206" s="7" t="s">
        <v>387</v>
      </c>
      <c r="B206" s="8" t="s">
        <v>386</v>
      </c>
      <c r="C206" s="16" t="str">
        <f>IFERROR(__xludf.DUMMYFUNCTION("GOOGLETRANSLATE(A206, ""de"", ""en"")"),"What's happening")</f>
        <v>What's happening</v>
      </c>
      <c r="D206" s="17" t="s">
        <v>388</v>
      </c>
      <c r="E206" s="18" t="s">
        <v>389</v>
      </c>
      <c r="F206" s="17" t="s">
        <v>390</v>
      </c>
    </row>
    <row r="207">
      <c r="A207" s="19" t="s">
        <v>391</v>
      </c>
      <c r="B207" s="20" t="s">
        <v>386</v>
      </c>
      <c r="C207" s="16" t="str">
        <f>IFERROR(__xludf.DUMMYFUNCTION("GOOGLETRANSLATE(A207, ""de"", ""en"")"),"Why do you make such a scene on a mosaic?")</f>
        <v>Why do you make such a scene on a mosaic?</v>
      </c>
      <c r="D207" s="17" t="s">
        <v>392</v>
      </c>
      <c r="E207" s="21"/>
      <c r="F207" s="22"/>
    </row>
    <row r="208">
      <c r="A208" s="7" t="s">
        <v>393</v>
      </c>
      <c r="B208" s="8" t="s">
        <v>386</v>
      </c>
      <c r="C208" s="16" t="str">
        <f>IFERROR(__xludf.DUMMYFUNCTION("GOOGLETRANSLATE(A208, ""de"", ""en"")"),"Is this a fight between the two animals?")</f>
        <v>Is this a fight between the two animals?</v>
      </c>
      <c r="D208" s="17" t="s">
        <v>394</v>
      </c>
      <c r="E208" s="18" t="s">
        <v>395</v>
      </c>
      <c r="F208" s="17" t="s">
        <v>396</v>
      </c>
    </row>
    <row r="209">
      <c r="A209" s="19" t="s">
        <v>397</v>
      </c>
      <c r="B209" s="20" t="s">
        <v>386</v>
      </c>
      <c r="C209" s="16" t="str">
        <f>IFERROR(__xludf.DUMMYFUNCTION("GOOGLETRANSLATE(A209, ""de"", ""en"")"),"Why was the motive chosen?")</f>
        <v>Why was the motive chosen?</v>
      </c>
      <c r="D209" s="17" t="s">
        <v>398</v>
      </c>
      <c r="E209" s="21"/>
      <c r="F209" s="22"/>
    </row>
    <row r="210">
      <c r="A210" s="7" t="s">
        <v>399</v>
      </c>
      <c r="B210" s="8" t="s">
        <v>386</v>
      </c>
      <c r="C210" s="16" t="str">
        <f>IFERROR(__xludf.DUMMYFUNCTION("GOOGLETRANSLATE(A210, ""de"", ""en"")"),"Does the Wildselel win the fight here?")</f>
        <v>Does the Wildselel win the fight here?</v>
      </c>
      <c r="D210" s="17" t="s">
        <v>400</v>
      </c>
      <c r="E210" s="21"/>
      <c r="F210" s="22"/>
    </row>
    <row r="211">
      <c r="A211" s="19" t="s">
        <v>401</v>
      </c>
      <c r="B211" s="20" t="s">
        <v>386</v>
      </c>
      <c r="C211" s="16" t="str">
        <f>IFERROR(__xludf.DUMMYFUNCTION("GOOGLETRANSLATE(A211, ""de"", ""en"")"),"Is that a fight?")</f>
        <v>Is that a fight?</v>
      </c>
      <c r="D211" s="17" t="s">
        <v>402</v>
      </c>
      <c r="E211" s="18" t="s">
        <v>395</v>
      </c>
      <c r="F211" s="22"/>
    </row>
    <row r="212">
      <c r="A212" s="7" t="s">
        <v>403</v>
      </c>
      <c r="B212" s="8" t="s">
        <v>386</v>
      </c>
      <c r="C212" s="16" t="str">
        <f>IFERROR(__xludf.DUMMYFUNCTION("GOOGLETRANSLATE(A212, ""de"", ""en"")"),"What exactly is a wildlife?")</f>
        <v>What exactly is a wildlife?</v>
      </c>
      <c r="D212" s="17" t="s">
        <v>404</v>
      </c>
      <c r="E212" s="18" t="s">
        <v>405</v>
      </c>
      <c r="F212" s="17" t="s">
        <v>406</v>
      </c>
    </row>
    <row r="213">
      <c r="A213" s="19" t="s">
        <v>407</v>
      </c>
      <c r="B213" s="20" t="s">
        <v>386</v>
      </c>
      <c r="C213" s="16" t="str">
        <f>IFERROR(__xludf.DUMMYFUNCTION("GOOGLETRANSLATE(A213, ""de"", ""en"")"),"Where did the predators came from? How could they be imported?")</f>
        <v>Where did the predators came from? How could they be imported?</v>
      </c>
      <c r="D213" s="17" t="s">
        <v>408</v>
      </c>
      <c r="E213" s="21"/>
      <c r="F213" s="22"/>
    </row>
    <row r="214">
      <c r="A214" s="7" t="s">
        <v>409</v>
      </c>
      <c r="B214" s="8" t="s">
        <v>386</v>
      </c>
      <c r="C214" s="16" t="str">
        <f>IFERROR(__xludf.DUMMYFUNCTION("GOOGLETRANSLATE(A214, ""de"", ""en"")"),"How Many Wild Animals Are Depicted in This Muesum?")</f>
        <v>How Many Wild Animals Are Depicted in This Muesum?</v>
      </c>
      <c r="D214" s="22"/>
      <c r="E214" s="21"/>
      <c r="F214" s="22"/>
    </row>
    <row r="215">
      <c r="A215" s="19" t="s">
        <v>410</v>
      </c>
      <c r="B215" s="20" t="s">
        <v>386</v>
      </c>
      <c r="C215" s="16" t="str">
        <f>IFERROR(__xludf.DUMMYFUNCTION("GOOGLETRANSLATE(A215, ""de"", ""en"")"),"What's The Purpose of Depicea Wild Animals?")</f>
        <v>What's The Purpose of Depicea Wild Animals?</v>
      </c>
      <c r="D215" s="22"/>
      <c r="E215" s="21"/>
      <c r="F215" s="22"/>
    </row>
    <row r="216">
      <c r="A216" s="7" t="s">
        <v>411</v>
      </c>
      <c r="B216" s="8" t="s">
        <v>386</v>
      </c>
      <c r="C216" s="16" t="str">
        <f>IFERROR(__xludf.DUMMYFUNCTION("GOOGLETRANSLATE(A216, ""de"", ""en"")"),"Were Tigers Local Animals There?")</f>
        <v>Were Tigers Local Animals There?</v>
      </c>
      <c r="D216" s="22"/>
      <c r="E216" s="21"/>
      <c r="F216" s="22"/>
    </row>
    <row r="217">
      <c r="A217" s="19" t="s">
        <v>412</v>
      </c>
      <c r="B217" s="20" t="s">
        <v>386</v>
      </c>
      <c r="C217" s="16" t="str">
        <f>IFERROR(__xludf.DUMMYFUNCTION("GOOGLETRANSLATE(A217, ""de"", ""en"")"),"Where are these two animals joined each other")</f>
        <v>Where are these two animals joined each other</v>
      </c>
      <c r="D217" s="17" t="s">
        <v>413</v>
      </c>
      <c r="E217" s="18"/>
      <c r="F217" s="22"/>
    </row>
    <row r="218">
      <c r="A218" s="7" t="s">
        <v>414</v>
      </c>
      <c r="B218" s="8" t="s">
        <v>386</v>
      </c>
      <c r="C218" s="16" t="str">
        <f>IFERROR(__xludf.DUMMYFUNCTION("GOOGLETRANSLATE(A218, ""de"", ""en"")"),"There are associations between the tiger and owner of the villa")</f>
        <v>There are associations between the tiger and owner of the villa</v>
      </c>
      <c r="D218" s="17" t="s">
        <v>415</v>
      </c>
      <c r="E218" s="21"/>
      <c r="F218" s="22"/>
    </row>
    <row r="219">
      <c r="A219" s="19" t="s">
        <v>416</v>
      </c>
      <c r="B219" s="20" t="s">
        <v>386</v>
      </c>
      <c r="C219" s="16" t="str">
        <f>IFERROR(__xludf.DUMMYFUNCTION("GOOGLETRANSLATE(A219, ""de"", ""en"")"),"Had the villa bred earlier donkey?")</f>
        <v>Had the villa bred earlier donkey?</v>
      </c>
      <c r="D219" s="17" t="s">
        <v>417</v>
      </c>
      <c r="E219" s="21"/>
      <c r="F219" s="22"/>
    </row>
    <row r="220">
      <c r="A220" s="7" t="s">
        <v>418</v>
      </c>
      <c r="B220" s="8" t="s">
        <v>386</v>
      </c>
      <c r="C220" s="16" t="str">
        <f>IFERROR(__xludf.DUMMYFUNCTION("GOOGLETRANSLATE(A220, ""de"", ""en"")"),"Why does it look like the tiger in the air, he's just throw away from the donkey?")</f>
        <v>Why does it look like the tiger in the air, he's just throw away from the donkey?</v>
      </c>
      <c r="D220" s="17" t="s">
        <v>419</v>
      </c>
      <c r="E220" s="21"/>
      <c r="F220" s="22"/>
    </row>
    <row r="221">
      <c r="A221" s="19" t="s">
        <v>420</v>
      </c>
      <c r="B221" s="20" t="s">
        <v>386</v>
      </c>
      <c r="C221" s="16" t="str">
        <f>IFERROR(__xludf.DUMMYFUNCTION("GOOGLETRANSLATE(A221, ""de"", ""en"")"),"Why are also under the stomach of the Tiger Bluespamver, he is also injured?")</f>
        <v>Why are also under the stomach of the Tiger Bluespamver, he is also injured?</v>
      </c>
      <c r="D221" s="17" t="s">
        <v>421</v>
      </c>
      <c r="E221" s="21"/>
      <c r="F221" s="22"/>
    </row>
    <row r="222">
      <c r="A222" s="7" t="s">
        <v>422</v>
      </c>
      <c r="B222" s="8" t="s">
        <v>386</v>
      </c>
      <c r="C222" s="16" t="str">
        <f>IFERROR(__xludf.DUMMYFUNCTION("GOOGLETRANSLATE(A222, ""de"", ""en"")"),"Which species were used for animal hats?")</f>
        <v>Which species were used for animal hats?</v>
      </c>
      <c r="D222" s="17" t="s">
        <v>423</v>
      </c>
      <c r="E222" s="21"/>
      <c r="F222" s="22"/>
    </row>
    <row r="223">
      <c r="A223" s="19" t="s">
        <v>424</v>
      </c>
      <c r="B223" s="20" t="s">
        <v>386</v>
      </c>
      <c r="C223" s="16" t="str">
        <f>IFERROR(__xludf.DUMMYFUNCTION("GOOGLETRANSLATE(A223, ""de"", ""en"")"),"IT Looks like The Horse is Attacking the Tiger. Is that true?")</f>
        <v>IT Looks like The Horse is Attacking the Tiger. Is that true?</v>
      </c>
      <c r="D223" s="22"/>
      <c r="E223" s="21"/>
      <c r="F223" s="22"/>
    </row>
    <row r="224">
      <c r="A224" s="7" t="s">
        <v>425</v>
      </c>
      <c r="B224" s="8" t="s">
        <v>386</v>
      </c>
      <c r="C224" s="16" t="str">
        <f>IFERROR(__xludf.DUMMYFUNCTION("GOOGLETRANSLATE(A224, ""de"", ""en"")"),"Which animals had to fight?")</f>
        <v>Which animals had to fight?</v>
      </c>
      <c r="D224" s="17" t="s">
        <v>426</v>
      </c>
      <c r="E224" s="18"/>
      <c r="F224" s="22"/>
    </row>
    <row r="225">
      <c r="A225" s="19" t="s">
        <v>427</v>
      </c>
      <c r="B225" s="20" t="s">
        <v>386</v>
      </c>
      <c r="C225" s="16" t="str">
        <f>IFERROR(__xludf.DUMMYFUNCTION("GOOGLETRANSLATE(A225, ""de"", ""en"")"),"Do the animals have sexual intercourse?")</f>
        <v>Do the animals have sexual intercourse?</v>
      </c>
      <c r="D225" s="17" t="s">
        <v>428</v>
      </c>
      <c r="E225" s="21"/>
      <c r="F225" s="22"/>
    </row>
    <row r="226">
      <c r="A226" s="7" t="s">
        <v>429</v>
      </c>
      <c r="B226" s="8" t="s">
        <v>386</v>
      </c>
      <c r="C226" s="16" t="str">
        <f>IFERROR(__xludf.DUMMYFUNCTION("GOOGLETRANSLATE(A226, ""de"", ""en"")"),"Where did the dangerous animals record?")</f>
        <v>Where did the dangerous animals record?</v>
      </c>
      <c r="D226" s="17" t="s">
        <v>430</v>
      </c>
      <c r="E226" s="21"/>
      <c r="F226" s="22"/>
    </row>
    <row r="227">
      <c r="A227" s="19" t="s">
        <v>431</v>
      </c>
      <c r="B227" s="20" t="s">
        <v>386</v>
      </c>
      <c r="C227" s="16" t="str">
        <f>IFERROR(__xludf.DUMMYFUNCTION("GOOGLETRANSLATE(A227, ""de"", ""en"")"),"Are Thesis Animals Symbols of Something Special in Those Era? Why Tiger Does Not Seem To Eat The Wild Donkey?")</f>
        <v>Are Thesis Animals Symbols of Something Special in Those Era? Why Tiger Does Not Seem To Eat The Wild Donkey?</v>
      </c>
      <c r="D227" s="22"/>
      <c r="E227" s="21"/>
      <c r="F227" s="22"/>
    </row>
    <row r="228">
      <c r="A228" s="27" t="s">
        <v>432</v>
      </c>
      <c r="B228" s="8" t="s">
        <v>386</v>
      </c>
      <c r="C228" s="16" t="str">
        <f>IFERROR(__xludf.DUMMYFUNCTION("GOOGLETRANSLATE(A228, ""de"", ""en"")"),"Why Are Thesis Animals Fighting?")</f>
        <v>Why Are Thesis Animals Fighting?</v>
      </c>
      <c r="D228" s="22"/>
      <c r="E228" s="18" t="s">
        <v>433</v>
      </c>
      <c r="F228" s="17" t="s">
        <v>434</v>
      </c>
    </row>
    <row r="229">
      <c r="A229" s="19"/>
      <c r="B229" s="20"/>
      <c r="C229" s="16"/>
      <c r="D229" s="22"/>
      <c r="E229" s="21"/>
      <c r="F229" s="22"/>
    </row>
    <row r="230">
      <c r="A230" s="28" t="s">
        <v>435</v>
      </c>
      <c r="B230" s="29"/>
      <c r="C230" s="30"/>
      <c r="D230" s="31"/>
      <c r="E230" s="32"/>
      <c r="F230" s="33"/>
    </row>
    <row r="231">
      <c r="A231" s="34" t="s">
        <v>436</v>
      </c>
      <c r="B231" s="35"/>
      <c r="C231" s="36"/>
      <c r="D231" s="37"/>
      <c r="E231" s="38" t="s">
        <v>437</v>
      </c>
      <c r="F231" s="39" t="s">
        <v>438</v>
      </c>
    </row>
    <row r="232">
      <c r="A232" s="40" t="s">
        <v>439</v>
      </c>
      <c r="B232" s="41"/>
      <c r="C232" s="36"/>
      <c r="D232" s="37"/>
      <c r="E232" s="38" t="s">
        <v>440</v>
      </c>
      <c r="F232" s="42" t="s">
        <v>441</v>
      </c>
    </row>
    <row r="233">
      <c r="A233" s="43" t="s">
        <v>442</v>
      </c>
      <c r="B233" s="44"/>
      <c r="C233" s="36"/>
      <c r="D233" s="37"/>
      <c r="E233" s="38" t="s">
        <v>443</v>
      </c>
      <c r="F233" s="42" t="s">
        <v>444</v>
      </c>
    </row>
    <row r="234">
      <c r="A234" s="40" t="s">
        <v>445</v>
      </c>
      <c r="B234" s="41"/>
      <c r="C234" s="36"/>
      <c r="D234" s="37"/>
      <c r="E234" s="38" t="s">
        <v>446</v>
      </c>
      <c r="F234" s="42" t="s">
        <v>447</v>
      </c>
    </row>
    <row r="235">
      <c r="A235" s="43" t="s">
        <v>448</v>
      </c>
      <c r="B235" s="44"/>
      <c r="C235" s="36"/>
      <c r="D235" s="37"/>
      <c r="E235" s="38" t="s">
        <v>449</v>
      </c>
      <c r="F235" s="42" t="s">
        <v>450</v>
      </c>
    </row>
    <row r="236">
      <c r="A236" s="45" t="s">
        <v>451</v>
      </c>
      <c r="B236" s="41"/>
      <c r="C236" s="36"/>
      <c r="D236" s="37"/>
      <c r="E236" s="38" t="s">
        <v>452</v>
      </c>
      <c r="F236" s="42" t="s">
        <v>453</v>
      </c>
    </row>
    <row r="237">
      <c r="A237" s="43" t="s">
        <v>454</v>
      </c>
      <c r="B237" s="46"/>
      <c r="C237" s="47"/>
      <c r="D237" s="48"/>
      <c r="E237" s="38" t="s">
        <v>455</v>
      </c>
      <c r="F237" s="42" t="s">
        <v>456</v>
      </c>
    </row>
  </sheetData>
  <hyperlinks>
    <hyperlink r:id="rId1" ref="F231"/>
  </hyperlinks>
  <drawing r:id="rId2"/>
  <tableParts count="1">
    <tablePart r:id="rId4"/>
  </tableParts>
</worksheet>
</file>