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<sst xmlns="http://schemas.openxmlformats.org/spreadsheetml/2006/main" count="245" uniqueCount="155">
  <si>
    <t>Ammonia Synthesis - Topsoe Process</t>
  </si>
  <si>
    <t>Basis for Natural Gas</t>
  </si>
  <si>
    <t>kmol/hr</t>
  </si>
  <si>
    <t>Additional Water Supply at 2° Reformer</t>
  </si>
  <si>
    <t>Std. Conditions</t>
  </si>
  <si>
    <t xml:space="preserve">P = </t>
  </si>
  <si>
    <t>bar</t>
  </si>
  <si>
    <t xml:space="preserve">T = </t>
  </si>
  <si>
    <t>K</t>
  </si>
  <si>
    <t>Moles Balance</t>
  </si>
  <si>
    <t>Component</t>
  </si>
  <si>
    <t>Inflow (kmol/hr)</t>
  </si>
  <si>
    <t>Amount produced (kmol/hr)</t>
  </si>
  <si>
    <t>Conversion</t>
  </si>
  <si>
    <t>Amount reacted (kmol/hr)</t>
  </si>
  <si>
    <t>Mole fraction (mol/mol)</t>
  </si>
  <si>
    <t>Outflow (kmol/hr)</t>
  </si>
  <si>
    <t>Feed Converter</t>
  </si>
  <si>
    <t>Ratio of H2O to CH4</t>
  </si>
  <si>
    <t>Natural Gas</t>
  </si>
  <si>
    <t>Methane (CH4)</t>
  </si>
  <si>
    <t>Preference of CH4 to CO</t>
  </si>
  <si>
    <t>Primary Reformer</t>
  </si>
  <si>
    <t>CH4 to CO2</t>
  </si>
  <si>
    <t>CH4</t>
  </si>
  <si>
    <t>H2O</t>
  </si>
  <si>
    <t>Ratio of Air to CH4</t>
  </si>
  <si>
    <t>CO</t>
  </si>
  <si>
    <t>X of N2 in Air</t>
  </si>
  <si>
    <t>CO2</t>
  </si>
  <si>
    <t>X of O2 in Air</t>
  </si>
  <si>
    <t>H2</t>
  </si>
  <si>
    <t>Avg Air weight</t>
  </si>
  <si>
    <t>g</t>
  </si>
  <si>
    <t>Total Air flowrate</t>
  </si>
  <si>
    <t>Total Inflow</t>
  </si>
  <si>
    <t>Total Outflow</t>
  </si>
  <si>
    <t>%CH4 in SMR</t>
  </si>
  <si>
    <t>Secondary Reformer</t>
  </si>
  <si>
    <t>%CH4 in Partial</t>
  </si>
  <si>
    <t>%CH4 to CO</t>
  </si>
  <si>
    <t>%CH4 to CO2</t>
  </si>
  <si>
    <t>Ratio of Add. Water to CH4</t>
  </si>
  <si>
    <t>Fraction of excess water</t>
  </si>
  <si>
    <t>N2 (Air)</t>
  </si>
  <si>
    <t>O2 (Air)</t>
  </si>
  <si>
    <t>HTSC</t>
  </si>
  <si>
    <t>Partial Oxidation</t>
  </si>
  <si>
    <t>CH4-&gt;CO</t>
  </si>
  <si>
    <t>Complete</t>
  </si>
  <si>
    <t>CH4-&gt;CO2</t>
  </si>
  <si>
    <t>SMR</t>
  </si>
  <si>
    <t>CH4-&gt;H2</t>
  </si>
  <si>
    <t>LTSC</t>
  </si>
  <si>
    <t>Excess water removed from LTSC using separator</t>
  </si>
  <si>
    <t>CO2 Absorber</t>
  </si>
  <si>
    <t>Methanator</t>
  </si>
  <si>
    <t xml:space="preserve">Excess CH4 removed </t>
  </si>
  <si>
    <t>CO taken for recycling</t>
  </si>
  <si>
    <t>CO2 taken for recycling</t>
  </si>
  <si>
    <t>Ammonia Reactor</t>
  </si>
  <si>
    <t>N2</t>
  </si>
  <si>
    <t>NH3</t>
  </si>
  <si>
    <t>For each</t>
  </si>
  <si>
    <t>kmol/hr of natural gas utilized,</t>
  </si>
  <si>
    <t>kmol/hr  of Ammonia is produced!</t>
  </si>
  <si>
    <t>1 kmol NH3</t>
  </si>
  <si>
    <t>kg</t>
  </si>
  <si>
    <t>MTPD</t>
  </si>
  <si>
    <t>MTPH</t>
  </si>
  <si>
    <t>KGPH</t>
  </si>
  <si>
    <t>Energy Balance</t>
  </si>
  <si>
    <t>SUM(Cp{P})</t>
  </si>
  <si>
    <t>SUM(Cp{R})</t>
  </si>
  <si>
    <t>T_in (K)</t>
  </si>
  <si>
    <t>T_out (K)</t>
  </si>
  <si>
    <t>Energy produced (kJ/kmol)</t>
  </si>
  <si>
    <t>Energy consumed (kJ/kmol)</t>
  </si>
  <si>
    <t>Net Energy (kJ/hr)</t>
  </si>
  <si>
    <t>Antoine Equation</t>
  </si>
  <si>
    <t>A-(B/T+C)</t>
  </si>
  <si>
    <t>Del H {T}</t>
  </si>
  <si>
    <t>A(T_out-T_in)+(B/2)(T_out^2-T_in^2)</t>
  </si>
  <si>
    <t>1.702+(0.009081)T</t>
  </si>
  <si>
    <t>R</t>
  </si>
  <si>
    <t>J/mol.K</t>
  </si>
  <si>
    <t>Temperature</t>
  </si>
  <si>
    <t>Psat</t>
  </si>
  <si>
    <t>Enthalpy of steam methane reforming reaction</t>
  </si>
  <si>
    <t>kJ/kmol</t>
  </si>
  <si>
    <t>{298K}</t>
  </si>
  <si>
    <t>Reactor</t>
  </si>
  <si>
    <t>A</t>
  </si>
  <si>
    <t>B</t>
  </si>
  <si>
    <t>C</t>
  </si>
  <si>
    <t>T1 (°C)</t>
  </si>
  <si>
    <t>T2 (°C)</t>
  </si>
  <si>
    <t>T1 (K)</t>
  </si>
  <si>
    <t>T2 (K)</t>
  </si>
  <si>
    <t>P1 (kPa)</t>
  </si>
  <si>
    <t>P2 (kPa)</t>
  </si>
  <si>
    <t>Enthalpy of Partial oxidation</t>
  </si>
  <si>
    <t>Primary</t>
  </si>
  <si>
    <t>(n1*A1+n2*A2)*R + (n1*B1+n2*B2)T*R</t>
  </si>
  <si>
    <t>Enthalpy of Complete oxidation</t>
  </si>
  <si>
    <t>Enthalpy of Water Gas Shift Reaction</t>
  </si>
  <si>
    <t>(n1*A1+n2*A2+n3*A3)*R + (n1*B1+n2*B2+n3*B3)T*R</t>
  </si>
  <si>
    <t>Enthalpy of Ammonia Rxn</t>
  </si>
  <si>
    <t>Enthalpy of vaporization {600°C}</t>
  </si>
  <si>
    <t>Cp Values</t>
  </si>
  <si>
    <t>(From Perry's handbook)</t>
  </si>
  <si>
    <t>Efficiency of Heat Exchangers:</t>
  </si>
  <si>
    <t>Shell &amp; Tube</t>
  </si>
  <si>
    <t>Finned Tube</t>
  </si>
  <si>
    <t>Spiral Tube</t>
  </si>
  <si>
    <t>(3.376+ (0.000057)T)R</t>
  </si>
  <si>
    <t>Heat exchanger 1 is present after secondary reformer</t>
  </si>
  <si>
    <t>(3.47+(0.00145)T)R</t>
  </si>
  <si>
    <t>Heat exchanger 2 is present after Shift Converter</t>
  </si>
  <si>
    <t>(3.249+(0.000422)T)R</t>
  </si>
  <si>
    <t>O2</t>
  </si>
  <si>
    <t>(5.457+ (0.001045)T)R</t>
  </si>
  <si>
    <t>Total energy</t>
  </si>
  <si>
    <t xml:space="preserve">CO2 </t>
  </si>
  <si>
    <t>5.457+ (0.001045)T</t>
  </si>
  <si>
    <t>CH4 (R)</t>
  </si>
  <si>
    <t>4.455(A1+B1T)</t>
  </si>
  <si>
    <t>H2O (R)</t>
  </si>
  <si>
    <t>7.418(A2+B2T)</t>
  </si>
  <si>
    <t>H2O (P)</t>
  </si>
  <si>
    <t>2.673(A2+B2T)</t>
  </si>
  <si>
    <t>CO (R)</t>
  </si>
  <si>
    <t>2.963(A3+B3T)</t>
  </si>
  <si>
    <t>3.119(A3+B3T)</t>
  </si>
  <si>
    <t>CO2 (P)</t>
  </si>
  <si>
    <t>4.229(A4 + B4T)</t>
  </si>
  <si>
    <t>H2 (P)</t>
  </si>
  <si>
    <t>17.328(A5+B5T)</t>
  </si>
  <si>
    <t>O2 (R)</t>
  </si>
  <si>
    <t>10.024(A6+B6T)</t>
  </si>
  <si>
    <t>Net Energy of Reactions</t>
  </si>
  <si>
    <t>NH3 synthetic converter</t>
  </si>
  <si>
    <t>N2 (R)</t>
  </si>
  <si>
    <t>112.626(A1+B1T)</t>
  </si>
  <si>
    <t>H2 (R)</t>
  </si>
  <si>
    <t>337.877(A2+B2T)</t>
  </si>
  <si>
    <t>NH3 (P)</t>
  </si>
  <si>
    <t>225.252(A3+B3T)</t>
  </si>
  <si>
    <t>kmol/hr of ammonia produced,</t>
  </si>
  <si>
    <t>GJ/hr of energy is consumed in the reaction!</t>
  </si>
  <si>
    <t>Heat Exchanger</t>
  </si>
  <si>
    <t>Efficiency</t>
  </si>
  <si>
    <t>Energy exchanged (kJ.hr)</t>
  </si>
  <si>
    <t>HE - 1</t>
  </si>
  <si>
    <t>HE - 2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</si>
</sst>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0000"/>
    <numFmt numFmtId="166" formatCode="0.000000000"/>
    <numFmt numFmtId="167" formatCode="0.000000"/>
    <numFmt numFmtId="168" formatCode="0.00000000"/>
  </numFmts>
  <fonts count="21">
    <font>
      <sz val="10.0"/>
      <color rgb="FF000000"/>
      <name val="Arial"/>
      <scheme val="minor"/>
    </font>
    <font>
      <b/>
      <sz val="29.0"/>
      <color theme="1"/>
      <name val="Times New Roman"/>
    </font>
    <font/>
    <font>
      <sz val="12.0"/>
      <color theme="1"/>
      <name val="Times New Roman"/>
    </font>
    <font>
      <color theme="1"/>
      <name val="Arial"/>
      <scheme val="minor"/>
    </font>
    <font>
      <b/>
      <sz val="12.0"/>
      <color theme="1"/>
      <name val="Times New Roman"/>
    </font>
    <font>
      <b/>
      <color theme="1"/>
      <name val="Arial"/>
      <scheme val="minor"/>
    </font>
    <font>
      <b/>
      <sz val="18.0"/>
      <color theme="1"/>
      <name val="Times New Roman"/>
    </font>
    <font>
      <sz val="10.0"/>
      <color theme="1"/>
      <name val="Times New Roman"/>
    </font>
    <font>
      <b/>
      <i/>
      <sz val="18.0"/>
      <color theme="1"/>
      <name val="Times New Roman"/>
    </font>
    <font>
      <sz val="17.0"/>
      <color theme="1"/>
      <name val="Times New Roman"/>
    </font>
    <font>
      <sz val="17.0"/>
      <color theme="1"/>
      <name val="Arial"/>
      <scheme val="minor"/>
    </font>
    <font>
      <sz val="14.0"/>
      <color theme="1"/>
      <name val="Times New Roman"/>
    </font>
    <font>
      <sz val="14.0"/>
      <color theme="1"/>
      <name val="Arial"/>
      <scheme val="minor"/>
    </font>
    <font>
      <b/>
      <sz val="14.0"/>
      <color theme="1"/>
      <name val="Times New Roman"/>
    </font>
    <font>
      <b/>
      <sz val="21.0"/>
      <color theme="1"/>
      <name val="Baskervville"/>
    </font>
    <font>
      <sz val="21.0"/>
      <color theme="1"/>
      <name val="Baskervville"/>
    </font>
    <font>
      <i/>
      <sz val="16.0"/>
      <color theme="1"/>
      <name val="Comic Sans MS"/>
    </font>
    <font>
      <b/>
      <sz val="16.0"/>
      <color rgb="FF0000FF"/>
      <name val="Comic Sans MS"/>
    </font>
    <font>
      <i/>
      <sz val="15.0"/>
      <color theme="1"/>
      <name val="Comic Sans MS"/>
    </font>
    <font>
      <i/>
      <sz val="17.0"/>
      <color theme="1"/>
      <name val="Comic Sans MS"/>
    </font>
  </fonts>
  <fills count="2">
    <fill>
      <patternFill patternType="none"/>
    </fill>
    <fill>
      <patternFill patternType="lightGray"/>
    </fill>
  </fills>
  <borders count="3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FF"/>
      </left>
      <top style="thick">
        <color rgb="FF0000FF"/>
      </top>
      <bottom style="thick">
        <color rgb="FF0000FF"/>
      </bottom>
    </border>
    <border>
      <right style="thick">
        <color rgb="FF0000FF"/>
      </right>
      <top style="thick">
        <color rgb="FF0000FF"/>
      </top>
      <bottom style="thick">
        <color rgb="FF0000FF"/>
      </bottom>
    </border>
    <border>
      <left style="medium">
        <color rgb="FF0000FF"/>
      </left>
      <top style="medium">
        <color rgb="FF0000FF"/>
      </top>
      <bottom style="medium">
        <color rgb="FF0000FF"/>
      </bottom>
    </border>
    <border>
      <right style="medium">
        <color rgb="FF0000FF"/>
      </right>
      <top style="medium">
        <color rgb="FF0000FF"/>
      </top>
      <bottom style="medium">
        <color rgb="FF0000FF"/>
      </bottom>
    </border>
    <border>
      <top style="medium">
        <color rgb="FF0000FF"/>
      </top>
      <bottom style="medium">
        <color rgb="FF0000FF"/>
      </bottom>
    </border>
    <border>
      <left style="medium">
        <color rgb="FF38761D"/>
      </left>
      <right style="medium">
        <color rgb="FF00FF00"/>
      </right>
      <bottom style="medium">
        <color rgb="FF38761D"/>
      </bottom>
    </border>
    <border>
      <left style="medium">
        <color rgb="FF00FF00"/>
      </left>
      <right style="medium">
        <color rgb="FF00FF00"/>
      </right>
      <bottom style="medium">
        <color rgb="FF38761D"/>
      </bottom>
    </border>
    <border>
      <left style="medium">
        <color rgb="FF00FF00"/>
      </left>
      <right style="thick">
        <color rgb="FF000000"/>
      </right>
      <bottom style="medium">
        <color rgb="FF38761D"/>
      </bottom>
    </border>
    <border>
      <right style="medium">
        <color rgb="FF00FF00"/>
      </right>
      <bottom style="medium">
        <color rgb="FF38761D"/>
      </bottom>
    </border>
    <border>
      <left style="medium">
        <color rgb="FF00FF00"/>
      </left>
      <right style="medium">
        <color rgb="FF38761D"/>
      </right>
      <bottom style="medium">
        <color rgb="FF38761D"/>
      </bottom>
    </border>
    <border>
      <left style="medium">
        <color rgb="FF0000FF"/>
      </left>
      <bottom style="medium">
        <color rgb="FF0000FF"/>
      </bottom>
    </border>
    <border>
      <bottom style="medium">
        <color rgb="FF0000FF"/>
      </bottom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</border>
    <border>
      <left style="medium">
        <color rgb="FF0000FF"/>
      </left>
    </border>
    <border>
      <right style="medium">
        <color rgb="FF0000FF"/>
      </right>
    </border>
    <border>
      <left style="medium">
        <color rgb="FF0000FF"/>
      </left>
      <top style="medium">
        <color rgb="FF0000FF"/>
      </top>
    </border>
    <border>
      <top style="medium">
        <color rgb="FF0000FF"/>
      </top>
    </border>
    <border>
      <right style="medium">
        <color rgb="FF0000FF"/>
      </right>
      <top style="medium">
        <color rgb="FF0000FF"/>
      </top>
    </border>
    <border>
      <left style="thick">
        <color rgb="FF666666"/>
      </left>
      <top style="thick">
        <color rgb="FF666666"/>
      </top>
      <bottom style="thick">
        <color rgb="FF666666"/>
      </bottom>
    </border>
    <border>
      <top style="thick">
        <color rgb="FF666666"/>
      </top>
      <bottom style="thick">
        <color rgb="FF666666"/>
      </bottom>
    </border>
    <border>
      <right style="thick">
        <color rgb="FF666666"/>
      </right>
      <top style="thick">
        <color rgb="FF666666"/>
      </top>
      <bottom style="thick">
        <color rgb="FF666666"/>
      </bottom>
    </border>
    <border>
      <left style="thick">
        <color rgb="FF666666"/>
      </left>
      <right style="thick">
        <color rgb="FF666666"/>
      </right>
      <top style="thick">
        <color rgb="FF666666"/>
      </top>
      <bottom style="thick">
        <color rgb="FF666666"/>
      </bottom>
    </border>
    <border>
      <left style="medium">
        <color rgb="FFFF9900"/>
      </left>
      <top style="medium">
        <color rgb="FFFF9900"/>
      </top>
      <bottom style="medium">
        <color rgb="FFFF9900"/>
      </bottom>
    </border>
    <border>
      <right style="medium">
        <color rgb="FFFF9900"/>
      </right>
      <top style="medium">
        <color rgb="FFFF9900"/>
      </top>
      <bottom style="medium">
        <color rgb="FFFF99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FF00"/>
      </left>
      <right style="medium">
        <color rgb="FF00FF00"/>
      </right>
      <bottom style="medium">
        <color rgb="FF00FF00"/>
      </bottom>
    </border>
    <border>
      <left style="medium">
        <color rgb="FF0000FF"/>
      </left>
      <right style="medium">
        <color rgb="FF0000FF"/>
      </right>
      <top style="medium">
        <color rgb="FF0000FF"/>
      </top>
    </border>
    <border>
      <left style="medium">
        <color rgb="FF0000FF"/>
      </left>
      <right style="medium">
        <color rgb="FF0000FF"/>
      </right>
    </border>
    <border>
      <left style="medium">
        <color rgb="FF0000FF"/>
      </left>
      <right style="medium">
        <color rgb="FF0000FF"/>
      </right>
      <bottom style="medium">
        <color rgb="FF0000FF"/>
      </bottom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4" fillId="0" fontId="9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0" fillId="0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shrinkToFit="0" wrapText="1"/>
    </xf>
    <xf borderId="0" fillId="0" fontId="11" numFmtId="0" xfId="0" applyFont="1"/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6" fillId="0" fontId="12" numFmtId="164" xfId="0" applyBorder="1" applyFont="1" applyNumberFormat="1"/>
    <xf borderId="7" fillId="0" fontId="2" numFmtId="0" xfId="0" applyBorder="1" applyFont="1"/>
    <xf borderId="0" fillId="0" fontId="12" numFmtId="0" xfId="0" applyAlignment="1" applyFont="1">
      <alignment readingOrder="0" shrinkToFit="0" vertical="center" wrapText="1"/>
    </xf>
    <xf borderId="0" fillId="0" fontId="13" numFmtId="164" xfId="0" applyFont="1" applyNumberFormat="1"/>
    <xf borderId="0" fillId="0" fontId="14" numFmtId="164" xfId="0" applyAlignment="1" applyFont="1" applyNumberFormat="1">
      <alignment readingOrder="0"/>
    </xf>
    <xf borderId="0" fillId="0" fontId="12" numFmtId="165" xfId="0" applyFont="1" applyNumberFormat="1"/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shrinkToFit="0" wrapText="1"/>
    </xf>
    <xf borderId="6" fillId="0" fontId="15" numFmtId="0" xfId="0" applyAlignment="1" applyBorder="1" applyFont="1">
      <alignment horizontal="center" readingOrder="0" shrinkToFit="0" wrapText="1"/>
    </xf>
    <xf borderId="8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14" fillId="0" fontId="12" numFmtId="0" xfId="0" applyAlignment="1" applyBorder="1" applyFont="1">
      <alignment readingOrder="0" shrinkToFit="0" wrapText="1"/>
    </xf>
    <xf borderId="15" fillId="0" fontId="12" numFmtId="0" xfId="0" applyAlignment="1" applyBorder="1" applyFont="1">
      <alignment shrinkToFit="0" wrapText="1"/>
    </xf>
    <xf borderId="15" fillId="0" fontId="12" numFmtId="164" xfId="0" applyAlignment="1" applyBorder="1" applyFont="1" applyNumberFormat="1">
      <alignment shrinkToFit="0" wrapText="1"/>
    </xf>
    <xf borderId="16" fillId="0" fontId="12" numFmtId="0" xfId="0" applyAlignment="1" applyBorder="1" applyFont="1">
      <alignment readingOrder="0" shrinkToFit="0" wrapText="1"/>
    </xf>
    <xf borderId="16" fillId="0" fontId="12" numFmtId="164" xfId="0" applyAlignment="1" applyBorder="1" applyFont="1" applyNumberFormat="1">
      <alignment shrinkToFit="0" wrapText="1"/>
    </xf>
    <xf borderId="0" fillId="0" fontId="3" numFmtId="9" xfId="0" applyAlignment="1" applyFont="1" applyNumberFormat="1">
      <alignment readingOrder="0" shrinkToFit="0" wrapText="1"/>
    </xf>
    <xf borderId="6" fillId="0" fontId="5" numFmtId="0" xfId="0" applyAlignment="1" applyBorder="1" applyFont="1">
      <alignment horizontal="center" readingOrder="0" shrinkToFit="0" wrapText="1"/>
    </xf>
    <xf borderId="17" fillId="0" fontId="3" numFmtId="0" xfId="0" applyAlignment="1" applyBorder="1" applyFont="1">
      <alignment readingOrder="0" shrinkToFit="0" wrapText="1"/>
    </xf>
    <xf borderId="0" fillId="0" fontId="3" numFmtId="164" xfId="0" applyAlignment="1" applyFont="1" applyNumberFormat="1">
      <alignment shrinkToFit="0" wrapText="1"/>
    </xf>
    <xf borderId="0" fillId="0" fontId="3" numFmtId="2" xfId="0" applyAlignment="1" applyFont="1" applyNumberFormat="1">
      <alignment shrinkToFit="0" wrapText="1"/>
    </xf>
    <xf borderId="18" fillId="0" fontId="3" numFmtId="164" xfId="0" applyAlignment="1" applyBorder="1" applyFont="1" applyNumberFormat="1">
      <alignment shrinkToFit="0" wrapText="1"/>
    </xf>
    <xf borderId="0" fillId="0" fontId="3" numFmtId="164" xfId="0" applyAlignment="1" applyFont="1" applyNumberFormat="1">
      <alignment readingOrder="0" shrinkToFit="0" wrapText="1"/>
    </xf>
    <xf borderId="17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shrinkToFit="0" wrapText="1"/>
    </xf>
    <xf borderId="14" fillId="0" fontId="3" numFmtId="0" xfId="0" applyAlignment="1" applyBorder="1" applyFont="1">
      <alignment shrinkToFit="0" wrapText="1"/>
    </xf>
    <xf borderId="15" fillId="0" fontId="3" numFmtId="0" xfId="0" applyAlignment="1" applyBorder="1" applyFont="1">
      <alignment readingOrder="0" shrinkToFit="0" wrapText="1"/>
    </xf>
    <xf borderId="16" fillId="0" fontId="3" numFmtId="164" xfId="0" applyAlignment="1" applyBorder="1" applyFont="1" applyNumberFormat="1">
      <alignment shrinkToFit="0" wrapText="1"/>
    </xf>
    <xf borderId="15" fillId="0" fontId="3" numFmtId="0" xfId="0" applyAlignment="1" applyBorder="1" applyFont="1">
      <alignment shrinkToFit="0" wrapText="1"/>
    </xf>
    <xf borderId="15" fillId="0" fontId="4" numFmtId="0" xfId="0" applyBorder="1" applyFont="1"/>
    <xf borderId="0" fillId="0" fontId="3" numFmtId="166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167" xfId="0" applyAlignment="1" applyFont="1" applyNumberFormat="1">
      <alignment shrinkToFit="0" wrapText="1"/>
    </xf>
    <xf borderId="15" fillId="0" fontId="3" numFmtId="164" xfId="0" applyAlignment="1" applyBorder="1" applyFont="1" applyNumberFormat="1">
      <alignment shrinkToFit="0" wrapText="1"/>
    </xf>
    <xf borderId="19" fillId="0" fontId="3" numFmtId="0" xfId="0" applyAlignment="1" applyBorder="1" applyFont="1">
      <alignment readingOrder="0" shrinkToFit="0" wrapText="1"/>
    </xf>
    <xf borderId="20" fillId="0" fontId="3" numFmtId="0" xfId="0" applyAlignment="1" applyBorder="1" applyFont="1">
      <alignment shrinkToFit="0" wrapText="1"/>
    </xf>
    <xf borderId="20" fillId="0" fontId="3" numFmtId="164" xfId="0" applyAlignment="1" applyBorder="1" applyFont="1" applyNumberFormat="1">
      <alignment shrinkToFit="0" wrapText="1"/>
    </xf>
    <xf borderId="21" fillId="0" fontId="3" numFmtId="164" xfId="0" applyAlignment="1" applyBorder="1" applyFont="1" applyNumberFormat="1">
      <alignment shrinkToFit="0" wrapText="1"/>
    </xf>
    <xf borderId="22" fillId="0" fontId="3" numFmtId="0" xfId="0" applyAlignment="1" applyBorder="1" applyFont="1">
      <alignment readingOrder="0" shrinkToFit="0" wrapText="1"/>
    </xf>
    <xf borderId="23" fillId="0" fontId="2" numFmtId="0" xfId="0" applyBorder="1" applyFont="1"/>
    <xf borderId="24" fillId="0" fontId="2" numFmtId="0" xfId="0" applyBorder="1" applyFont="1"/>
    <xf borderId="25" fillId="0" fontId="3" numFmtId="0" xfId="0" applyAlignment="1" applyBorder="1" applyFont="1">
      <alignment shrinkToFit="0" wrapText="1"/>
    </xf>
    <xf borderId="20" fillId="0" fontId="3" numFmtId="166" xfId="0" applyAlignment="1" applyBorder="1" applyFont="1" applyNumberFormat="1">
      <alignment readingOrder="0" shrinkToFit="0" wrapText="1"/>
    </xf>
    <xf borderId="15" fillId="0" fontId="3" numFmtId="164" xfId="0" applyAlignment="1" applyBorder="1" applyFont="1" applyNumberFormat="1">
      <alignment readingOrder="0" shrinkToFit="0" wrapText="1"/>
    </xf>
    <xf borderId="25" fillId="0" fontId="3" numFmtId="164" xfId="0" applyAlignment="1" applyBorder="1" applyFont="1" applyNumberFormat="1">
      <alignment shrinkToFit="0" wrapText="1"/>
    </xf>
    <xf borderId="20" fillId="0" fontId="3" numFmtId="167" xfId="0" applyAlignment="1" applyBorder="1" applyFont="1" applyNumberFormat="1">
      <alignment shrinkToFit="0" wrapText="1"/>
    </xf>
    <xf borderId="20" fillId="0" fontId="3" numFmtId="168" xfId="0" applyAlignment="1" applyBorder="1" applyFont="1" applyNumberFormat="1">
      <alignment shrinkToFit="0" wrapText="1"/>
    </xf>
    <xf borderId="0" fillId="0" fontId="3" numFmtId="168" xfId="0" applyAlignment="1" applyFont="1" applyNumberFormat="1">
      <alignment shrinkToFit="0" wrapText="1"/>
    </xf>
    <xf borderId="0" fillId="0" fontId="17" numFmtId="0" xfId="0" applyAlignment="1" applyFont="1">
      <alignment readingOrder="0" shrinkToFit="0" wrapText="1"/>
    </xf>
    <xf borderId="26" fillId="0" fontId="18" numFmtId="0" xfId="0" applyAlignment="1" applyBorder="1" applyFont="1">
      <alignment horizontal="center" shrinkToFit="0" vertical="center" wrapText="1"/>
    </xf>
    <xf borderId="27" fillId="0" fontId="2" numFmtId="0" xfId="0" applyBorder="1" applyFont="1"/>
    <xf borderId="0" fillId="0" fontId="19" numFmtId="0" xfId="0" applyAlignment="1" applyFont="1">
      <alignment readingOrder="0" shrinkToFit="0" wrapText="1"/>
    </xf>
    <xf borderId="26" fillId="0" fontId="18" numFmtId="2" xfId="0" applyAlignment="1" applyBorder="1" applyFont="1" applyNumberFormat="1">
      <alignment horizontal="center" shrinkToFit="0" textRotation="0" vertical="center" wrapText="1"/>
    </xf>
    <xf borderId="28" fillId="0" fontId="15" numFmtId="0" xfId="0" applyAlignment="1" applyBorder="1" applyFont="1">
      <alignment horizontal="center" readingOrder="0" shrinkToFit="0" wrapText="1"/>
    </xf>
    <xf borderId="29" fillId="0" fontId="2" numFmtId="0" xfId="0" applyBorder="1" applyFont="1"/>
    <xf borderId="30" fillId="0" fontId="2" numFmtId="0" xfId="0" applyBorder="1" applyFont="1"/>
    <xf borderId="31" fillId="0" fontId="3" numFmtId="0" xfId="0" applyAlignment="1" applyBorder="1" applyFont="1">
      <alignment horizontal="center" readingOrder="0" shrinkToFit="0" vertical="center" wrapText="1"/>
    </xf>
    <xf borderId="31" fillId="0" fontId="3" numFmtId="0" xfId="0" applyAlignment="1" applyBorder="1" applyFont="1">
      <alignment horizontal="center" readingOrder="0" vertical="center"/>
    </xf>
    <xf borderId="31" fillId="0" fontId="4" numFmtId="0" xfId="0" applyBorder="1" applyFont="1"/>
    <xf borderId="0" fillId="0" fontId="3" numFmtId="0" xfId="0" applyAlignment="1" applyFont="1">
      <alignment horizontal="center" vertical="center"/>
    </xf>
    <xf borderId="14" fillId="0" fontId="3" numFmtId="0" xfId="0" applyAlignment="1" applyBorder="1" applyFont="1">
      <alignment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righ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wrapText="1"/>
    </xf>
    <xf borderId="20" fillId="0" fontId="3" numFmtId="0" xfId="0" applyAlignment="1" applyBorder="1" applyFont="1">
      <alignment readingOrder="0" shrinkToFit="0" vertical="center" wrapText="1"/>
    </xf>
    <xf borderId="20" fillId="0" fontId="3" numFmtId="164" xfId="0" applyAlignment="1" applyBorder="1" applyFont="1" applyNumberFormat="1">
      <alignment readingOrder="0" shrinkToFit="0" wrapText="1"/>
    </xf>
    <xf borderId="20" fillId="0" fontId="3" numFmtId="164" xfId="0" applyAlignment="1" applyBorder="1" applyFont="1" applyNumberFormat="1">
      <alignment horizontal="center" shrinkToFit="0" vertical="center" wrapText="1"/>
    </xf>
    <xf borderId="32" fillId="0" fontId="3" numFmtId="164" xfId="0" applyAlignment="1" applyBorder="1" applyFont="1" applyNumberFormat="1">
      <alignment horizontal="center" shrinkToFit="0" vertical="center" wrapText="1"/>
    </xf>
    <xf borderId="0" fillId="0" fontId="3" numFmtId="164" xfId="0" applyFont="1" applyNumberFormat="1"/>
    <xf borderId="0" fillId="0" fontId="3" numFmtId="0" xfId="0" applyFont="1"/>
    <xf borderId="33" fillId="0" fontId="2" numFmtId="0" xfId="0" applyBorder="1" applyFont="1"/>
    <xf borderId="15" fillId="0" fontId="2" numFmtId="0" xfId="0" applyBorder="1" applyFont="1"/>
    <xf borderId="34" fillId="0" fontId="2" numFmtId="0" xfId="0" applyBorder="1" applyFont="1"/>
    <xf borderId="0" fillId="0" fontId="4" numFmtId="0" xfId="0" applyAlignment="1" applyFont="1">
      <alignment horizontal="left" readingOrder="0" shrinkToFit="0" wrapText="1"/>
    </xf>
    <xf borderId="20" fillId="0" fontId="4" numFmtId="0" xfId="0" applyBorder="1" applyFont="1"/>
    <xf borderId="20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horizontal="center" readingOrder="0" shrinkToFit="0" wrapText="1"/>
    </xf>
    <xf borderId="26" fillId="0" fontId="18" numFmtId="2" xfId="0" applyAlignment="1" applyBorder="1" applyFont="1" applyNumberFormat="1">
      <alignment horizontal="center" shrinkToFit="0" vertical="center" wrapText="1"/>
    </xf>
    <xf borderId="0" fillId="0" fontId="20" numFmtId="0" xfId="0" applyAlignment="1" applyFont="1">
      <alignment readingOrder="0" shrinkToFit="0" wrapText="1"/>
    </xf>
    <xf borderId="35" fillId="0" fontId="3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shrinkToFit="0" wrapText="1"/>
    </xf>
    <xf borderId="15" fillId="0" fontId="3" numFmtId="2" xfId="0" applyAlignment="1" applyBorder="1" applyFont="1" applyNumberFormat="1">
      <alignment shrinkToFit="0" wrapText="1"/>
    </xf>
    <xf borderId="0" fillId="0" fontId="5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9.png"/><Relationship Id="rId3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image" Target="../media/image1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962025</xdr:colOff>
      <xdr:row>14</xdr:row>
      <xdr:rowOff>238125</xdr:rowOff>
    </xdr:from>
    <xdr:ext cx="3752850" cy="9810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962025</xdr:colOff>
      <xdr:row>20</xdr:row>
      <xdr:rowOff>228600</xdr:rowOff>
    </xdr:from>
    <xdr:ext cx="3629025" cy="1028700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533400</xdr:colOff>
      <xdr:row>15</xdr:row>
      <xdr:rowOff>47625</xdr:rowOff>
    </xdr:from>
    <xdr:ext cx="4581525" cy="1085850"/>
    <xdr:pic>
      <xdr:nvPicPr>
        <xdr:cNvPr id="0" name="image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962025</xdr:colOff>
      <xdr:row>21</xdr:row>
      <xdr:rowOff>228600</xdr:rowOff>
    </xdr:from>
    <xdr:ext cx="2886075" cy="85725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962025</xdr:colOff>
      <xdr:row>27</xdr:row>
      <xdr:rowOff>228600</xdr:rowOff>
    </xdr:from>
    <xdr:ext cx="7734300" cy="2143125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381000</xdr:colOff>
      <xdr:row>36</xdr:row>
      <xdr:rowOff>352425</xdr:rowOff>
    </xdr:from>
    <xdr:ext cx="3629025" cy="981075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171450</xdr:colOff>
      <xdr:row>37</xdr:row>
      <xdr:rowOff>38100</xdr:rowOff>
    </xdr:from>
    <xdr:ext cx="2886075" cy="1028700"/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133350</xdr:colOff>
      <xdr:row>43</xdr:row>
      <xdr:rowOff>228600</xdr:rowOff>
    </xdr:from>
    <xdr:ext cx="3752850" cy="120015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409575</xdr:colOff>
      <xdr:row>43</xdr:row>
      <xdr:rowOff>47625</xdr:rowOff>
    </xdr:from>
    <xdr:ext cx="2886075" cy="1381125"/>
    <xdr:pic>
      <xdr:nvPicPr>
        <xdr:cNvPr id="0" name="image1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25"/>
    <col customWidth="1" min="4" max="4" width="9.25"/>
    <col customWidth="1" min="5" max="5" width="22.5"/>
    <col customWidth="1" min="6" max="6" width="19.5"/>
    <col customWidth="1" min="9" max="9" width="16.0"/>
    <col customWidth="1" min="10" max="10" width="16.63"/>
    <col customWidth="1" min="12" max="12" width="16.88"/>
    <col customWidth="1" min="15" max="15" width="33.38"/>
    <col customWidth="1" min="16" max="16" width="12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6"/>
      <c r="C3" s="6"/>
      <c r="D3" s="6"/>
      <c r="E3" s="6"/>
      <c r="F3" s="7"/>
      <c r="G3" s="7"/>
      <c r="H3" s="7"/>
      <c r="I3" s="7"/>
      <c r="J3" s="7"/>
      <c r="K3" s="7"/>
      <c r="L3" s="7"/>
      <c r="P3" s="7"/>
      <c r="Q3" s="7"/>
      <c r="R3" s="7"/>
      <c r="S3" s="7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P4" s="4"/>
      <c r="Q4" s="4"/>
      <c r="R4" s="4"/>
      <c r="S4" s="4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>
      <c r="A5" s="9" t="s">
        <v>1</v>
      </c>
      <c r="B5" s="10"/>
      <c r="C5" s="11">
        <f>4000</f>
        <v>4000</v>
      </c>
      <c r="D5" s="12"/>
      <c r="E5" s="13" t="s">
        <v>2</v>
      </c>
      <c r="F5" s="14"/>
      <c r="G5" s="14"/>
      <c r="H5" s="14"/>
      <c r="I5" s="14"/>
      <c r="J5" s="14"/>
      <c r="K5" s="14"/>
      <c r="L5" s="14"/>
      <c r="M5" s="15"/>
      <c r="N5" s="15"/>
      <c r="O5" s="15"/>
      <c r="P5" s="14"/>
      <c r="Q5" s="14"/>
      <c r="R5" s="14"/>
      <c r="S5" s="14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>
      <c r="D6" s="4"/>
      <c r="F6" s="4"/>
      <c r="G6" s="4"/>
      <c r="H6" s="4"/>
      <c r="I6" s="4"/>
      <c r="J6" s="4"/>
      <c r="K6" s="4"/>
      <c r="L6" s="4"/>
      <c r="P6" s="4"/>
      <c r="Q6" s="4"/>
      <c r="R6" s="4"/>
      <c r="S6" s="4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17"/>
      <c r="B7" s="4"/>
      <c r="C7" s="4"/>
      <c r="D7" s="4"/>
      <c r="F7" s="4"/>
      <c r="G7" s="4"/>
      <c r="H7" s="4"/>
      <c r="I7" s="4"/>
      <c r="J7" s="4"/>
      <c r="K7" s="4"/>
      <c r="L7" s="4"/>
      <c r="P7" s="4"/>
      <c r="Q7" s="4"/>
      <c r="R7" s="4"/>
      <c r="S7" s="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17" t="s">
        <v>3</v>
      </c>
      <c r="B8" s="4"/>
      <c r="C8" s="18">
        <f>P31*C5</f>
        <v>55662.37704</v>
      </c>
      <c r="D8" s="19"/>
      <c r="E8" s="20" t="s">
        <v>2</v>
      </c>
      <c r="F8" s="4"/>
      <c r="G8" s="4"/>
      <c r="H8" s="4"/>
      <c r="I8" s="4"/>
      <c r="J8" s="4"/>
      <c r="K8" s="4"/>
      <c r="L8" s="4"/>
      <c r="P8" s="4"/>
      <c r="Q8" s="4"/>
      <c r="R8" s="4"/>
      <c r="S8" s="4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17"/>
      <c r="B9" s="4"/>
      <c r="C9" s="21"/>
      <c r="D9" s="21"/>
      <c r="E9" s="20"/>
      <c r="F9" s="4"/>
      <c r="G9" s="4"/>
      <c r="H9" s="4"/>
      <c r="I9" s="4"/>
      <c r="J9" s="4"/>
      <c r="K9" s="4"/>
      <c r="L9" s="4"/>
      <c r="P9" s="4"/>
      <c r="Q9" s="4"/>
      <c r="R9" s="4"/>
      <c r="S9" s="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17" t="s">
        <v>4</v>
      </c>
      <c r="B10" s="4"/>
      <c r="C10" s="22" t="s">
        <v>5</v>
      </c>
      <c r="D10" s="23">
        <f>1.01325</f>
        <v>1.01325</v>
      </c>
      <c r="E10" s="20" t="s">
        <v>6</v>
      </c>
      <c r="F10" s="4"/>
      <c r="G10" s="6" t="s">
        <v>7</v>
      </c>
      <c r="H10" s="17">
        <v>298.0</v>
      </c>
      <c r="I10" s="17" t="s">
        <v>8</v>
      </c>
      <c r="J10" s="4"/>
      <c r="K10" s="4"/>
      <c r="L10" s="4"/>
      <c r="P10" s="4"/>
      <c r="Q10" s="4"/>
      <c r="R10" s="4"/>
      <c r="S10" s="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>
      <c r="A12" s="24"/>
      <c r="B12" s="25"/>
      <c r="C12" s="26" t="s">
        <v>9</v>
      </c>
      <c r="D12" s="27"/>
      <c r="E12" s="27"/>
      <c r="F12" s="27"/>
      <c r="G12" s="27"/>
      <c r="H12" s="27"/>
      <c r="I12" s="27"/>
      <c r="J12" s="27"/>
      <c r="K12" s="19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</row>
    <row r="13">
      <c r="A13" s="28"/>
      <c r="B13" s="28"/>
      <c r="C13" s="29" t="s">
        <v>10</v>
      </c>
      <c r="D13" s="30"/>
      <c r="E13" s="31" t="s">
        <v>11</v>
      </c>
      <c r="F13" s="32" t="s">
        <v>12</v>
      </c>
      <c r="G13" s="30" t="s">
        <v>13</v>
      </c>
      <c r="H13" s="30" t="s">
        <v>14</v>
      </c>
      <c r="I13" s="30" t="s">
        <v>15</v>
      </c>
      <c r="J13" s="30"/>
      <c r="K13" s="33" t="s">
        <v>16</v>
      </c>
      <c r="L13" s="28"/>
      <c r="M13" s="28"/>
      <c r="N13" s="28"/>
      <c r="O13" s="34"/>
      <c r="P13" s="28"/>
      <c r="Q13" s="34"/>
      <c r="R13" s="28"/>
      <c r="S13" s="28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</row>
    <row r="14">
      <c r="A14" s="28"/>
      <c r="B14" s="28"/>
      <c r="C14" s="34"/>
      <c r="D14" s="34"/>
      <c r="E14" s="34"/>
      <c r="F14" s="34"/>
      <c r="G14" s="34"/>
      <c r="H14" s="34"/>
      <c r="I14" s="34"/>
      <c r="J14" s="34"/>
      <c r="K14" s="34"/>
      <c r="L14" s="28"/>
      <c r="M14" s="28"/>
      <c r="N14" s="28"/>
      <c r="O14" s="34"/>
      <c r="P14" s="28"/>
      <c r="Q14" s="34"/>
      <c r="R14" s="28"/>
      <c r="S14" s="28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</row>
    <row r="15">
      <c r="A15" s="28"/>
      <c r="B15" s="28"/>
      <c r="C15" s="36" t="s">
        <v>17</v>
      </c>
      <c r="D15" s="27"/>
      <c r="E15" s="27"/>
      <c r="F15" s="27"/>
      <c r="G15" s="27"/>
      <c r="H15" s="27"/>
      <c r="I15" s="27"/>
      <c r="J15" s="27"/>
      <c r="K15" s="19"/>
      <c r="L15" s="28"/>
      <c r="M15" s="28"/>
      <c r="N15" s="28"/>
      <c r="O15" s="34" t="s">
        <v>18</v>
      </c>
      <c r="P15" s="34">
        <f>12.67</f>
        <v>12.67</v>
      </c>
      <c r="Q15" s="28"/>
      <c r="R15" s="28"/>
      <c r="S15" s="28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</row>
    <row r="16">
      <c r="A16" s="17"/>
      <c r="B16" s="4"/>
      <c r="C16" s="37" t="s">
        <v>19</v>
      </c>
      <c r="D16" s="38"/>
      <c r="E16" s="39">
        <f>C5</f>
        <v>4000</v>
      </c>
      <c r="F16" s="39">
        <f>0</f>
        <v>0</v>
      </c>
      <c r="G16" s="39">
        <f>0.9</f>
        <v>0.9</v>
      </c>
      <c r="H16" s="39">
        <f>E16*G16</f>
        <v>3600</v>
      </c>
      <c r="I16" s="39">
        <f>E16/E16</f>
        <v>1</v>
      </c>
      <c r="J16" s="40" t="s">
        <v>20</v>
      </c>
      <c r="K16" s="41">
        <f>H16</f>
        <v>3600</v>
      </c>
      <c r="L16" s="4"/>
      <c r="M16" s="4"/>
      <c r="N16" s="4"/>
      <c r="O16" s="4"/>
      <c r="P16" s="4"/>
      <c r="Q16" s="4"/>
      <c r="R16" s="4"/>
      <c r="S16" s="4"/>
      <c r="T16" s="7"/>
      <c r="U16" s="7"/>
      <c r="V16" s="7"/>
      <c r="W16" s="5"/>
      <c r="X16" s="5"/>
      <c r="Y16" s="5"/>
      <c r="Z16" s="5"/>
      <c r="AA16" s="5"/>
      <c r="AB16" s="5"/>
      <c r="AC16" s="5"/>
      <c r="AD16" s="5"/>
      <c r="AE16" s="5"/>
    </row>
    <row r="17" ht="36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7" t="s">
        <v>21</v>
      </c>
      <c r="P17" s="42">
        <f>90%</f>
        <v>0.9</v>
      </c>
      <c r="Q17" s="4"/>
      <c r="R17" s="4"/>
      <c r="S17" s="4"/>
      <c r="W17" s="5"/>
      <c r="X17" s="5"/>
      <c r="Y17" s="5"/>
      <c r="Z17" s="5"/>
      <c r="AA17" s="5"/>
      <c r="AB17" s="5"/>
      <c r="AC17" s="5"/>
      <c r="AD17" s="5"/>
      <c r="AE17" s="5"/>
    </row>
    <row r="18">
      <c r="A18" s="4"/>
      <c r="B18" s="4"/>
      <c r="C18" s="43" t="s">
        <v>22</v>
      </c>
      <c r="D18" s="27"/>
      <c r="E18" s="27"/>
      <c r="F18" s="27"/>
      <c r="G18" s="27"/>
      <c r="H18" s="27"/>
      <c r="I18" s="27"/>
      <c r="J18" s="27"/>
      <c r="K18" s="19"/>
      <c r="L18" s="4"/>
      <c r="M18" s="4"/>
      <c r="N18" s="4"/>
      <c r="O18" s="17" t="s">
        <v>23</v>
      </c>
      <c r="P18" s="42">
        <f>10%</f>
        <v>0.1</v>
      </c>
      <c r="Q18" s="4"/>
      <c r="R18" s="4"/>
      <c r="S18" s="4"/>
      <c r="W18" s="5"/>
      <c r="X18" s="5"/>
      <c r="Y18" s="5"/>
      <c r="Z18" s="5"/>
      <c r="AA18" s="5"/>
      <c r="AB18" s="5"/>
      <c r="AC18" s="5"/>
      <c r="AD18" s="5"/>
      <c r="AE18" s="5"/>
    </row>
    <row r="19">
      <c r="A19" s="17"/>
      <c r="B19" s="4"/>
      <c r="C19" s="44" t="s">
        <v>24</v>
      </c>
      <c r="D19" s="4"/>
      <c r="E19" s="45">
        <f>K16</f>
        <v>3600</v>
      </c>
      <c r="F19" s="45">
        <f t="shared" ref="F19:F20" si="1">0</f>
        <v>0</v>
      </c>
      <c r="G19" s="46">
        <f>0.95</f>
        <v>0.95</v>
      </c>
      <c r="H19" s="45">
        <f>E19*G19</f>
        <v>3420</v>
      </c>
      <c r="I19" s="45">
        <f t="shared" ref="I19:I23" si="2">K19/$K$25</f>
        <v>0.002961597947</v>
      </c>
      <c r="J19" s="4"/>
      <c r="K19" s="47">
        <f t="shared" ref="K19:K23" si="3">E19-H19+F19</f>
        <v>180</v>
      </c>
      <c r="L19" s="4"/>
      <c r="M19" s="4"/>
      <c r="N19" s="4"/>
      <c r="O19" s="4"/>
      <c r="P19" s="4"/>
      <c r="Q19" s="4"/>
      <c r="R19" s="4"/>
      <c r="S19" s="4"/>
      <c r="W19" s="5"/>
      <c r="X19" s="5"/>
      <c r="Y19" s="5"/>
      <c r="Z19" s="5"/>
      <c r="AA19" s="5"/>
      <c r="AB19" s="5"/>
      <c r="AC19" s="5"/>
      <c r="AD19" s="5"/>
      <c r="AE19" s="5"/>
    </row>
    <row r="20">
      <c r="A20" s="4"/>
      <c r="B20" s="4"/>
      <c r="C20" s="44" t="s">
        <v>25</v>
      </c>
      <c r="D20" s="4"/>
      <c r="E20" s="45">
        <f>E16*P15</f>
        <v>50680</v>
      </c>
      <c r="F20" s="45">
        <f t="shared" si="1"/>
        <v>0</v>
      </c>
      <c r="G20" s="46">
        <f>H20/E20</f>
        <v>0.07355564325</v>
      </c>
      <c r="H20" s="45">
        <f>(H19)+H21</f>
        <v>3727.8</v>
      </c>
      <c r="I20" s="45">
        <f t="shared" si="2"/>
        <v>0.7725196617</v>
      </c>
      <c r="J20" s="4"/>
      <c r="K20" s="47">
        <f t="shared" si="3"/>
        <v>46952.2</v>
      </c>
      <c r="L20" s="4"/>
      <c r="M20" s="4"/>
      <c r="N20" s="4"/>
      <c r="O20" s="17" t="s">
        <v>26</v>
      </c>
      <c r="P20" s="45">
        <f>10</f>
        <v>10</v>
      </c>
      <c r="Q20" s="4"/>
      <c r="R20" s="4"/>
      <c r="S20" s="4"/>
      <c r="W20" s="5"/>
      <c r="X20" s="5"/>
      <c r="Y20" s="5"/>
      <c r="Z20" s="5"/>
      <c r="AA20" s="5"/>
      <c r="AB20" s="5"/>
      <c r="AC20" s="5"/>
      <c r="AD20" s="5"/>
      <c r="AE20" s="5"/>
    </row>
    <row r="21">
      <c r="A21" s="17"/>
      <c r="B21" s="4"/>
      <c r="C21" s="44" t="s">
        <v>27</v>
      </c>
      <c r="D21" s="4"/>
      <c r="E21" s="48">
        <f t="shared" ref="E21:E23" si="4">0</f>
        <v>0</v>
      </c>
      <c r="F21" s="45">
        <f>H19*P17</f>
        <v>3078</v>
      </c>
      <c r="G21" s="46">
        <f>0.1</f>
        <v>0.1</v>
      </c>
      <c r="H21" s="45">
        <f>F21*G21</f>
        <v>307.8</v>
      </c>
      <c r="I21" s="45">
        <f t="shared" si="2"/>
        <v>0.0455789924</v>
      </c>
      <c r="J21" s="4"/>
      <c r="K21" s="47">
        <f t="shared" si="3"/>
        <v>2770.2</v>
      </c>
      <c r="L21" s="4"/>
      <c r="M21" s="4"/>
      <c r="N21" s="4"/>
      <c r="O21" s="17" t="s">
        <v>28</v>
      </c>
      <c r="P21" s="4">
        <f>0.79</f>
        <v>0.79</v>
      </c>
      <c r="Q21" s="4"/>
      <c r="R21" s="4"/>
      <c r="S21" s="4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4"/>
      <c r="B22" s="4"/>
      <c r="C22" s="44" t="s">
        <v>29</v>
      </c>
      <c r="D22" s="4"/>
      <c r="E22" s="45">
        <f t="shared" si="4"/>
        <v>0</v>
      </c>
      <c r="F22" s="45">
        <f>H21</f>
        <v>307.8</v>
      </c>
      <c r="G22" s="46">
        <f t="shared" ref="G22:H22" si="5">0</f>
        <v>0</v>
      </c>
      <c r="H22" s="45">
        <f t="shared" si="5"/>
        <v>0</v>
      </c>
      <c r="I22" s="45">
        <f t="shared" si="2"/>
        <v>0.005064332489</v>
      </c>
      <c r="J22" s="4"/>
      <c r="K22" s="47">
        <f t="shared" si="3"/>
        <v>307.8</v>
      </c>
      <c r="L22" s="4"/>
      <c r="M22" s="4"/>
      <c r="N22" s="4"/>
      <c r="O22" s="17" t="s">
        <v>30</v>
      </c>
      <c r="P22" s="4">
        <f>0.21</f>
        <v>0.21</v>
      </c>
      <c r="Q22" s="4"/>
      <c r="R22" s="4"/>
      <c r="S22" s="4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17"/>
      <c r="B23" s="4"/>
      <c r="C23" s="44" t="s">
        <v>31</v>
      </c>
      <c r="D23" s="4"/>
      <c r="E23" s="45">
        <f t="shared" si="4"/>
        <v>0</v>
      </c>
      <c r="F23" s="45">
        <f>(3*H19)+H21</f>
        <v>10567.8</v>
      </c>
      <c r="G23" s="46">
        <f t="shared" ref="G23:H23" si="6">0</f>
        <v>0</v>
      </c>
      <c r="H23" s="45">
        <f t="shared" si="6"/>
        <v>0</v>
      </c>
      <c r="I23" s="45">
        <f t="shared" si="2"/>
        <v>0.1738754154</v>
      </c>
      <c r="J23" s="4"/>
      <c r="K23" s="47">
        <f t="shared" si="3"/>
        <v>10567.8</v>
      </c>
      <c r="L23" s="4"/>
      <c r="M23" s="4"/>
      <c r="N23" s="4"/>
      <c r="O23" s="17" t="s">
        <v>32</v>
      </c>
      <c r="P23" s="17">
        <v>29.0</v>
      </c>
      <c r="Q23" s="17" t="s">
        <v>33</v>
      </c>
      <c r="R23" s="4"/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>
      <c r="A24" s="4"/>
      <c r="B24" s="4"/>
      <c r="C24" s="49"/>
      <c r="D24" s="4"/>
      <c r="E24" s="4"/>
      <c r="F24" s="4"/>
      <c r="G24" s="4"/>
      <c r="H24" s="4"/>
      <c r="I24" s="4"/>
      <c r="J24" s="4"/>
      <c r="K24" s="50"/>
      <c r="L24" s="4"/>
      <c r="M24" s="4"/>
      <c r="N24" s="4"/>
      <c r="O24" s="17" t="s">
        <v>34</v>
      </c>
      <c r="P24" s="45">
        <f>E33+E34</f>
        <v>40000</v>
      </c>
      <c r="Q24" s="17" t="s">
        <v>2</v>
      </c>
      <c r="R24" s="4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17"/>
      <c r="B25" s="4"/>
      <c r="C25" s="51"/>
      <c r="D25" s="52" t="s">
        <v>35</v>
      </c>
      <c r="E25" s="53">
        <f>E19+E20+E21+E22+E23</f>
        <v>54280</v>
      </c>
      <c r="F25" s="54"/>
      <c r="G25" s="55"/>
      <c r="H25" s="54"/>
      <c r="I25" s="54"/>
      <c r="J25" s="52" t="s">
        <v>36</v>
      </c>
      <c r="K25" s="53">
        <f>SUM(K19:K23)</f>
        <v>60778</v>
      </c>
      <c r="L25" s="4"/>
      <c r="M25" s="4"/>
      <c r="N25" s="4"/>
      <c r="O25" s="4"/>
      <c r="P25" s="4"/>
      <c r="Q25" s="4"/>
      <c r="R25" s="4"/>
      <c r="S25" s="4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ht="33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17" t="s">
        <v>37</v>
      </c>
      <c r="P26" s="4">
        <f>20%</f>
        <v>0.2</v>
      </c>
      <c r="S26" s="4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4"/>
      <c r="B27" s="4"/>
      <c r="C27" s="43" t="s">
        <v>38</v>
      </c>
      <c r="D27" s="27"/>
      <c r="E27" s="27"/>
      <c r="F27" s="27"/>
      <c r="G27" s="27"/>
      <c r="H27" s="27"/>
      <c r="I27" s="27"/>
      <c r="J27" s="27"/>
      <c r="K27" s="19"/>
      <c r="L27" s="4"/>
      <c r="M27" s="4"/>
      <c r="N27" s="4"/>
      <c r="O27" s="17" t="s">
        <v>39</v>
      </c>
      <c r="P27" s="4">
        <f>50%</f>
        <v>0.5</v>
      </c>
      <c r="Q27" s="4"/>
      <c r="R27" s="4"/>
      <c r="S27" s="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4"/>
      <c r="B28" s="4"/>
      <c r="C28" s="44" t="s">
        <v>24</v>
      </c>
      <c r="E28" s="45">
        <f t="shared" ref="E28:E32" si="7">K19</f>
        <v>180</v>
      </c>
      <c r="F28" s="48">
        <v>0.0</v>
      </c>
      <c r="G28" s="45">
        <f>0.99</f>
        <v>0.99</v>
      </c>
      <c r="H28" s="45">
        <f>E28*G28</f>
        <v>178.2</v>
      </c>
      <c r="I28" s="56">
        <f t="shared" ref="I28:I34" si="8">K28/$K$36</f>
        <v>0.00001150132207</v>
      </c>
      <c r="J28" s="45"/>
      <c r="K28" s="47">
        <f>E28-H28+F28</f>
        <v>1.8</v>
      </c>
      <c r="L28" s="4"/>
      <c r="M28" s="4"/>
      <c r="N28" s="4"/>
      <c r="O28" s="57" t="s">
        <v>40</v>
      </c>
      <c r="P28" s="58">
        <f>0.7</f>
        <v>0.7</v>
      </c>
      <c r="Q28" s="4"/>
      <c r="R28" s="4"/>
      <c r="S28" s="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4"/>
      <c r="B29" s="4"/>
      <c r="C29" s="44" t="s">
        <v>25</v>
      </c>
      <c r="E29" s="45">
        <f t="shared" si="7"/>
        <v>46952.2</v>
      </c>
      <c r="F29" s="48">
        <f>2*H28*P29</f>
        <v>106.92</v>
      </c>
      <c r="G29" s="45">
        <f>H29/E29</f>
        <v>0.05984575803</v>
      </c>
      <c r="H29" s="45">
        <f>(H28)+H30</f>
        <v>2809.89</v>
      </c>
      <c r="I29" s="56">
        <f t="shared" si="8"/>
        <v>0.6383975395</v>
      </c>
      <c r="J29" s="45"/>
      <c r="K29" s="47">
        <f>E29-H29+F29+C8</f>
        <v>99911.60704</v>
      </c>
      <c r="L29" s="4"/>
      <c r="M29" s="4"/>
      <c r="N29" s="4"/>
      <c r="O29" s="17" t="s">
        <v>41</v>
      </c>
      <c r="P29" s="4">
        <f>30%</f>
        <v>0.3</v>
      </c>
      <c r="Q29" s="4"/>
      <c r="R29" s="4"/>
      <c r="S29" s="4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>
      <c r="A30" s="4"/>
      <c r="B30" s="4"/>
      <c r="C30" s="44" t="s">
        <v>27</v>
      </c>
      <c r="E30" s="45">
        <f t="shared" si="7"/>
        <v>2770.2</v>
      </c>
      <c r="F30" s="45">
        <f>P28*H28</f>
        <v>124.74</v>
      </c>
      <c r="G30" s="45">
        <f>0.95</f>
        <v>0.95</v>
      </c>
      <c r="H30" s="45">
        <f>G30*E30</f>
        <v>2631.69</v>
      </c>
      <c r="I30" s="56">
        <f t="shared" si="8"/>
        <v>0.001682068353</v>
      </c>
      <c r="J30" s="45"/>
      <c r="K30" s="47">
        <f t="shared" ref="K30:K34" si="9">E30-H30+F30</f>
        <v>263.25</v>
      </c>
      <c r="L30" s="4"/>
      <c r="M30" s="4"/>
      <c r="N30" s="4"/>
      <c r="O30" s="4"/>
      <c r="P30" s="4"/>
      <c r="Q30" s="4"/>
      <c r="R30" s="4"/>
      <c r="S30" s="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>
      <c r="A31" s="4"/>
      <c r="B31" s="4"/>
      <c r="C31" s="44" t="s">
        <v>29</v>
      </c>
      <c r="E31" s="45">
        <f t="shared" si="7"/>
        <v>307.8</v>
      </c>
      <c r="F31" s="45">
        <f>(H28*P29)+H30</f>
        <v>2685.15</v>
      </c>
      <c r="G31" s="48">
        <f t="shared" ref="G31:G33" si="10">0</f>
        <v>0</v>
      </c>
      <c r="H31" s="48">
        <v>0.0</v>
      </c>
      <c r="I31" s="56">
        <f t="shared" si="8"/>
        <v>0.01912382327</v>
      </c>
      <c r="J31" s="45"/>
      <c r="K31" s="47">
        <f t="shared" si="9"/>
        <v>2992.95</v>
      </c>
      <c r="L31" s="4"/>
      <c r="M31" s="4"/>
      <c r="N31" s="4"/>
      <c r="O31" s="17" t="s">
        <v>42</v>
      </c>
      <c r="P31" s="45">
        <f>13.91559426
</f>
        <v>13.91559426</v>
      </c>
      <c r="Q31" s="4"/>
      <c r="R31" s="4"/>
      <c r="S31" s="4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>
      <c r="A32" s="4"/>
      <c r="B32" s="4"/>
      <c r="C32" s="44" t="s">
        <v>31</v>
      </c>
      <c r="E32" s="45">
        <f t="shared" si="7"/>
        <v>10567.8</v>
      </c>
      <c r="F32" s="45">
        <f>(3*H28)+(2*P27)+H30</f>
        <v>3167.29</v>
      </c>
      <c r="G32" s="48">
        <f t="shared" si="10"/>
        <v>0</v>
      </c>
      <c r="H32" s="48">
        <v>0.0</v>
      </c>
      <c r="I32" s="56">
        <f t="shared" si="8"/>
        <v>0.08776205209</v>
      </c>
      <c r="J32" s="45"/>
      <c r="K32" s="47">
        <f t="shared" si="9"/>
        <v>13735.09</v>
      </c>
      <c r="L32" s="4"/>
      <c r="M32" s="4"/>
      <c r="N32" s="4"/>
      <c r="O32" s="17" t="s">
        <v>43</v>
      </c>
      <c r="P32" s="4">
        <f>0.87</f>
        <v>0.87</v>
      </c>
      <c r="Q32" s="4"/>
      <c r="R32" s="4"/>
      <c r="S32" s="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4"/>
      <c r="B33" s="34"/>
      <c r="C33" s="44" t="s">
        <v>44</v>
      </c>
      <c r="E33" s="45">
        <f>P21*P20*E16</f>
        <v>31600</v>
      </c>
      <c r="F33" s="48">
        <v>0.0</v>
      </c>
      <c r="G33" s="48">
        <f t="shared" si="10"/>
        <v>0</v>
      </c>
      <c r="H33" s="48">
        <v>0.0</v>
      </c>
      <c r="I33" s="56">
        <f t="shared" si="8"/>
        <v>0.2019120986</v>
      </c>
      <c r="J33" s="45"/>
      <c r="K33" s="47">
        <f t="shared" si="9"/>
        <v>31600</v>
      </c>
      <c r="L33" s="4"/>
      <c r="M33" s="4"/>
      <c r="N33" s="4"/>
      <c r="O33" s="4"/>
      <c r="P33" s="4"/>
      <c r="Q33" s="4"/>
      <c r="R33" s="4"/>
      <c r="S33" s="4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4"/>
      <c r="B34" s="34"/>
      <c r="C34" s="44" t="s">
        <v>45</v>
      </c>
      <c r="E34" s="45">
        <f>E16*P20*P22</f>
        <v>8400</v>
      </c>
      <c r="F34" s="48">
        <v>0.0</v>
      </c>
      <c r="G34" s="59">
        <f>H34/E34</f>
        <v>0.04773214286</v>
      </c>
      <c r="H34" s="45">
        <f>(0.5*P27*H28)+(2*H28)</f>
        <v>400.95</v>
      </c>
      <c r="I34" s="56">
        <f t="shared" si="8"/>
        <v>0.05111091684</v>
      </c>
      <c r="J34" s="45"/>
      <c r="K34" s="47">
        <f t="shared" si="9"/>
        <v>7999.05</v>
      </c>
      <c r="L34" s="4"/>
      <c r="M34" s="4"/>
      <c r="N34" s="4"/>
      <c r="O34" s="4"/>
      <c r="P34" s="4"/>
      <c r="Q34" s="4"/>
      <c r="R34" s="4"/>
      <c r="S34" s="4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4"/>
      <c r="B35" s="4"/>
      <c r="C35" s="49"/>
      <c r="D35" s="4"/>
      <c r="E35" s="4"/>
      <c r="F35" s="4"/>
      <c r="G35" s="4"/>
      <c r="H35" s="4"/>
      <c r="I35" s="4"/>
      <c r="J35" s="4"/>
      <c r="K35" s="50"/>
      <c r="L35" s="4"/>
      <c r="M35" s="4"/>
      <c r="N35" s="4"/>
      <c r="R35" s="4"/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4"/>
      <c r="B36" s="4"/>
      <c r="C36" s="51"/>
      <c r="D36" s="52" t="s">
        <v>35</v>
      </c>
      <c r="E36" s="53">
        <f>SUM(E28:E34)</f>
        <v>100778</v>
      </c>
      <c r="F36" s="54"/>
      <c r="G36" s="54"/>
      <c r="H36" s="54"/>
      <c r="I36" s="54"/>
      <c r="J36" s="52" t="s">
        <v>36</v>
      </c>
      <c r="K36" s="53">
        <f>SUM(K28:K34)</f>
        <v>156503.747</v>
      </c>
      <c r="L36" s="4"/>
      <c r="M36" s="4"/>
      <c r="N36" s="4"/>
      <c r="R36" s="4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ht="33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R37" s="4"/>
      <c r="S37" s="4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>
      <c r="A38" s="4"/>
      <c r="B38" s="4"/>
      <c r="C38" s="43" t="s">
        <v>46</v>
      </c>
      <c r="D38" s="27"/>
      <c r="E38" s="27"/>
      <c r="F38" s="27"/>
      <c r="G38" s="27"/>
      <c r="H38" s="27"/>
      <c r="I38" s="27"/>
      <c r="J38" s="27"/>
      <c r="K38" s="19"/>
      <c r="L38" s="4"/>
      <c r="M38" s="4"/>
      <c r="N38" s="4"/>
      <c r="R38" s="4"/>
      <c r="S38" s="4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>
      <c r="A39" s="4"/>
      <c r="B39" s="4"/>
      <c r="C39" s="44" t="s">
        <v>24</v>
      </c>
      <c r="D39" s="4"/>
      <c r="E39" s="45">
        <f t="shared" ref="E39:E45" si="11">K28</f>
        <v>1.8</v>
      </c>
      <c r="F39" s="48">
        <v>0.0</v>
      </c>
      <c r="G39" s="48">
        <v>0.0</v>
      </c>
      <c r="H39" s="48">
        <v>0.0</v>
      </c>
      <c r="I39" s="56">
        <f t="shared" ref="I39:I45" si="12">K39/$K$46</f>
        <v>0.00001150132207</v>
      </c>
      <c r="J39" s="45"/>
      <c r="K39" s="47">
        <f t="shared" ref="K39:K45" si="13">E39+F39-H39</f>
        <v>1.8</v>
      </c>
      <c r="L39" s="4"/>
      <c r="M39" s="4"/>
      <c r="N39" s="4"/>
      <c r="R39" s="4"/>
      <c r="S39" s="4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>
      <c r="A40" s="4"/>
      <c r="B40" s="4"/>
      <c r="C40" s="44" t="s">
        <v>25</v>
      </c>
      <c r="D40" s="4"/>
      <c r="E40" s="45">
        <f t="shared" si="11"/>
        <v>99911.60704</v>
      </c>
      <c r="F40" s="48">
        <v>0.0</v>
      </c>
      <c r="G40" s="45">
        <f>H40/E40</f>
        <v>0.002503087553</v>
      </c>
      <c r="H40" s="45">
        <f>H41</f>
        <v>250.0875</v>
      </c>
      <c r="I40" s="56">
        <f t="shared" si="12"/>
        <v>0.6367995746</v>
      </c>
      <c r="J40" s="45"/>
      <c r="K40" s="47">
        <f t="shared" si="13"/>
        <v>99661.51954</v>
      </c>
      <c r="L40" s="4"/>
      <c r="M40" s="4"/>
      <c r="N40" s="4"/>
      <c r="O40" s="17" t="s">
        <v>47</v>
      </c>
      <c r="P40" s="4"/>
      <c r="Q40" s="17" t="s">
        <v>48</v>
      </c>
      <c r="R40" s="4"/>
      <c r="S40" s="4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4"/>
      <c r="B41" s="4"/>
      <c r="C41" s="44" t="s">
        <v>27</v>
      </c>
      <c r="D41" s="4"/>
      <c r="E41" s="45">
        <f t="shared" si="11"/>
        <v>263.25</v>
      </c>
      <c r="F41" s="48">
        <v>0.0</v>
      </c>
      <c r="G41" s="48">
        <v>0.95</v>
      </c>
      <c r="H41" s="45">
        <f>E41*G41</f>
        <v>250.0875</v>
      </c>
      <c r="I41" s="56">
        <f t="shared" si="12"/>
        <v>0.00008410341764</v>
      </c>
      <c r="J41" s="45"/>
      <c r="K41" s="47">
        <f t="shared" si="13"/>
        <v>13.1625</v>
      </c>
      <c r="L41" s="4"/>
      <c r="M41" s="17"/>
      <c r="N41" s="4"/>
      <c r="O41" s="17" t="s">
        <v>49</v>
      </c>
      <c r="P41" s="4"/>
      <c r="Q41" s="17" t="s">
        <v>50</v>
      </c>
      <c r="R41" s="4"/>
      <c r="S41" s="4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4"/>
      <c r="B42" s="4"/>
      <c r="C42" s="44" t="s">
        <v>29</v>
      </c>
      <c r="D42" s="4"/>
      <c r="E42" s="45">
        <f t="shared" si="11"/>
        <v>2992.95</v>
      </c>
      <c r="F42" s="45">
        <f>H41</f>
        <v>250.0875</v>
      </c>
      <c r="G42" s="48">
        <v>0.0</v>
      </c>
      <c r="H42" s="48">
        <v>0.0</v>
      </c>
      <c r="I42" s="56">
        <f t="shared" si="12"/>
        <v>0.02072178821</v>
      </c>
      <c r="J42" s="45"/>
      <c r="K42" s="47">
        <f t="shared" si="13"/>
        <v>3243.0375</v>
      </c>
      <c r="L42" s="4"/>
      <c r="M42" s="4"/>
      <c r="N42" s="4"/>
      <c r="O42" s="17" t="s">
        <v>51</v>
      </c>
      <c r="P42" s="4"/>
      <c r="Q42" s="17" t="s">
        <v>52</v>
      </c>
      <c r="R42" s="4"/>
      <c r="S42" s="4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4"/>
      <c r="B43" s="4"/>
      <c r="C43" s="44" t="s">
        <v>31</v>
      </c>
      <c r="D43" s="4"/>
      <c r="E43" s="45">
        <f t="shared" si="11"/>
        <v>13735.09</v>
      </c>
      <c r="F43" s="45">
        <f>H41</f>
        <v>250.0875</v>
      </c>
      <c r="G43" s="48">
        <v>0.0</v>
      </c>
      <c r="H43" s="48">
        <v>0.0</v>
      </c>
      <c r="I43" s="56">
        <f t="shared" si="12"/>
        <v>0.08936001703</v>
      </c>
      <c r="J43" s="45"/>
      <c r="K43" s="47">
        <f t="shared" si="13"/>
        <v>13985.1775</v>
      </c>
      <c r="L43" s="4"/>
      <c r="M43" s="4"/>
      <c r="N43" s="4"/>
      <c r="O43" s="5"/>
      <c r="P43" s="5"/>
      <c r="Q43" s="5"/>
      <c r="R43" s="4"/>
      <c r="S43" s="4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>
      <c r="A44" s="4"/>
      <c r="B44" s="4"/>
      <c r="C44" s="44" t="s">
        <v>44</v>
      </c>
      <c r="D44" s="4"/>
      <c r="E44" s="45">
        <f t="shared" si="11"/>
        <v>31600</v>
      </c>
      <c r="F44" s="48">
        <v>0.0</v>
      </c>
      <c r="G44" s="48">
        <v>0.0</v>
      </c>
      <c r="H44" s="48">
        <v>0.0</v>
      </c>
      <c r="I44" s="56">
        <f t="shared" si="12"/>
        <v>0.2019120986</v>
      </c>
      <c r="J44" s="45"/>
      <c r="K44" s="47">
        <f t="shared" si="13"/>
        <v>31600</v>
      </c>
      <c r="L44" s="4"/>
      <c r="M44" s="4"/>
      <c r="N44" s="4"/>
      <c r="O44" s="5"/>
      <c r="P44" s="5"/>
      <c r="Q44" s="5"/>
      <c r="R44" s="4"/>
      <c r="S44" s="4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>
      <c r="A45" s="4"/>
      <c r="B45" s="4"/>
      <c r="C45" s="44" t="s">
        <v>45</v>
      </c>
      <c r="D45" s="4"/>
      <c r="E45" s="45">
        <f t="shared" si="11"/>
        <v>7999.05</v>
      </c>
      <c r="F45" s="48">
        <v>0.0</v>
      </c>
      <c r="G45" s="48">
        <v>0.0</v>
      </c>
      <c r="H45" s="48">
        <v>0.0</v>
      </c>
      <c r="I45" s="56">
        <f t="shared" si="12"/>
        <v>0.05111091684</v>
      </c>
      <c r="J45" s="45"/>
      <c r="K45" s="47">
        <f t="shared" si="13"/>
        <v>7999.05</v>
      </c>
      <c r="L45" s="4"/>
      <c r="M45" s="4"/>
      <c r="N45" s="4"/>
      <c r="O45" s="4"/>
      <c r="P45" s="4"/>
      <c r="Q45" s="4"/>
      <c r="R45" s="4"/>
      <c r="S45" s="4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>
      <c r="A46" s="4"/>
      <c r="B46" s="4"/>
      <c r="C46" s="51"/>
      <c r="D46" s="52" t="s">
        <v>35</v>
      </c>
      <c r="E46" s="53">
        <f>SUM(E39:E45)</f>
        <v>156503.747</v>
      </c>
      <c r="F46" s="54"/>
      <c r="G46" s="54"/>
      <c r="H46" s="54"/>
      <c r="I46" s="60"/>
      <c r="J46" s="52" t="s">
        <v>36</v>
      </c>
      <c r="K46" s="53">
        <f>SUM(K39:K45)</f>
        <v>156503.747</v>
      </c>
      <c r="L46" s="4"/>
      <c r="M46" s="4"/>
      <c r="N46" s="4"/>
      <c r="O46" s="4"/>
      <c r="P46" s="4"/>
      <c r="Q46" s="4"/>
      <c r="R46" s="4"/>
      <c r="S46" s="4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32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>
      <c r="A48" s="4"/>
      <c r="B48" s="4"/>
      <c r="C48" s="43" t="s">
        <v>53</v>
      </c>
      <c r="D48" s="27"/>
      <c r="E48" s="27"/>
      <c r="F48" s="27"/>
      <c r="G48" s="27"/>
      <c r="H48" s="27"/>
      <c r="I48" s="27"/>
      <c r="J48" s="27"/>
      <c r="K48" s="19"/>
      <c r="L48" s="4"/>
      <c r="M48" s="4"/>
      <c r="N48" s="4"/>
      <c r="O48" s="4"/>
      <c r="P48" s="4"/>
      <c r="Q48" s="4"/>
      <c r="R48" s="4"/>
      <c r="S48" s="4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>
      <c r="A49" s="4"/>
      <c r="B49" s="4"/>
      <c r="C49" s="61" t="s">
        <v>24</v>
      </c>
      <c r="D49" s="62"/>
      <c r="E49" s="63">
        <f t="shared" ref="E49:E55" si="15">K39</f>
        <v>1.8</v>
      </c>
      <c r="F49" s="63">
        <f t="shared" ref="F49:H49" si="14">0</f>
        <v>0</v>
      </c>
      <c r="G49" s="63">
        <f t="shared" si="14"/>
        <v>0</v>
      </c>
      <c r="H49" s="63">
        <f t="shared" si="14"/>
        <v>0</v>
      </c>
      <c r="I49" s="56">
        <f t="shared" ref="I49:I55" si="16">K49/$K$56</f>
        <v>0.00002578460259</v>
      </c>
      <c r="J49" s="63"/>
      <c r="K49" s="64">
        <f t="shared" ref="K49:K55" si="17">E49+F49-H49</f>
        <v>1.8</v>
      </c>
      <c r="L49" s="4"/>
      <c r="M49" s="4"/>
      <c r="N49" s="4"/>
      <c r="O49" s="4"/>
      <c r="P49" s="4"/>
      <c r="Q49" s="4"/>
      <c r="R49" s="4"/>
      <c r="S49" s="4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>
      <c r="A50" s="4"/>
      <c r="B50" s="4"/>
      <c r="C50" s="44" t="s">
        <v>25</v>
      </c>
      <c r="D50" s="4"/>
      <c r="E50" s="45">
        <f t="shared" si="15"/>
        <v>99661.51954</v>
      </c>
      <c r="F50" s="45">
        <f t="shared" ref="F50:F51" si="18">0</f>
        <v>0</v>
      </c>
      <c r="G50" s="45">
        <f>H50/E50</f>
        <v>0.0001254684361</v>
      </c>
      <c r="H50" s="45">
        <f>H51</f>
        <v>12.504375</v>
      </c>
      <c r="I50" s="56">
        <f t="shared" si="16"/>
        <v>1.427450142</v>
      </c>
      <c r="J50" s="45"/>
      <c r="K50" s="47">
        <f t="shared" si="17"/>
        <v>99649.01517</v>
      </c>
      <c r="L50" s="4"/>
      <c r="M50" s="4"/>
      <c r="N50" s="4"/>
      <c r="O50" s="4"/>
      <c r="P50" s="4"/>
      <c r="Q50" s="4"/>
      <c r="R50" s="4"/>
      <c r="S50" s="4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4"/>
      <c r="B51" s="4"/>
      <c r="C51" s="44" t="s">
        <v>27</v>
      </c>
      <c r="D51" s="4"/>
      <c r="E51" s="45">
        <f t="shared" si="15"/>
        <v>13.1625</v>
      </c>
      <c r="F51" s="45">
        <f t="shared" si="18"/>
        <v>0</v>
      </c>
      <c r="G51" s="45">
        <f>0.95</f>
        <v>0.95</v>
      </c>
      <c r="H51" s="45">
        <f>G51*E51</f>
        <v>12.504375</v>
      </c>
      <c r="I51" s="56">
        <f t="shared" si="16"/>
        <v>0.000009427495323</v>
      </c>
      <c r="J51" s="45"/>
      <c r="K51" s="47">
        <f t="shared" si="17"/>
        <v>0.658125</v>
      </c>
      <c r="L51" s="4"/>
      <c r="M51" s="4"/>
      <c r="N51" s="4"/>
      <c r="O51" s="4"/>
      <c r="P51" s="4"/>
      <c r="Q51" s="4"/>
      <c r="R51" s="4"/>
      <c r="S51" s="4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4"/>
      <c r="B52" s="4"/>
      <c r="C52" s="44" t="s">
        <v>29</v>
      </c>
      <c r="D52" s="4"/>
      <c r="E52" s="45">
        <f t="shared" si="15"/>
        <v>3243.0375</v>
      </c>
      <c r="F52" s="45">
        <f>H51</f>
        <v>12.504375</v>
      </c>
      <c r="G52" s="45">
        <f t="shared" ref="G52:H52" si="19">0</f>
        <v>0</v>
      </c>
      <c r="H52" s="45">
        <f t="shared" si="19"/>
        <v>0</v>
      </c>
      <c r="I52" s="56">
        <f t="shared" si="16"/>
        <v>0.04663491859</v>
      </c>
      <c r="J52" s="45"/>
      <c r="K52" s="47">
        <f t="shared" si="17"/>
        <v>3255.541875</v>
      </c>
      <c r="L52" s="4"/>
      <c r="M52" s="4"/>
      <c r="N52" s="4"/>
      <c r="O52" s="4"/>
      <c r="P52" s="4"/>
      <c r="Q52" s="4"/>
      <c r="R52" s="4"/>
      <c r="S52" s="4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>
      <c r="A53" s="4"/>
      <c r="B53" s="4"/>
      <c r="C53" s="44" t="s">
        <v>31</v>
      </c>
      <c r="D53" s="4"/>
      <c r="E53" s="45">
        <f t="shared" si="15"/>
        <v>13985.1775</v>
      </c>
      <c r="F53" s="45">
        <f>H51</f>
        <v>12.504375</v>
      </c>
      <c r="G53" s="45">
        <f t="shared" ref="G53:H53" si="20">0</f>
        <v>0</v>
      </c>
      <c r="H53" s="45">
        <f t="shared" si="20"/>
        <v>0</v>
      </c>
      <c r="I53" s="56">
        <f t="shared" si="16"/>
        <v>0.2005137024</v>
      </c>
      <c r="J53" s="45"/>
      <c r="K53" s="47">
        <f t="shared" si="17"/>
        <v>13997.68188</v>
      </c>
      <c r="L53" s="4"/>
      <c r="M53" s="4"/>
      <c r="N53" s="4"/>
      <c r="O53" s="4"/>
      <c r="P53" s="4"/>
      <c r="Q53" s="4"/>
      <c r="R53" s="4"/>
      <c r="S53" s="4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4"/>
      <c r="B54" s="4"/>
      <c r="C54" s="44" t="s">
        <v>44</v>
      </c>
      <c r="D54" s="4"/>
      <c r="E54" s="45">
        <f t="shared" si="15"/>
        <v>31600</v>
      </c>
      <c r="F54" s="45">
        <f t="shared" ref="F54:H54" si="21">0</f>
        <v>0</v>
      </c>
      <c r="G54" s="45">
        <f t="shared" si="21"/>
        <v>0</v>
      </c>
      <c r="H54" s="45">
        <f t="shared" si="21"/>
        <v>0</v>
      </c>
      <c r="I54" s="56">
        <f t="shared" si="16"/>
        <v>0.4526630233</v>
      </c>
      <c r="J54" s="45"/>
      <c r="K54" s="47">
        <f t="shared" si="17"/>
        <v>31600</v>
      </c>
      <c r="L54" s="4"/>
      <c r="M54" s="4"/>
      <c r="N54" s="4"/>
      <c r="O54" s="4"/>
      <c r="P54" s="4"/>
      <c r="Q54" s="4"/>
      <c r="R54" s="4"/>
      <c r="S54" s="4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4"/>
      <c r="B55" s="4"/>
      <c r="C55" s="44" t="s">
        <v>45</v>
      </c>
      <c r="D55" s="4"/>
      <c r="E55" s="45">
        <f t="shared" si="15"/>
        <v>7999.05</v>
      </c>
      <c r="F55" s="45">
        <f t="shared" ref="F55:H55" si="22">0</f>
        <v>0</v>
      </c>
      <c r="G55" s="45">
        <f t="shared" si="22"/>
        <v>0</v>
      </c>
      <c r="H55" s="45">
        <f t="shared" si="22"/>
        <v>0</v>
      </c>
      <c r="I55" s="56">
        <f t="shared" si="16"/>
        <v>0.1145846252</v>
      </c>
      <c r="J55" s="45"/>
      <c r="K55" s="47">
        <f t="shared" si="17"/>
        <v>7999.05</v>
      </c>
      <c r="L55" s="4"/>
      <c r="M55" s="4"/>
      <c r="N55" s="4"/>
      <c r="O55" s="4"/>
      <c r="P55" s="4"/>
      <c r="Q55" s="4"/>
      <c r="R55" s="4"/>
      <c r="S55" s="4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4"/>
      <c r="B56" s="4"/>
      <c r="C56" s="51"/>
      <c r="D56" s="52" t="s">
        <v>35</v>
      </c>
      <c r="E56" s="53">
        <f>SUM(E49:E55)</f>
        <v>156503.747</v>
      </c>
      <c r="F56" s="54"/>
      <c r="G56" s="54"/>
      <c r="H56" s="54"/>
      <c r="I56" s="54"/>
      <c r="J56" s="52" t="s">
        <v>36</v>
      </c>
      <c r="K56" s="53">
        <f>SUM(K49:K55)-K58</f>
        <v>69809.10385</v>
      </c>
      <c r="L56" s="4"/>
      <c r="M56" s="4"/>
      <c r="N56" s="4"/>
      <c r="O56" s="4"/>
      <c r="P56" s="4"/>
      <c r="Q56" s="4"/>
      <c r="R56" s="4"/>
      <c r="S56" s="4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ht="33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4"/>
      <c r="B58" s="4"/>
      <c r="F58" s="4"/>
      <c r="G58" s="65" t="s">
        <v>54</v>
      </c>
      <c r="H58" s="66"/>
      <c r="I58" s="66"/>
      <c r="J58" s="67"/>
      <c r="K58" s="68">
        <f>K50*P32</f>
        <v>86694.64319</v>
      </c>
      <c r="L58" s="4"/>
      <c r="M58" s="4"/>
      <c r="N58" s="4"/>
      <c r="O58" s="4"/>
      <c r="P58" s="4"/>
      <c r="Q58" s="4"/>
      <c r="R58" s="4"/>
      <c r="S58" s="4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ht="33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4"/>
      <c r="B60" s="4"/>
      <c r="C60" s="43" t="s">
        <v>55</v>
      </c>
      <c r="D60" s="27"/>
      <c r="E60" s="27"/>
      <c r="F60" s="27"/>
      <c r="G60" s="27"/>
      <c r="H60" s="27"/>
      <c r="I60" s="27"/>
      <c r="J60" s="27"/>
      <c r="K60" s="19"/>
      <c r="L60" s="4"/>
      <c r="M60" s="4"/>
      <c r="N60" s="4"/>
      <c r="O60" s="4"/>
      <c r="P60" s="4"/>
      <c r="Q60" s="4"/>
      <c r="R60" s="4"/>
      <c r="S60" s="4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4"/>
      <c r="B61" s="4"/>
      <c r="C61" s="61" t="s">
        <v>29</v>
      </c>
      <c r="D61" s="62"/>
      <c r="E61" s="63">
        <f>K52</f>
        <v>3255.541875</v>
      </c>
      <c r="F61" s="63">
        <f>0</f>
        <v>0</v>
      </c>
      <c r="G61" s="63">
        <f>0.97</f>
        <v>0.97</v>
      </c>
      <c r="H61" s="63">
        <f>E61*G61</f>
        <v>3157.875619</v>
      </c>
      <c r="I61" s="69">
        <f>K61/K62</f>
        <v>0.001465333181</v>
      </c>
      <c r="J61" s="63"/>
      <c r="K61" s="64">
        <f>E61-H61</f>
        <v>97.66625625</v>
      </c>
      <c r="L61" s="4"/>
      <c r="M61" s="4"/>
      <c r="N61" s="4"/>
      <c r="O61" s="4"/>
      <c r="P61" s="4"/>
      <c r="Q61" s="4"/>
      <c r="R61" s="4"/>
      <c r="S61" s="4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>
      <c r="A62" s="4"/>
      <c r="B62" s="4"/>
      <c r="C62" s="51"/>
      <c r="D62" s="54"/>
      <c r="E62" s="54"/>
      <c r="F62" s="54"/>
      <c r="G62" s="54"/>
      <c r="H62" s="54"/>
      <c r="I62" s="54"/>
      <c r="J62" s="52" t="s">
        <v>36</v>
      </c>
      <c r="K62" s="53">
        <f>K56-K52+K61</f>
        <v>66651.22823</v>
      </c>
      <c r="L62" s="4"/>
      <c r="M62" s="4"/>
      <c r="N62" s="4"/>
      <c r="O62" s="4"/>
      <c r="P62" s="4"/>
      <c r="Q62" s="4"/>
      <c r="R62" s="4"/>
      <c r="S62" s="4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ht="34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4"/>
      <c r="B64" s="4"/>
      <c r="C64" s="43" t="s">
        <v>56</v>
      </c>
      <c r="D64" s="27"/>
      <c r="E64" s="27"/>
      <c r="F64" s="27"/>
      <c r="G64" s="27"/>
      <c r="H64" s="27"/>
      <c r="I64" s="27"/>
      <c r="J64" s="27"/>
      <c r="K64" s="19"/>
      <c r="L64" s="4"/>
      <c r="M64" s="4"/>
      <c r="N64" s="4"/>
      <c r="O64" s="4"/>
      <c r="P64" s="4"/>
      <c r="Q64" s="4"/>
      <c r="R64" s="4"/>
      <c r="S64" s="4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4"/>
      <c r="B65" s="4"/>
      <c r="C65" s="44" t="s">
        <v>24</v>
      </c>
      <c r="D65" s="4"/>
      <c r="E65" s="45">
        <f>K49</f>
        <v>1.8</v>
      </c>
      <c r="F65" s="45">
        <f>H67+H68</f>
        <v>90.49791825</v>
      </c>
      <c r="G65" s="45">
        <f t="shared" ref="G65:H65" si="23">0</f>
        <v>0</v>
      </c>
      <c r="H65" s="45">
        <f t="shared" si="23"/>
        <v>0</v>
      </c>
      <c r="I65" s="45">
        <f>(K65-K72)/K70</f>
        <v>0</v>
      </c>
      <c r="J65" s="45"/>
      <c r="K65" s="47">
        <f t="shared" ref="K65:K69" si="24">E65+F65-H65</f>
        <v>92.29791825</v>
      </c>
      <c r="L65" s="4"/>
      <c r="M65" s="4"/>
      <c r="N65" s="4"/>
      <c r="O65" s="4"/>
      <c r="P65" s="4"/>
      <c r="Q65" s="4"/>
      <c r="R65" s="4"/>
      <c r="S65" s="4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4"/>
      <c r="B66" s="4"/>
      <c r="C66" s="44" t="s">
        <v>25</v>
      </c>
      <c r="D66" s="4"/>
      <c r="E66" s="45">
        <f>K50-K58</f>
        <v>12954.37197</v>
      </c>
      <c r="F66" s="45">
        <f>H67+(2*H68)</f>
        <v>180.350874</v>
      </c>
      <c r="G66" s="45">
        <f>H66/E66</f>
        <v>0.000002489362284</v>
      </c>
      <c r="H66" s="45">
        <f>H67*0.05</f>
        <v>0.032248125</v>
      </c>
      <c r="I66" s="45">
        <f>K66/K70</f>
        <v>0.4906302393</v>
      </c>
      <c r="J66" s="45"/>
      <c r="K66" s="47">
        <f t="shared" si="24"/>
        <v>13134.6906</v>
      </c>
      <c r="L66" s="4"/>
      <c r="M66" s="4"/>
      <c r="N66" s="4"/>
      <c r="O66" s="4"/>
      <c r="P66" s="4"/>
      <c r="Q66" s="4"/>
      <c r="R66" s="4"/>
      <c r="S66" s="4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4"/>
      <c r="B67" s="4"/>
      <c r="C67" s="44" t="s">
        <v>27</v>
      </c>
      <c r="D67" s="4"/>
      <c r="E67" s="45">
        <f>K51</f>
        <v>0.658125</v>
      </c>
      <c r="F67" s="45">
        <f>0</f>
        <v>0</v>
      </c>
      <c r="G67" s="45">
        <f>0.98</f>
        <v>0.98</v>
      </c>
      <c r="H67" s="45">
        <f t="shared" ref="H67:H68" si="25">G67*E67</f>
        <v>0.6449625</v>
      </c>
      <c r="I67" s="45">
        <f>(K67-K74)/K70</f>
        <v>0</v>
      </c>
      <c r="J67" s="45"/>
      <c r="K67" s="47">
        <f t="shared" si="24"/>
        <v>0.0131625</v>
      </c>
      <c r="L67" s="4"/>
      <c r="M67" s="4"/>
      <c r="N67" s="4"/>
      <c r="O67" s="4"/>
      <c r="P67" s="4"/>
      <c r="Q67" s="4"/>
      <c r="R67" s="4"/>
      <c r="S67" s="4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4"/>
      <c r="B68" s="4"/>
      <c r="C68" s="44" t="s">
        <v>29</v>
      </c>
      <c r="D68" s="4"/>
      <c r="E68" s="45">
        <f>K61</f>
        <v>97.66625625</v>
      </c>
      <c r="F68" s="45">
        <f>0.05*H67</f>
        <v>0.032248125</v>
      </c>
      <c r="G68" s="45">
        <f>0.92</f>
        <v>0.92</v>
      </c>
      <c r="H68" s="45">
        <f t="shared" si="25"/>
        <v>89.85295575</v>
      </c>
      <c r="I68" s="45">
        <f>(K68-K73)/K70</f>
        <v>0</v>
      </c>
      <c r="J68" s="45"/>
      <c r="K68" s="47">
        <f t="shared" si="24"/>
        <v>7.845548625</v>
      </c>
      <c r="L68" s="4"/>
      <c r="M68" s="4"/>
      <c r="N68" s="4"/>
      <c r="O68" s="4"/>
      <c r="P68" s="4"/>
      <c r="Q68" s="4"/>
      <c r="R68" s="4"/>
      <c r="S68" s="4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4"/>
      <c r="B69" s="4"/>
      <c r="C69" s="44" t="s">
        <v>31</v>
      </c>
      <c r="D69" s="4"/>
      <c r="E69" s="45">
        <f>K53</f>
        <v>13997.68188</v>
      </c>
      <c r="F69" s="45">
        <f>H67*0.05</f>
        <v>0.032248125</v>
      </c>
      <c r="G69" s="45">
        <f>H69/E69</f>
        <v>0.02581475374</v>
      </c>
      <c r="H69" s="45">
        <f>(3*H67)+(4*H68)</f>
        <v>361.3467105</v>
      </c>
      <c r="I69" s="45">
        <f>K69/K70</f>
        <v>0.5093697607</v>
      </c>
      <c r="J69" s="45"/>
      <c r="K69" s="47">
        <f t="shared" si="24"/>
        <v>13636.36741</v>
      </c>
      <c r="L69" s="4"/>
      <c r="M69" s="4"/>
      <c r="N69" s="4"/>
      <c r="O69" s="4"/>
      <c r="P69" s="4"/>
      <c r="Q69" s="4"/>
      <c r="R69" s="4"/>
      <c r="S69" s="4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4"/>
      <c r="B70" s="4"/>
      <c r="C70" s="51"/>
      <c r="D70" s="52" t="s">
        <v>35</v>
      </c>
      <c r="E70" s="53">
        <f>SUM(E65:E69)</f>
        <v>27052.17823</v>
      </c>
      <c r="F70" s="60"/>
      <c r="G70" s="60"/>
      <c r="H70" s="60"/>
      <c r="I70" s="60"/>
      <c r="J70" s="70" t="s">
        <v>36</v>
      </c>
      <c r="K70" s="53">
        <f>SUM(K65:K69)-K72-K73-K74</f>
        <v>26771.05801</v>
      </c>
      <c r="L70" s="4"/>
      <c r="M70" s="4"/>
      <c r="N70" s="4"/>
      <c r="O70" s="4"/>
      <c r="P70" s="4"/>
      <c r="Q70" s="4"/>
      <c r="R70" s="4"/>
      <c r="S70" s="4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ht="31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4"/>
      <c r="B72" s="4"/>
      <c r="C72" s="4"/>
      <c r="D72" s="4"/>
      <c r="E72" s="4"/>
      <c r="F72" s="4"/>
      <c r="G72" s="4"/>
      <c r="H72" s="4"/>
      <c r="I72" s="65" t="s">
        <v>57</v>
      </c>
      <c r="J72" s="67"/>
      <c r="K72" s="71">
        <f>K65</f>
        <v>92.29791825</v>
      </c>
      <c r="L72" s="4"/>
      <c r="M72" s="4"/>
      <c r="N72" s="4"/>
      <c r="O72" s="4"/>
      <c r="P72" s="4"/>
      <c r="Q72" s="4"/>
      <c r="R72" s="4"/>
      <c r="S72" s="4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4"/>
      <c r="B73" s="4"/>
      <c r="C73" s="4"/>
      <c r="D73" s="4"/>
      <c r="E73" s="4"/>
      <c r="F73" s="4"/>
      <c r="G73" s="4"/>
      <c r="H73" s="4"/>
      <c r="I73" s="65" t="s">
        <v>58</v>
      </c>
      <c r="J73" s="67"/>
      <c r="K73" s="71">
        <f>K68</f>
        <v>7.845548625</v>
      </c>
      <c r="L73" s="4"/>
      <c r="M73" s="4"/>
      <c r="N73" s="4"/>
      <c r="O73" s="4"/>
      <c r="P73" s="4"/>
      <c r="Q73" s="4"/>
      <c r="R73" s="4"/>
      <c r="S73" s="4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4"/>
      <c r="B74" s="4"/>
      <c r="C74" s="4"/>
      <c r="D74" s="4"/>
      <c r="E74" s="4"/>
      <c r="F74" s="4"/>
      <c r="G74" s="4"/>
      <c r="H74" s="4"/>
      <c r="I74" s="65" t="s">
        <v>59</v>
      </c>
      <c r="J74" s="67"/>
      <c r="K74" s="71">
        <f>K67</f>
        <v>0.0131625</v>
      </c>
      <c r="L74" s="4"/>
      <c r="M74" s="4"/>
      <c r="N74" s="4"/>
      <c r="O74" s="4"/>
      <c r="P74" s="4"/>
      <c r="Q74" s="4"/>
      <c r="R74" s="4"/>
      <c r="S74" s="4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ht="33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4"/>
      <c r="B76" s="4"/>
      <c r="C76" s="43" t="s">
        <v>60</v>
      </c>
      <c r="D76" s="27"/>
      <c r="E76" s="27"/>
      <c r="F76" s="27"/>
      <c r="G76" s="27"/>
      <c r="H76" s="27"/>
      <c r="I76" s="27"/>
      <c r="J76" s="27"/>
      <c r="K76" s="19"/>
      <c r="L76" s="4"/>
      <c r="M76" s="4"/>
      <c r="N76" s="4"/>
      <c r="O76" s="4"/>
      <c r="P76" s="4"/>
      <c r="Q76" s="4"/>
      <c r="R76" s="4"/>
      <c r="S76" s="4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4"/>
      <c r="B77" s="4"/>
      <c r="C77" s="61" t="s">
        <v>61</v>
      </c>
      <c r="D77" s="62"/>
      <c r="E77" s="63">
        <f>K54</f>
        <v>31600</v>
      </c>
      <c r="F77" s="63">
        <f t="shared" ref="F77:F78" si="26">0</f>
        <v>0</v>
      </c>
      <c r="G77" s="72">
        <f>H77/E77</f>
        <v>0.1424051027</v>
      </c>
      <c r="H77" s="63">
        <f>(1/3)*H78</f>
        <v>4500.001246</v>
      </c>
      <c r="I77" s="73">
        <f t="shared" ref="I77:I79" si="27">K77/$K$80</f>
        <v>0.7478674755</v>
      </c>
      <c r="J77" s="63"/>
      <c r="K77" s="64">
        <f t="shared" ref="K77:K79" si="28">E77+F77-H77</f>
        <v>27099.99875</v>
      </c>
      <c r="L77" s="4"/>
      <c r="M77" s="4"/>
      <c r="N77" s="4"/>
      <c r="O77" s="4"/>
      <c r="P77" s="4"/>
      <c r="Q77" s="4"/>
      <c r="R77" s="4"/>
      <c r="S77" s="4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4"/>
      <c r="B78" s="4"/>
      <c r="C78" s="44" t="s">
        <v>31</v>
      </c>
      <c r="D78" s="4"/>
      <c r="E78" s="45">
        <f>K69</f>
        <v>13636.36741</v>
      </c>
      <c r="F78" s="45">
        <f t="shared" si="26"/>
        <v>0</v>
      </c>
      <c r="G78" s="45">
        <f>0.99</f>
        <v>0.99</v>
      </c>
      <c r="H78" s="45">
        <f>G78*E78</f>
        <v>13500.00374</v>
      </c>
      <c r="I78" s="74">
        <f t="shared" si="27"/>
        <v>0.003763172008</v>
      </c>
      <c r="J78" s="45"/>
      <c r="K78" s="47">
        <f t="shared" si="28"/>
        <v>136.3636741</v>
      </c>
      <c r="L78" s="4"/>
      <c r="M78" s="4"/>
      <c r="N78" s="4"/>
      <c r="O78" s="4"/>
      <c r="P78" s="4"/>
      <c r="Q78" s="4"/>
      <c r="R78" s="4"/>
      <c r="S78" s="4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4"/>
      <c r="B79" s="4"/>
      <c r="C79" s="44" t="s">
        <v>62</v>
      </c>
      <c r="D79" s="4"/>
      <c r="E79" s="45">
        <f>0</f>
        <v>0</v>
      </c>
      <c r="F79" s="45">
        <f>(H78*(2/3))</f>
        <v>9000.002492</v>
      </c>
      <c r="G79" s="45">
        <f t="shared" ref="G79:H79" si="29">0</f>
        <v>0</v>
      </c>
      <c r="H79" s="45">
        <f t="shared" si="29"/>
        <v>0</v>
      </c>
      <c r="I79" s="74">
        <f t="shared" si="27"/>
        <v>0.2483693525</v>
      </c>
      <c r="J79" s="45"/>
      <c r="K79" s="47">
        <f t="shared" si="28"/>
        <v>9000.002492</v>
      </c>
      <c r="L79" s="4"/>
      <c r="M79" s="4"/>
      <c r="N79" s="4"/>
      <c r="O79" s="4"/>
      <c r="P79" s="4"/>
      <c r="Q79" s="4"/>
      <c r="R79" s="4"/>
      <c r="S79" s="4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4"/>
      <c r="B80" s="4"/>
      <c r="C80" s="51"/>
      <c r="D80" s="52" t="s">
        <v>35</v>
      </c>
      <c r="E80" s="53">
        <f>SUM(E77:E79)</f>
        <v>45236.36741</v>
      </c>
      <c r="F80" s="60"/>
      <c r="G80" s="60"/>
      <c r="H80" s="60"/>
      <c r="I80" s="60"/>
      <c r="J80" s="70" t="s">
        <v>36</v>
      </c>
      <c r="K80" s="53">
        <f>SUM(K77:K79)</f>
        <v>36236.36492</v>
      </c>
      <c r="L80" s="4"/>
      <c r="M80" s="4"/>
      <c r="N80" s="4"/>
      <c r="O80" s="4"/>
      <c r="P80" s="4"/>
      <c r="Q80" s="4"/>
      <c r="R80" s="4"/>
      <c r="S80" s="4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B83" s="75" t="s">
        <v>63</v>
      </c>
      <c r="C83" s="76">
        <f>C5</f>
        <v>4000</v>
      </c>
      <c r="D83" s="77"/>
      <c r="E83" s="78" t="s">
        <v>64</v>
      </c>
      <c r="H83" s="79">
        <f>K79</f>
        <v>9000.002492</v>
      </c>
      <c r="I83" s="77"/>
      <c r="J83" s="75" t="s">
        <v>65</v>
      </c>
      <c r="O83" s="4"/>
      <c r="P83" s="4"/>
      <c r="Q83" s="4"/>
      <c r="R83" s="4"/>
      <c r="S83" s="4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4"/>
      <c r="B85" s="4"/>
      <c r="C85" s="4"/>
      <c r="D85" s="4"/>
      <c r="E85" s="4"/>
      <c r="F85" s="4"/>
      <c r="G85" s="4"/>
      <c r="H85" s="4"/>
      <c r="I85" s="4"/>
      <c r="L85" s="57" t="s">
        <v>66</v>
      </c>
      <c r="M85" s="57">
        <v>17.0</v>
      </c>
      <c r="N85" s="17" t="s">
        <v>67</v>
      </c>
      <c r="O85" s="4"/>
      <c r="P85" s="4"/>
      <c r="Q85" s="4"/>
      <c r="R85" s="4"/>
      <c r="S85" s="4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4"/>
      <c r="B86" s="4"/>
      <c r="C86" s="4"/>
      <c r="D86" s="4"/>
      <c r="N86" s="4"/>
      <c r="O86" s="4"/>
      <c r="P86" s="4"/>
      <c r="Q86" s="4"/>
      <c r="R86" s="4"/>
      <c r="S86" s="4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4"/>
      <c r="B87" s="4"/>
      <c r="C87" s="4"/>
      <c r="D87" s="4"/>
      <c r="E87" s="4"/>
      <c r="F87" s="4"/>
      <c r="G87" s="4"/>
      <c r="H87" s="4"/>
      <c r="I87" s="4">
        <f>3500</f>
        <v>3500</v>
      </c>
      <c r="J87" s="17" t="s">
        <v>68</v>
      </c>
      <c r="K87" s="4">
        <f>I87/24</f>
        <v>145.8333333</v>
      </c>
      <c r="L87" s="17" t="s">
        <v>69</v>
      </c>
      <c r="M87" s="4"/>
      <c r="N87" s="4"/>
      <c r="O87" s="4"/>
      <c r="P87" s="4"/>
      <c r="Q87" s="4"/>
      <c r="R87" s="4"/>
      <c r="S87" s="4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>
        <f>K87*10^3</f>
        <v>145833.3333</v>
      </c>
      <c r="N88" s="17" t="s">
        <v>70</v>
      </c>
      <c r="O88" s="4"/>
      <c r="P88" s="4"/>
      <c r="Q88" s="4"/>
      <c r="R88" s="4"/>
      <c r="S88" s="4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>
        <f>M88/M85</f>
        <v>8578.431373</v>
      </c>
      <c r="N89" s="4"/>
      <c r="O89" s="4"/>
      <c r="P89" s="4"/>
      <c r="Q89" s="4"/>
      <c r="R89" s="4"/>
      <c r="S89" s="4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24"/>
      <c r="B91" s="25"/>
      <c r="C91" s="80" t="s">
        <v>71</v>
      </c>
      <c r="D91" s="81"/>
      <c r="E91" s="81"/>
      <c r="F91" s="81"/>
      <c r="G91" s="81"/>
      <c r="H91" s="81"/>
      <c r="I91" s="81"/>
      <c r="J91" s="81"/>
      <c r="K91" s="81"/>
      <c r="L91" s="82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</row>
    <row r="92">
      <c r="A92" s="28"/>
      <c r="B92" s="28"/>
      <c r="C92" s="83" t="s">
        <v>10</v>
      </c>
      <c r="D92" s="83"/>
      <c r="E92" s="84" t="s">
        <v>72</v>
      </c>
      <c r="F92" s="84" t="s">
        <v>73</v>
      </c>
      <c r="G92" s="84" t="s">
        <v>74</v>
      </c>
      <c r="H92" s="84" t="s">
        <v>75</v>
      </c>
      <c r="I92" s="83" t="s">
        <v>76</v>
      </c>
      <c r="J92" s="83" t="s">
        <v>77</v>
      </c>
      <c r="K92" s="85"/>
      <c r="L92" s="83" t="s">
        <v>78</v>
      </c>
      <c r="M92" s="28"/>
      <c r="N92" s="28"/>
      <c r="O92" s="86"/>
      <c r="P92" s="86"/>
      <c r="Q92" s="86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</row>
    <row r="93" ht="33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57" t="s">
        <v>79</v>
      </c>
      <c r="P93" s="57" t="s">
        <v>80</v>
      </c>
      <c r="R93" s="4"/>
      <c r="S93" s="4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4"/>
      <c r="B94" s="4"/>
      <c r="C94" s="36" t="s">
        <v>17</v>
      </c>
      <c r="D94" s="27"/>
      <c r="E94" s="27"/>
      <c r="F94" s="27"/>
      <c r="G94" s="27"/>
      <c r="H94" s="27"/>
      <c r="I94" s="27"/>
      <c r="J94" s="27"/>
      <c r="K94" s="27"/>
      <c r="L94" s="19"/>
      <c r="M94" s="4"/>
      <c r="N94" s="4"/>
      <c r="O94" s="17" t="s">
        <v>81</v>
      </c>
      <c r="P94" s="17" t="s">
        <v>82</v>
      </c>
      <c r="S94" s="4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4"/>
      <c r="B95" s="4"/>
      <c r="C95" s="87" t="s">
        <v>24</v>
      </c>
      <c r="D95" s="54"/>
      <c r="E95" s="52" t="s">
        <v>83</v>
      </c>
      <c r="F95" s="60">
        <f>0</f>
        <v>0</v>
      </c>
      <c r="G95" s="60">
        <f>373</f>
        <v>373</v>
      </c>
      <c r="H95" s="60">
        <f>450+273</f>
        <v>723</v>
      </c>
      <c r="I95" s="60">
        <f>0</f>
        <v>0</v>
      </c>
      <c r="J95" s="60">
        <f>(V107*(H95-G95))*P95+((W107/2)*(H95^2 - G95^2))*P95</f>
        <v>19433.44124</v>
      </c>
      <c r="K95" s="60"/>
      <c r="L95" s="53">
        <f>(J95-I95)*C5</f>
        <v>77733764.96</v>
      </c>
      <c r="M95" s="4"/>
      <c r="N95" s="4"/>
      <c r="O95" s="17" t="s">
        <v>84</v>
      </c>
      <c r="P95" s="4">
        <f>8.314</f>
        <v>8.314</v>
      </c>
      <c r="Q95" s="17" t="s">
        <v>85</v>
      </c>
      <c r="R95" s="4"/>
      <c r="S95" s="4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4"/>
      <c r="B96" s="4"/>
      <c r="C96" s="4"/>
      <c r="D96" s="4"/>
      <c r="E96" s="4"/>
      <c r="F96" s="45"/>
      <c r="G96" s="45"/>
      <c r="H96" s="45"/>
      <c r="I96" s="45"/>
      <c r="J96" s="45"/>
      <c r="K96" s="45"/>
      <c r="L96" s="45"/>
      <c r="M96" s="4"/>
      <c r="N96" s="4"/>
      <c r="O96" s="4"/>
      <c r="P96" s="4"/>
      <c r="Q96" s="4"/>
      <c r="R96" s="4"/>
      <c r="S96" s="4"/>
      <c r="T96" s="5"/>
      <c r="U96" s="5"/>
      <c r="V96" s="5"/>
      <c r="W96" s="5"/>
      <c r="X96" s="5"/>
      <c r="Y96" s="88" t="s">
        <v>86</v>
      </c>
      <c r="AA96" s="5"/>
      <c r="AD96" s="88" t="s">
        <v>87</v>
      </c>
    </row>
    <row r="97">
      <c r="A97" s="4"/>
      <c r="B97" s="4"/>
      <c r="C97" s="4"/>
      <c r="D97" s="4"/>
      <c r="E97" s="4"/>
      <c r="F97" s="45"/>
      <c r="G97" s="45"/>
      <c r="H97" s="45"/>
      <c r="I97" s="45"/>
      <c r="J97" s="45"/>
      <c r="K97" s="45"/>
      <c r="L97" s="45"/>
      <c r="M97" s="4"/>
      <c r="N97" s="4"/>
      <c r="O97" s="34" t="s">
        <v>88</v>
      </c>
      <c r="P97" s="89">
        <f>206100</f>
        <v>206100</v>
      </c>
      <c r="Q97" s="90" t="s">
        <v>89</v>
      </c>
      <c r="R97" s="34" t="s">
        <v>90</v>
      </c>
      <c r="S97" s="4"/>
      <c r="T97" s="57" t="s">
        <v>91</v>
      </c>
      <c r="U97" s="57" t="s">
        <v>10</v>
      </c>
      <c r="V97" s="57" t="s">
        <v>92</v>
      </c>
      <c r="W97" s="91" t="s">
        <v>93</v>
      </c>
      <c r="X97" s="91" t="s">
        <v>94</v>
      </c>
      <c r="Y97" s="91" t="s">
        <v>95</v>
      </c>
      <c r="Z97" s="91" t="s">
        <v>96</v>
      </c>
      <c r="AA97" s="91" t="s">
        <v>97</v>
      </c>
      <c r="AB97" s="57" t="s">
        <v>98</v>
      </c>
      <c r="AD97" s="57" t="s">
        <v>99</v>
      </c>
      <c r="AE97" s="91" t="s">
        <v>100</v>
      </c>
    </row>
    <row r="98">
      <c r="A98" s="4"/>
      <c r="B98" s="4"/>
      <c r="C98" s="43" t="s">
        <v>22</v>
      </c>
      <c r="D98" s="27"/>
      <c r="E98" s="27"/>
      <c r="F98" s="27"/>
      <c r="G98" s="27"/>
      <c r="H98" s="27"/>
      <c r="I98" s="27"/>
      <c r="J98" s="27"/>
      <c r="K98" s="27"/>
      <c r="L98" s="19"/>
      <c r="M98" s="4"/>
      <c r="N98" s="4"/>
      <c r="O98" s="17" t="s">
        <v>101</v>
      </c>
      <c r="P98" s="17">
        <v>35500.0</v>
      </c>
      <c r="Q98" s="17" t="s">
        <v>89</v>
      </c>
      <c r="S98" s="4"/>
      <c r="T98" s="17" t="s">
        <v>102</v>
      </c>
      <c r="U98" s="17" t="s">
        <v>25</v>
      </c>
      <c r="V98" s="4">
        <f>16.3872</f>
        <v>16.3872</v>
      </c>
      <c r="W98" s="5">
        <f>3885.7</f>
        <v>3885.7</v>
      </c>
      <c r="X98" s="91">
        <v>230.17</v>
      </c>
      <c r="Y98" s="91">
        <f>298-273</f>
        <v>25</v>
      </c>
      <c r="Z98" s="91">
        <f>873-273</f>
        <v>600</v>
      </c>
      <c r="AA98" s="5">
        <f t="shared" ref="AA98:AB98" si="30">Y98+273</f>
        <v>298</v>
      </c>
      <c r="AB98" s="58">
        <f t="shared" si="30"/>
        <v>873</v>
      </c>
      <c r="AD98" s="5">
        <f>EXP(V98-(W98/(X98+Y98)))</f>
        <v>3.187741617</v>
      </c>
      <c r="AE98" s="5">
        <f>EXP(V98-(W98/(X98+Z98)))</f>
        <v>121369.1994</v>
      </c>
    </row>
    <row r="99">
      <c r="A99" s="4"/>
      <c r="B99" s="4"/>
      <c r="C99" s="61" t="s">
        <v>24</v>
      </c>
      <c r="D99" s="62"/>
      <c r="E99" s="63">
        <f t="shared" ref="E99:E100" si="31">0</f>
        <v>0</v>
      </c>
      <c r="F99" s="92" t="s">
        <v>103</v>
      </c>
      <c r="G99" s="93">
        <v>873.0</v>
      </c>
      <c r="H99" s="93">
        <v>1073.0</v>
      </c>
      <c r="I99" s="63">
        <f t="shared" ref="I99:I100" si="32">0</f>
        <v>0</v>
      </c>
      <c r="J99" s="94">
        <f>(((H19*V107)+(H20*V110))*(H99-G99))*P95 + ((((H19*W107)+(H20*W110))/2)*(H99^2 -G99 ^2) )*P95</f>
        <v>90180549.76</v>
      </c>
      <c r="K99" s="63"/>
      <c r="L99" s="95">
        <f>(SUM(J99:J103) - SUM(I99:I103))</f>
        <v>88424294.25</v>
      </c>
      <c r="M99" s="4"/>
      <c r="N99" s="4"/>
      <c r="O99" s="17" t="s">
        <v>104</v>
      </c>
      <c r="P99" s="17">
        <v>-890360.0</v>
      </c>
      <c r="Q99" s="17" t="s">
        <v>89</v>
      </c>
      <c r="S99" s="4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4"/>
      <c r="B100" s="4"/>
      <c r="C100" s="44" t="s">
        <v>25</v>
      </c>
      <c r="E100" s="96">
        <f t="shared" si="31"/>
        <v>0</v>
      </c>
      <c r="G100" s="48">
        <v>873.0</v>
      </c>
      <c r="H100" s="48">
        <v>1073.0</v>
      </c>
      <c r="I100" s="96">
        <f t="shared" si="32"/>
        <v>0</v>
      </c>
      <c r="K100" s="97"/>
      <c r="L100" s="98"/>
      <c r="M100" s="4"/>
      <c r="N100" s="4"/>
      <c r="O100" s="17" t="s">
        <v>105</v>
      </c>
      <c r="P100" s="17">
        <v>-41200.0</v>
      </c>
      <c r="Q100" s="17" t="s">
        <v>89</v>
      </c>
      <c r="S100" s="4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4"/>
      <c r="B101" s="4"/>
      <c r="C101" s="44" t="s">
        <v>27</v>
      </c>
      <c r="E101" s="34" t="s">
        <v>106</v>
      </c>
      <c r="F101" s="96">
        <f t="shared" ref="F101:F103" si="33">0</f>
        <v>0</v>
      </c>
      <c r="G101" s="48">
        <v>873.0</v>
      </c>
      <c r="H101" s="48">
        <v>1073.0</v>
      </c>
      <c r="I101" s="86">
        <f>((H21*V108+H22*V109+H23*V111)*(H101-G101))*P95 + (((H21*W108+H22*W109+H23*W111)/2)*(H101^2 - G101^2))*P95</f>
        <v>1756255.505</v>
      </c>
      <c r="J101" s="96">
        <f t="shared" ref="J101:J103" si="34">0</f>
        <v>0</v>
      </c>
      <c r="K101" s="97"/>
      <c r="L101" s="98"/>
      <c r="M101" s="4"/>
      <c r="N101" s="4"/>
      <c r="O101" s="17" t="s">
        <v>107</v>
      </c>
      <c r="P101" s="4">
        <f>IFERROR(__xludf.DUMMYFUNCTION("-91800"),-91800.0)</f>
        <v>-91800</v>
      </c>
      <c r="Q101" s="17" t="s">
        <v>89</v>
      </c>
      <c r="R101" s="4"/>
      <c r="S101" s="4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4"/>
      <c r="B102" s="4"/>
      <c r="C102" s="44" t="s">
        <v>29</v>
      </c>
      <c r="D102" s="4"/>
      <c r="F102" s="45">
        <f t="shared" si="33"/>
        <v>0</v>
      </c>
      <c r="G102" s="48">
        <v>873.0</v>
      </c>
      <c r="H102" s="48">
        <v>1073.0</v>
      </c>
      <c r="J102" s="45">
        <f t="shared" si="34"/>
        <v>0</v>
      </c>
      <c r="K102" s="45"/>
      <c r="L102" s="98"/>
      <c r="M102" s="4"/>
      <c r="N102" s="4"/>
      <c r="O102" s="4"/>
      <c r="P102" s="4"/>
      <c r="Q102" s="4"/>
      <c r="R102" s="4"/>
      <c r="S102" s="4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4"/>
      <c r="B103" s="4"/>
      <c r="C103" s="87" t="s">
        <v>31</v>
      </c>
      <c r="D103" s="54"/>
      <c r="E103" s="99"/>
      <c r="F103" s="60">
        <f t="shared" si="33"/>
        <v>0</v>
      </c>
      <c r="G103" s="70">
        <v>873.0</v>
      </c>
      <c r="H103" s="70">
        <v>1073.0</v>
      </c>
      <c r="I103" s="99"/>
      <c r="J103" s="60">
        <f t="shared" si="34"/>
        <v>0</v>
      </c>
      <c r="K103" s="60"/>
      <c r="L103" s="100"/>
      <c r="M103" s="4"/>
      <c r="N103" s="4"/>
      <c r="O103" s="101" t="s">
        <v>108</v>
      </c>
      <c r="P103" s="101">
        <f>LN(AD98/AE98)*P95*(AA98*AB98)/(AA98-AB98)</f>
        <v>39674.65387</v>
      </c>
      <c r="Q103" s="17" t="s">
        <v>89</v>
      </c>
      <c r="R103" s="4"/>
      <c r="S103" s="4"/>
      <c r="T103" s="91" t="s">
        <v>109</v>
      </c>
      <c r="U103" s="91" t="s">
        <v>110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4"/>
      <c r="B104" s="4"/>
      <c r="C104" s="4"/>
      <c r="D104" s="4"/>
      <c r="E104" s="4"/>
      <c r="F104" s="45"/>
      <c r="G104" s="45"/>
      <c r="H104" s="45"/>
      <c r="J104" s="45"/>
      <c r="K104" s="45"/>
      <c r="L104" s="45"/>
      <c r="M104" s="4"/>
      <c r="N104" s="4"/>
      <c r="O104" s="4"/>
      <c r="P104" s="4"/>
      <c r="Q104" s="4"/>
      <c r="R104" s="4"/>
      <c r="S104" s="4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4"/>
      <c r="B105" s="4"/>
      <c r="C105" s="4"/>
      <c r="D105" s="4"/>
      <c r="E105" s="4"/>
      <c r="F105" s="45"/>
      <c r="G105" s="45"/>
      <c r="H105" s="45"/>
      <c r="I105" s="45"/>
      <c r="J105" s="45"/>
      <c r="K105" s="45"/>
      <c r="L105" s="45"/>
      <c r="M105" s="4"/>
      <c r="N105" s="4"/>
      <c r="O105" s="17"/>
      <c r="P105" s="4"/>
      <c r="Q105" s="4"/>
      <c r="R105" s="4"/>
      <c r="S105" s="4"/>
      <c r="T105" s="91" t="s">
        <v>10</v>
      </c>
      <c r="U105" s="5"/>
      <c r="V105" s="91" t="s">
        <v>92</v>
      </c>
      <c r="W105" s="91" t="s">
        <v>93</v>
      </c>
      <c r="X105" s="5"/>
      <c r="Y105" s="5"/>
      <c r="Z105" s="5"/>
      <c r="AA105" s="5"/>
      <c r="AD105" s="5"/>
      <c r="AE105" s="5"/>
    </row>
    <row r="106">
      <c r="A106" s="4"/>
      <c r="B106" s="4"/>
      <c r="C106" s="4"/>
      <c r="D106" s="4"/>
      <c r="E106" s="4"/>
      <c r="F106" s="45"/>
      <c r="G106" s="45"/>
      <c r="H106" s="45"/>
      <c r="I106" s="45"/>
      <c r="J106" s="45"/>
      <c r="K106" s="45"/>
      <c r="L106" s="45"/>
      <c r="M106" s="4"/>
      <c r="N106" s="4"/>
      <c r="O106" s="17" t="s">
        <v>111</v>
      </c>
      <c r="P106" s="4"/>
      <c r="Q106" s="4"/>
      <c r="R106" s="4"/>
      <c r="S106" s="4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4"/>
      <c r="B107" s="4"/>
      <c r="C107" s="4"/>
      <c r="D107" s="4"/>
      <c r="E107" s="4"/>
      <c r="F107" s="45"/>
      <c r="G107" s="45"/>
      <c r="H107" s="45"/>
      <c r="I107" s="45"/>
      <c r="J107" s="45"/>
      <c r="K107" s="45"/>
      <c r="L107" s="45"/>
      <c r="M107" s="4"/>
      <c r="N107" s="4"/>
      <c r="O107" s="17" t="s">
        <v>112</v>
      </c>
      <c r="P107" s="46">
        <f>80%</f>
        <v>0.8</v>
      </c>
      <c r="Q107" s="4"/>
      <c r="R107" s="4"/>
      <c r="S107" s="4"/>
      <c r="T107" s="91" t="s">
        <v>24</v>
      </c>
      <c r="U107" s="5"/>
      <c r="V107" s="5">
        <f>1.702</f>
        <v>1.702</v>
      </c>
      <c r="W107" s="5">
        <f>IFERROR(__xludf.DUMMYFUNCTION("9.081*10^-3"),0.009081)</f>
        <v>0.009081</v>
      </c>
      <c r="X107" s="5"/>
      <c r="Y107" s="5"/>
      <c r="Z107" s="5"/>
      <c r="AA107" s="5"/>
      <c r="AB107" s="5"/>
      <c r="AC107" s="5"/>
      <c r="AD107" s="5"/>
      <c r="AE107" s="5"/>
    </row>
    <row r="108">
      <c r="A108" s="4"/>
      <c r="B108" s="4"/>
      <c r="C108" s="4"/>
      <c r="D108" s="4"/>
      <c r="E108" s="4"/>
      <c r="F108" s="45"/>
      <c r="G108" s="45"/>
      <c r="H108" s="45"/>
      <c r="I108" s="45"/>
      <c r="J108" s="45"/>
      <c r="K108" s="45"/>
      <c r="L108" s="45"/>
      <c r="M108" s="4"/>
      <c r="N108" s="4"/>
      <c r="O108" s="17" t="s">
        <v>113</v>
      </c>
      <c r="P108" s="46">
        <f>88%</f>
        <v>0.88</v>
      </c>
      <c r="Q108" s="4"/>
      <c r="R108" s="4"/>
      <c r="S108" s="4"/>
      <c r="T108" s="91" t="s">
        <v>27</v>
      </c>
      <c r="U108" s="5"/>
      <c r="V108" s="5">
        <f>3.376</f>
        <v>3.376</v>
      </c>
      <c r="W108" s="5">
        <f>IFERROR(__xludf.DUMMYFUNCTION("0.057*10^-3"),5.7E-5)</f>
        <v>0.000057</v>
      </c>
      <c r="X108" s="5"/>
      <c r="Y108" s="5"/>
      <c r="Z108" s="5"/>
      <c r="AA108" s="5"/>
      <c r="AB108" s="5"/>
      <c r="AC108" s="5"/>
      <c r="AD108" s="5"/>
      <c r="AE108" s="5"/>
    </row>
    <row r="109">
      <c r="A109" s="4"/>
      <c r="B109" s="4"/>
      <c r="C109" s="4"/>
      <c r="D109" s="4"/>
      <c r="E109" s="4"/>
      <c r="F109" s="45"/>
      <c r="G109" s="45"/>
      <c r="H109" s="45"/>
      <c r="I109" s="45"/>
      <c r="J109" s="45"/>
      <c r="K109" s="45"/>
      <c r="L109" s="45"/>
      <c r="M109" s="4"/>
      <c r="N109" s="4"/>
      <c r="O109" s="17" t="s">
        <v>114</v>
      </c>
      <c r="P109" s="46">
        <f>90%</f>
        <v>0.9</v>
      </c>
      <c r="Q109" s="4"/>
      <c r="R109" s="4"/>
      <c r="S109" s="4"/>
      <c r="T109" s="91" t="s">
        <v>29</v>
      </c>
      <c r="U109" s="5"/>
      <c r="V109" s="5">
        <f>5.457</f>
        <v>5.457</v>
      </c>
      <c r="W109" s="5">
        <f>IFERROR(__xludf.DUMMYFUNCTION("1.045*10^-3"),0.001045)</f>
        <v>0.001045</v>
      </c>
      <c r="X109" s="5"/>
      <c r="Y109" s="5"/>
      <c r="Z109" s="5"/>
      <c r="AA109" s="5"/>
      <c r="AB109" s="5"/>
      <c r="AC109" s="5"/>
      <c r="AD109" s="5"/>
      <c r="AE109" s="5"/>
    </row>
    <row r="110">
      <c r="A110" s="4"/>
      <c r="B110" s="4"/>
      <c r="C110" s="43" t="s">
        <v>46</v>
      </c>
      <c r="D110" s="27"/>
      <c r="E110" s="27"/>
      <c r="F110" s="27"/>
      <c r="G110" s="27"/>
      <c r="H110" s="27"/>
      <c r="I110" s="27"/>
      <c r="J110" s="27"/>
      <c r="K110" s="27"/>
      <c r="L110" s="19"/>
      <c r="M110" s="4"/>
      <c r="N110" s="4"/>
      <c r="O110" s="4"/>
      <c r="P110" s="4"/>
      <c r="Q110" s="4"/>
      <c r="R110" s="4"/>
      <c r="S110" s="4"/>
      <c r="T110" s="91" t="s">
        <v>25</v>
      </c>
      <c r="U110" s="5"/>
      <c r="V110" s="91">
        <v>3.47</v>
      </c>
      <c r="W110" s="5">
        <f>IFERROR(__xludf.DUMMYFUNCTION("1.45*10^-3"),0.00145)</f>
        <v>0.00145</v>
      </c>
      <c r="X110" s="5"/>
      <c r="Y110" s="5"/>
      <c r="Z110" s="5"/>
      <c r="AA110" s="5"/>
      <c r="AB110" s="5"/>
      <c r="AC110" s="5"/>
      <c r="AD110" s="5"/>
      <c r="AE110" s="5"/>
    </row>
    <row r="111">
      <c r="A111" s="4"/>
      <c r="B111" s="4"/>
      <c r="C111" s="44" t="s">
        <v>27</v>
      </c>
      <c r="D111" s="4"/>
      <c r="E111" s="48">
        <v>0.0</v>
      </c>
      <c r="F111" s="17" t="s">
        <v>115</v>
      </c>
      <c r="G111" s="63">
        <f t="shared" ref="G111:G114" si="35">573</f>
        <v>573</v>
      </c>
      <c r="H111" s="63">
        <f t="shared" ref="H111:H114" si="36">673</f>
        <v>673</v>
      </c>
      <c r="I111" s="93">
        <v>0.0</v>
      </c>
      <c r="J111" s="63">
        <f>(V108*(H111-G111)+(W108/2)*((H111^2)-(G111^2)))*P95</f>
        <v>2836.330245</v>
      </c>
      <c r="K111" s="63"/>
      <c r="L111" s="64">
        <f>(J111-I111)*H41</f>
        <v>709330.7402</v>
      </c>
      <c r="M111" s="4"/>
      <c r="N111" s="4"/>
      <c r="O111" s="17" t="s">
        <v>116</v>
      </c>
      <c r="P111" s="4"/>
      <c r="Q111" s="4"/>
      <c r="R111" s="4"/>
      <c r="S111" s="4"/>
      <c r="T111" s="91" t="s">
        <v>31</v>
      </c>
      <c r="U111" s="5"/>
      <c r="V111" s="91">
        <v>3.249</v>
      </c>
      <c r="W111" s="5">
        <f>IFERROR(__xludf.DUMMYFUNCTION("0.422*10^-3"),4.22E-4)</f>
        <v>0.000422</v>
      </c>
      <c r="X111" s="5"/>
      <c r="Y111" s="5"/>
      <c r="Z111" s="5"/>
      <c r="AA111" s="5"/>
      <c r="AB111" s="5"/>
      <c r="AC111" s="5"/>
      <c r="AD111" s="5"/>
      <c r="AE111" s="5"/>
    </row>
    <row r="112">
      <c r="A112" s="4"/>
      <c r="B112" s="4"/>
      <c r="C112" s="44" t="s">
        <v>25</v>
      </c>
      <c r="D112" s="4"/>
      <c r="E112" s="48">
        <v>0.0</v>
      </c>
      <c r="F112" s="48" t="s">
        <v>117</v>
      </c>
      <c r="G112" s="45">
        <f t="shared" si="35"/>
        <v>573</v>
      </c>
      <c r="H112" s="45">
        <f t="shared" si="36"/>
        <v>673</v>
      </c>
      <c r="I112" s="48">
        <v>0.0</v>
      </c>
      <c r="J112" s="45">
        <f>(V110*(H112-G112)+(W110/2)*((H112^2)-(G112^2)))*P95</f>
        <v>3636.00319</v>
      </c>
      <c r="K112" s="4"/>
      <c r="L112" s="47">
        <f>(J112-I112)*H40</f>
        <v>909318.9478</v>
      </c>
      <c r="M112" s="4"/>
      <c r="N112" s="4"/>
      <c r="O112" s="17" t="s">
        <v>118</v>
      </c>
      <c r="P112" s="4"/>
      <c r="Q112" s="4"/>
      <c r="R112" s="4"/>
      <c r="S112" s="4"/>
      <c r="T112" s="91" t="s">
        <v>61</v>
      </c>
      <c r="U112" s="5"/>
      <c r="V112" s="5">
        <f>3.28</f>
        <v>3.28</v>
      </c>
      <c r="W112" s="5">
        <f>IFERROR(__xludf.DUMMYFUNCTION("0.593*10^-3"),5.93E-4)</f>
        <v>0.000593</v>
      </c>
      <c r="X112" s="5"/>
      <c r="Y112" s="5"/>
      <c r="Z112" s="5"/>
      <c r="AA112" s="5"/>
      <c r="AB112" s="5"/>
      <c r="AC112" s="5"/>
      <c r="AD112" s="5"/>
      <c r="AE112" s="5"/>
    </row>
    <row r="113">
      <c r="A113" s="4"/>
      <c r="B113" s="4"/>
      <c r="C113" s="44" t="s">
        <v>31</v>
      </c>
      <c r="D113" s="4"/>
      <c r="E113" s="17" t="s">
        <v>119</v>
      </c>
      <c r="F113" s="48">
        <v>0.0</v>
      </c>
      <c r="G113" s="45">
        <f t="shared" si="35"/>
        <v>573</v>
      </c>
      <c r="H113" s="45">
        <f t="shared" si="36"/>
        <v>673</v>
      </c>
      <c r="I113" s="48">
        <f>(V111*(H113-G113)+(W111/2)*((H113^2)-(G113^2)))*P95</f>
        <v>2919.798648</v>
      </c>
      <c r="J113" s="48">
        <v>0.0</v>
      </c>
      <c r="K113" s="4"/>
      <c r="L113" s="47">
        <f>(J113-I113)*F43</f>
        <v>-730205.1445</v>
      </c>
      <c r="M113" s="4"/>
      <c r="N113" s="4"/>
      <c r="O113" s="4"/>
      <c r="P113" s="4"/>
      <c r="Q113" s="4"/>
      <c r="R113" s="4"/>
      <c r="S113" s="4"/>
      <c r="T113" s="91" t="s">
        <v>120</v>
      </c>
      <c r="U113" s="5"/>
      <c r="V113" s="5">
        <f>3.639</f>
        <v>3.639</v>
      </c>
      <c r="W113" s="5">
        <f>IFERROR(__xludf.DUMMYFUNCTION("0.506*10^-3"),5.06E-4)</f>
        <v>0.000506</v>
      </c>
      <c r="X113" s="5"/>
      <c r="Y113" s="5"/>
      <c r="Z113" s="5"/>
      <c r="AA113" s="5"/>
      <c r="AB113" s="5"/>
      <c r="AC113" s="5"/>
      <c r="AD113" s="5"/>
      <c r="AE113" s="5"/>
    </row>
    <row r="114">
      <c r="A114" s="4"/>
      <c r="B114" s="4"/>
      <c r="C114" s="44" t="s">
        <v>29</v>
      </c>
      <c r="D114" s="4"/>
      <c r="E114" s="17" t="s">
        <v>121</v>
      </c>
      <c r="F114" s="48">
        <v>0.0</v>
      </c>
      <c r="G114" s="45">
        <f t="shared" si="35"/>
        <v>573</v>
      </c>
      <c r="H114" s="45">
        <f t="shared" si="36"/>
        <v>673</v>
      </c>
      <c r="I114" s="48">
        <f>(V109*(H114-G114)+(W109/2)*((H114^2)-(G114^2)))*P95</f>
        <v>5078.220299</v>
      </c>
      <c r="J114" s="48">
        <v>0.0</v>
      </c>
      <c r="K114" s="4"/>
      <c r="L114" s="47">
        <f>(J114-I114)*F42</f>
        <v>-1269999.419</v>
      </c>
      <c r="M114" s="4"/>
      <c r="N114" s="4"/>
      <c r="O114" s="4"/>
      <c r="P114" s="4"/>
      <c r="Q114" s="4"/>
      <c r="R114" s="4"/>
      <c r="S114" s="4"/>
      <c r="T114" s="91" t="s">
        <v>62</v>
      </c>
      <c r="U114" s="5"/>
      <c r="V114" s="91">
        <v>3.578</v>
      </c>
      <c r="W114" s="5">
        <f>IFERROR(__xludf.DUMMYFUNCTION("3.02*10^-3"),0.00302)</f>
        <v>0.00302</v>
      </c>
      <c r="X114" s="5"/>
      <c r="Y114" s="5"/>
      <c r="Z114" s="5"/>
      <c r="AA114" s="5"/>
      <c r="AB114" s="5"/>
      <c r="AC114" s="5"/>
      <c r="AD114" s="5"/>
      <c r="AE114" s="5"/>
    </row>
    <row r="115">
      <c r="A115" s="4"/>
      <c r="B115" s="4"/>
      <c r="C115" s="51"/>
      <c r="D115" s="54"/>
      <c r="E115" s="54"/>
      <c r="F115" s="54"/>
      <c r="G115" s="54"/>
      <c r="H115" s="54"/>
      <c r="I115" s="54"/>
      <c r="J115" s="54"/>
      <c r="K115" s="52" t="s">
        <v>122</v>
      </c>
      <c r="L115" s="53">
        <f>SUM(L111:L114)</f>
        <v>-381554.8755</v>
      </c>
      <c r="M115" s="4"/>
      <c r="N115" s="4"/>
      <c r="O115" s="4"/>
      <c r="P115" s="4"/>
      <c r="Q115" s="4"/>
      <c r="R115" s="4"/>
      <c r="S115" s="4"/>
      <c r="X115" s="5"/>
      <c r="Y115" s="5"/>
      <c r="Z115" s="5"/>
      <c r="AA115" s="5"/>
      <c r="AB115" s="5"/>
      <c r="AC115" s="5"/>
      <c r="AD115" s="5"/>
      <c r="AE115" s="5"/>
    </row>
    <row r="116" ht="36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X116" s="5"/>
      <c r="Y116" s="5"/>
      <c r="Z116" s="5"/>
      <c r="AA116" s="5"/>
      <c r="AB116" s="5"/>
      <c r="AC116" s="5"/>
      <c r="AD116" s="5"/>
      <c r="AE116" s="5"/>
    </row>
    <row r="117">
      <c r="A117" s="4"/>
      <c r="B117" s="4"/>
      <c r="C117" s="43" t="s">
        <v>53</v>
      </c>
      <c r="D117" s="27"/>
      <c r="E117" s="27"/>
      <c r="F117" s="27"/>
      <c r="G117" s="27"/>
      <c r="H117" s="27"/>
      <c r="I117" s="27"/>
      <c r="J117" s="27"/>
      <c r="K117" s="27"/>
      <c r="L117" s="19"/>
      <c r="M117" s="4"/>
      <c r="N117" s="4"/>
      <c r="O117" s="4"/>
      <c r="P117" s="4"/>
      <c r="Q117" s="4"/>
      <c r="R117" s="4"/>
      <c r="S117" s="4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4"/>
      <c r="B118" s="4"/>
      <c r="C118" s="44" t="s">
        <v>27</v>
      </c>
      <c r="D118" s="4"/>
      <c r="E118" s="48">
        <v>0.0</v>
      </c>
      <c r="F118" s="17" t="s">
        <v>115</v>
      </c>
      <c r="G118" s="63">
        <f t="shared" ref="G118:G121" si="37">423</f>
        <v>423</v>
      </c>
      <c r="H118" s="93">
        <v>473.0</v>
      </c>
      <c r="I118" s="93">
        <v>0.0</v>
      </c>
      <c r="J118" s="63">
        <f>(V113*(H118-G118)+(W113/2)*((H118^2)-(G118^2)))*P95</f>
        <v>1606.966502</v>
      </c>
      <c r="K118" s="63"/>
      <c r="L118" s="64">
        <f>(J118-I118)*H51</f>
        <v>20094.11175</v>
      </c>
      <c r="M118" s="4"/>
      <c r="N118" s="4"/>
      <c r="O118" s="4"/>
      <c r="P118" s="4"/>
      <c r="Q118" s="4"/>
      <c r="R118" s="4"/>
      <c r="S118" s="4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4"/>
      <c r="B119" s="4"/>
      <c r="C119" s="44" t="s">
        <v>25</v>
      </c>
      <c r="D119" s="4"/>
      <c r="E119" s="48">
        <v>0.0</v>
      </c>
      <c r="F119" s="48" t="s">
        <v>117</v>
      </c>
      <c r="G119" s="45">
        <f t="shared" si="37"/>
        <v>423</v>
      </c>
      <c r="H119" s="48">
        <v>473.0</v>
      </c>
      <c r="I119" s="48">
        <v>0.0</v>
      </c>
      <c r="J119" s="45">
        <f>(V110*(H119-G119)+(W110/2)*((H119^2)-(G119^2)))*P95</f>
        <v>1712.51772</v>
      </c>
      <c r="K119" s="4"/>
      <c r="L119" s="47">
        <f>(J119-I119)*H51</f>
        <v>21413.96377</v>
      </c>
      <c r="M119" s="4"/>
      <c r="N119" s="4"/>
      <c r="O119" s="4"/>
      <c r="P119" s="4"/>
      <c r="Q119" s="4"/>
      <c r="R119" s="4"/>
      <c r="S119" s="4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4"/>
      <c r="B120" s="4"/>
      <c r="C120" s="44" t="s">
        <v>31</v>
      </c>
      <c r="D120" s="4"/>
      <c r="E120" s="17" t="s">
        <v>119</v>
      </c>
      <c r="F120" s="48">
        <v>0.0</v>
      </c>
      <c r="G120" s="45">
        <f t="shared" si="37"/>
        <v>423</v>
      </c>
      <c r="H120" s="48">
        <v>473.0</v>
      </c>
      <c r="I120" s="48">
        <f>(V111*(H120-G120)+(W111/2)*((H120^2)-(G120^2)))*P95</f>
        <v>1429.199879</v>
      </c>
      <c r="J120" s="48">
        <v>0.0</v>
      </c>
      <c r="K120" s="4"/>
      <c r="L120" s="47">
        <f>(J120-I120)*F53</f>
        <v>-17871.25124</v>
      </c>
      <c r="M120" s="4"/>
      <c r="N120" s="4"/>
      <c r="O120" s="4"/>
      <c r="P120" s="4"/>
      <c r="Q120" s="4"/>
      <c r="R120" s="4"/>
      <c r="S120" s="4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4"/>
      <c r="B121" s="4"/>
      <c r="C121" s="44" t="s">
        <v>29</v>
      </c>
      <c r="D121" s="4"/>
      <c r="E121" s="17" t="s">
        <v>121</v>
      </c>
      <c r="F121" s="48">
        <v>0.0</v>
      </c>
      <c r="G121" s="45">
        <f t="shared" si="37"/>
        <v>423</v>
      </c>
      <c r="H121" s="45">
        <f>473</f>
        <v>473</v>
      </c>
      <c r="I121" s="48">
        <f>(V114*(H121-G121)+(W114/2)*((H121^2)-(G121^2)))*P95</f>
        <v>2049.800072</v>
      </c>
      <c r="J121" s="48">
        <v>0.0</v>
      </c>
      <c r="K121" s="4"/>
      <c r="L121" s="47">
        <f>(J121-I121)*F52</f>
        <v>-25631.46878</v>
      </c>
      <c r="M121" s="4"/>
      <c r="N121" s="4"/>
      <c r="O121" s="4"/>
      <c r="P121" s="4"/>
      <c r="Q121" s="4"/>
      <c r="R121" s="4"/>
      <c r="S121" s="4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4"/>
      <c r="B122" s="4"/>
      <c r="C122" s="51"/>
      <c r="D122" s="54"/>
      <c r="E122" s="54"/>
      <c r="F122" s="54"/>
      <c r="G122" s="54"/>
      <c r="H122" s="54"/>
      <c r="I122" s="54"/>
      <c r="J122" s="54"/>
      <c r="K122" s="52" t="s">
        <v>122</v>
      </c>
      <c r="L122" s="53">
        <f>SUM(L118:L121)</f>
        <v>-1994.644501</v>
      </c>
      <c r="M122" s="4"/>
      <c r="N122" s="4"/>
      <c r="O122" s="4"/>
      <c r="P122" s="4"/>
      <c r="Q122" s="4"/>
      <c r="R122" s="4"/>
      <c r="S122" s="4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ht="33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ht="33.0" customHeight="1">
      <c r="A124" s="4"/>
      <c r="B124" s="4"/>
      <c r="C124" s="36" t="s">
        <v>55</v>
      </c>
      <c r="D124" s="27"/>
      <c r="E124" s="27"/>
      <c r="F124" s="27"/>
      <c r="G124" s="27"/>
      <c r="H124" s="27"/>
      <c r="I124" s="27"/>
      <c r="J124" s="27"/>
      <c r="K124" s="27"/>
      <c r="L124" s="19"/>
      <c r="M124" s="4"/>
      <c r="N124" s="4"/>
      <c r="O124" s="4"/>
      <c r="P124" s="4"/>
      <c r="Q124" s="4"/>
      <c r="R124" s="4"/>
      <c r="S124" s="4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ht="33.0" customHeight="1">
      <c r="A125" s="4"/>
      <c r="B125" s="4"/>
      <c r="C125" s="87" t="s">
        <v>123</v>
      </c>
      <c r="D125" s="54"/>
      <c r="E125" s="70">
        <v>0.0</v>
      </c>
      <c r="F125" s="52" t="s">
        <v>124</v>
      </c>
      <c r="G125" s="60">
        <f>293</f>
        <v>293</v>
      </c>
      <c r="H125" s="60">
        <f>313</f>
        <v>313</v>
      </c>
      <c r="I125" s="60">
        <f>0</f>
        <v>0</v>
      </c>
      <c r="J125" s="60">
        <f>(V109*(H125-G125))+((W109/2)*(H125^2 - G125^2))*P95</f>
        <v>161.7900678</v>
      </c>
      <c r="K125" s="60"/>
      <c r="L125" s="53">
        <f>(J125-I125)*H61</f>
        <v>510912.9105</v>
      </c>
      <c r="M125" s="4"/>
      <c r="N125" s="4"/>
      <c r="O125" s="4"/>
      <c r="P125" s="4"/>
      <c r="Q125" s="4"/>
      <c r="R125" s="4"/>
      <c r="S125" s="4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ht="33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ht="33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4"/>
      <c r="B128" s="4"/>
      <c r="C128" s="43" t="s">
        <v>38</v>
      </c>
      <c r="D128" s="27"/>
      <c r="E128" s="27"/>
      <c r="F128" s="27"/>
      <c r="G128" s="27"/>
      <c r="H128" s="27"/>
      <c r="I128" s="27"/>
      <c r="J128" s="27"/>
      <c r="K128" s="27"/>
      <c r="L128" s="19"/>
      <c r="M128" s="4"/>
      <c r="N128" s="4"/>
      <c r="O128" s="4"/>
      <c r="P128" s="4"/>
      <c r="Q128" s="4"/>
      <c r="R128" s="4"/>
      <c r="S128" s="4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4"/>
      <c r="B129" s="4"/>
      <c r="C129" s="61" t="s">
        <v>125</v>
      </c>
      <c r="D129" s="102"/>
      <c r="E129" s="62"/>
      <c r="F129" s="103" t="s">
        <v>126</v>
      </c>
      <c r="G129" s="93">
        <v>1073.0</v>
      </c>
      <c r="H129" s="93">
        <v>1263.0</v>
      </c>
      <c r="I129" s="63">
        <f t="shared" ref="I129:I130" si="38">0</f>
        <v>0</v>
      </c>
      <c r="J129" s="63">
        <f> P95*H28*(((V107)*(H129-G129))+((W107/2)*((H129^2)-(G129^2))))</f>
        <v>3464816.68</v>
      </c>
      <c r="K129" s="62"/>
      <c r="L129" s="64">
        <f t="shared" ref="L129:L136" si="39">J129-I129</f>
        <v>3464816.68</v>
      </c>
      <c r="M129" s="4"/>
      <c r="N129" s="4"/>
      <c r="O129" s="4"/>
      <c r="P129" s="4"/>
      <c r="Q129" s="4"/>
      <c r="R129" s="4"/>
      <c r="S129" s="4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17"/>
      <c r="B130" s="4"/>
      <c r="C130" s="44" t="s">
        <v>127</v>
      </c>
      <c r="D130" s="4"/>
      <c r="F130" s="17" t="s">
        <v>128</v>
      </c>
      <c r="G130" s="48">
        <v>1073.0</v>
      </c>
      <c r="H130" s="48">
        <v>1263.0</v>
      </c>
      <c r="I130" s="45">
        <f t="shared" si="38"/>
        <v>0</v>
      </c>
      <c r="J130" s="45">
        <f> P95*H29*(((V110)*(H130-G130))+((W110/2)*((H130^2)-(G130^2))))</f>
        <v>22919520.74</v>
      </c>
      <c r="K130" s="4"/>
      <c r="L130" s="47">
        <f t="shared" si="39"/>
        <v>22919520.74</v>
      </c>
      <c r="M130" s="4"/>
      <c r="N130" s="4"/>
      <c r="O130" s="4"/>
      <c r="P130" s="4"/>
      <c r="Q130" s="4"/>
      <c r="R130" s="4"/>
      <c r="S130" s="4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4"/>
      <c r="B131" s="4"/>
      <c r="C131" s="44" t="s">
        <v>129</v>
      </c>
      <c r="D131" s="4"/>
      <c r="E131" s="17" t="s">
        <v>130</v>
      </c>
      <c r="F131" s="4"/>
      <c r="G131" s="48">
        <v>1073.0</v>
      </c>
      <c r="H131" s="48">
        <v>1263.0</v>
      </c>
      <c r="I131" s="45">
        <f> P95*F29*(((V110)*(H131-G131))+((W110/2)*((H131^2)-(G131^2))))</f>
        <v>872117.8256</v>
      </c>
      <c r="J131" s="45">
        <f>0</f>
        <v>0</v>
      </c>
      <c r="K131" s="4"/>
      <c r="L131" s="47">
        <f t="shared" si="39"/>
        <v>-872117.8256</v>
      </c>
      <c r="M131" s="4"/>
      <c r="N131" s="4"/>
      <c r="O131" s="4"/>
      <c r="P131" s="4"/>
      <c r="Q131" s="4"/>
      <c r="R131" s="4"/>
      <c r="S131" s="4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4"/>
      <c r="B132" s="4"/>
      <c r="C132" s="44" t="s">
        <v>131</v>
      </c>
      <c r="D132" s="4"/>
      <c r="E132" s="4"/>
      <c r="F132" s="48" t="s">
        <v>132</v>
      </c>
      <c r="G132" s="48">
        <v>1073.0</v>
      </c>
      <c r="H132" s="48">
        <v>1263.0</v>
      </c>
      <c r="I132" s="45">
        <f>0</f>
        <v>0</v>
      </c>
      <c r="J132" s="45">
        <f> P95*H30*(((V108)*(H132-G132))+((W108/2)*((H132^2)-(G132^2))))</f>
        <v>14311392.35</v>
      </c>
      <c r="K132" s="4"/>
      <c r="L132" s="47">
        <f t="shared" si="39"/>
        <v>14311392.35</v>
      </c>
      <c r="M132" s="4"/>
      <c r="N132" s="4"/>
      <c r="O132" s="4"/>
      <c r="P132" s="4"/>
      <c r="Q132" s="4"/>
      <c r="R132" s="4"/>
      <c r="S132" s="4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4"/>
      <c r="B133" s="4"/>
      <c r="C133" s="44"/>
      <c r="D133" s="4"/>
      <c r="E133" s="17" t="s">
        <v>133</v>
      </c>
      <c r="F133" s="4"/>
      <c r="G133" s="48">
        <v>1073.0</v>
      </c>
      <c r="H133" s="48">
        <v>1263.0</v>
      </c>
      <c r="I133" s="45">
        <f> P95*F30*(((V108)*(H133-G133))+((W108/2)*((H133^2)-(G133^2))))</f>
        <v>678348.5446</v>
      </c>
      <c r="J133" s="45">
        <f t="shared" ref="J133:J135" si="40">0</f>
        <v>0</v>
      </c>
      <c r="K133" s="4"/>
      <c r="L133" s="47">
        <f t="shared" si="39"/>
        <v>-678348.5446</v>
      </c>
      <c r="M133" s="4"/>
      <c r="N133" s="4"/>
      <c r="O133" s="4"/>
      <c r="P133" s="4"/>
      <c r="Q133" s="4"/>
      <c r="R133" s="4"/>
      <c r="S133" s="4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4"/>
      <c r="B134" s="4"/>
      <c r="C134" s="44" t="s">
        <v>134</v>
      </c>
      <c r="D134" s="4"/>
      <c r="E134" s="17" t="s">
        <v>135</v>
      </c>
      <c r="F134" s="4"/>
      <c r="G134" s="48">
        <v>1073.0</v>
      </c>
      <c r="H134" s="48">
        <v>1263.0</v>
      </c>
      <c r="I134" s="45">
        <f> P95*F31*(((V109)*(H134-G134))+((W109/2)*((H134^2)-(G134^2))))</f>
        <v>28323699.08</v>
      </c>
      <c r="J134" s="45">
        <f t="shared" si="40"/>
        <v>0</v>
      </c>
      <c r="K134" s="4"/>
      <c r="L134" s="47">
        <f t="shared" si="39"/>
        <v>-28323699.08</v>
      </c>
      <c r="M134" s="4"/>
      <c r="N134" s="4"/>
      <c r="O134" s="17"/>
      <c r="P134" s="4"/>
      <c r="Q134" s="4"/>
      <c r="R134" s="4"/>
      <c r="S134" s="4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4"/>
      <c r="B135" s="4"/>
      <c r="C135" s="44" t="s">
        <v>136</v>
      </c>
      <c r="D135" s="4"/>
      <c r="E135" s="17" t="s">
        <v>137</v>
      </c>
      <c r="F135" s="4"/>
      <c r="G135" s="48">
        <v>1073.0</v>
      </c>
      <c r="H135" s="48">
        <v>1263.0</v>
      </c>
      <c r="I135" s="45">
        <f> P95*F32*((V107*(H135-G135))+((W107/2)*((H135^2)-(G135^2))))</f>
        <v>61582936.15</v>
      </c>
      <c r="J135" s="45">
        <f t="shared" si="40"/>
        <v>0</v>
      </c>
      <c r="K135" s="4"/>
      <c r="L135" s="47">
        <f t="shared" si="39"/>
        <v>-61582936.15</v>
      </c>
      <c r="M135" s="4"/>
      <c r="N135" s="4"/>
      <c r="O135" s="4"/>
      <c r="P135" s="4"/>
      <c r="Q135" s="4"/>
      <c r="R135" s="4"/>
      <c r="S135" s="4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4"/>
      <c r="B136" s="4"/>
      <c r="C136" s="44" t="s">
        <v>138</v>
      </c>
      <c r="D136" s="4"/>
      <c r="E136" s="4"/>
      <c r="F136" s="17" t="s">
        <v>139</v>
      </c>
      <c r="G136" s="48">
        <v>1073.0</v>
      </c>
      <c r="H136" s="48">
        <v>1263.0</v>
      </c>
      <c r="I136" s="48">
        <v>0.0</v>
      </c>
      <c r="J136" s="45">
        <f> P95*H34*((V113*(H136-G136))+((W113/2)*((H136^2)-(G136^2))))</f>
        <v>2679137.651</v>
      </c>
      <c r="K136" s="4"/>
      <c r="L136" s="47">
        <f t="shared" si="39"/>
        <v>2679137.651</v>
      </c>
      <c r="M136" s="4"/>
      <c r="N136" s="4"/>
      <c r="O136" s="4"/>
      <c r="P136" s="4"/>
      <c r="Q136" s="4"/>
      <c r="R136" s="4"/>
      <c r="S136" s="4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4"/>
      <c r="B137" s="4"/>
      <c r="C137" s="51"/>
      <c r="D137" s="54"/>
      <c r="E137" s="54"/>
      <c r="F137" s="54"/>
      <c r="G137" s="54"/>
      <c r="H137" s="54"/>
      <c r="I137" s="54"/>
      <c r="J137" s="104" t="s">
        <v>140</v>
      </c>
      <c r="K137" s="99"/>
      <c r="L137" s="53">
        <f>SUM(L129:L136)</f>
        <v>-48082234.2</v>
      </c>
      <c r="M137" s="4"/>
      <c r="N137" s="4"/>
      <c r="O137" s="4"/>
      <c r="P137" s="4"/>
      <c r="Q137" s="4"/>
      <c r="R137" s="4"/>
      <c r="S137" s="4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4"/>
      <c r="B142" s="4"/>
      <c r="C142" s="43" t="s">
        <v>141</v>
      </c>
      <c r="D142" s="27"/>
      <c r="E142" s="27"/>
      <c r="F142" s="27"/>
      <c r="G142" s="27"/>
      <c r="H142" s="27"/>
      <c r="I142" s="27"/>
      <c r="J142" s="27"/>
      <c r="K142" s="27"/>
      <c r="L142" s="19"/>
      <c r="M142" s="4"/>
      <c r="N142" s="4"/>
      <c r="O142" s="4"/>
      <c r="P142" s="4"/>
      <c r="Q142" s="4"/>
      <c r="R142" s="4"/>
      <c r="S142" s="4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4"/>
      <c r="B143" s="4"/>
      <c r="C143" s="61" t="s">
        <v>142</v>
      </c>
      <c r="D143" s="102"/>
      <c r="E143" s="62"/>
      <c r="F143" s="103" t="s">
        <v>143</v>
      </c>
      <c r="G143" s="93">
        <v>673.0</v>
      </c>
      <c r="H143" s="93">
        <v>823.0</v>
      </c>
      <c r="I143" s="63">
        <f>0</f>
        <v>0</v>
      </c>
      <c r="J143" s="63">
        <f> P95*H77*(((V112)*(H143-G143))+((W112/2)*((H143^2)-(G143^2))))</f>
        <v>20896460.78</v>
      </c>
      <c r="K143" s="62"/>
      <c r="L143" s="64">
        <f t="shared" ref="L143:L145" si="41">J143-I143</f>
        <v>20896460.78</v>
      </c>
      <c r="M143" s="4"/>
      <c r="N143" s="4"/>
      <c r="O143" s="4"/>
      <c r="P143" s="4"/>
      <c r="Q143" s="4"/>
      <c r="R143" s="4"/>
      <c r="S143" s="4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4"/>
      <c r="B144" s="4"/>
      <c r="C144" s="44" t="s">
        <v>144</v>
      </c>
      <c r="D144" s="4"/>
      <c r="E144" s="17"/>
      <c r="F144" s="17" t="s">
        <v>145</v>
      </c>
      <c r="G144" s="48">
        <v>673.0</v>
      </c>
      <c r="H144" s="48">
        <v>823.0</v>
      </c>
      <c r="I144" s="45">
        <f> F43*(((V124)*(H144-G144)+(W124/2))*((H144^2)-(G144^2)))</f>
        <v>0</v>
      </c>
      <c r="J144" s="45">
        <f> P95*H78*((V111*(H144-G144))+((W111/2)*((H144^2)-(G144^2))))</f>
        <v>60014030.34</v>
      </c>
      <c r="K144" s="4"/>
      <c r="L144" s="47">
        <f t="shared" si="41"/>
        <v>60014030.34</v>
      </c>
      <c r="M144" s="4"/>
      <c r="N144" s="4"/>
      <c r="O144" s="4"/>
      <c r="P144" s="4"/>
      <c r="Q144" s="4"/>
      <c r="R144" s="4"/>
      <c r="S144" s="4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4"/>
      <c r="B145" s="4"/>
      <c r="C145" s="44" t="s">
        <v>146</v>
      </c>
      <c r="D145" s="4"/>
      <c r="E145" s="17" t="s">
        <v>147</v>
      </c>
      <c r="F145" s="4"/>
      <c r="G145" s="48">
        <v>673.0</v>
      </c>
      <c r="H145" s="48">
        <v>823.0</v>
      </c>
      <c r="I145" s="45">
        <f> P95*F79*((V114*(H145-G145))+((W114/2)*((H145^2)-(G145^2))))</f>
        <v>65513473.49</v>
      </c>
      <c r="J145" s="45">
        <f>0</f>
        <v>0</v>
      </c>
      <c r="K145" s="4"/>
      <c r="L145" s="47">
        <f t="shared" si="41"/>
        <v>-65513473.49</v>
      </c>
      <c r="M145" s="4"/>
      <c r="N145" s="4"/>
      <c r="O145" s="4"/>
      <c r="P145" s="4"/>
      <c r="Q145" s="4"/>
      <c r="R145" s="4"/>
      <c r="S145" s="4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4"/>
      <c r="B146" s="4"/>
      <c r="C146" s="51"/>
      <c r="D146" s="54"/>
      <c r="E146" s="54"/>
      <c r="F146" s="54"/>
      <c r="G146" s="54"/>
      <c r="H146" s="54"/>
      <c r="I146" s="54"/>
      <c r="J146" s="104" t="s">
        <v>140</v>
      </c>
      <c r="K146" s="99"/>
      <c r="L146" s="53">
        <f>SUM(L143:L145)-((K79-H78-H77)*P101)</f>
        <v>-810803211.2</v>
      </c>
      <c r="M146" s="4"/>
      <c r="N146" s="4"/>
      <c r="O146" s="4"/>
      <c r="P146" s="4"/>
      <c r="Q146" s="4"/>
      <c r="R146" s="4"/>
      <c r="S146" s="4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B149" s="75" t="s">
        <v>63</v>
      </c>
      <c r="C149" s="105">
        <f>H83</f>
        <v>9000.002492</v>
      </c>
      <c r="D149" s="77"/>
      <c r="E149" s="78" t="s">
        <v>148</v>
      </c>
      <c r="H149" s="79">
        <f>L146/10^6</f>
        <v>-810.8032112</v>
      </c>
      <c r="I149" s="77"/>
      <c r="J149" s="106" t="s">
        <v>149</v>
      </c>
      <c r="O149" s="4"/>
      <c r="P149" s="4"/>
      <c r="Q149" s="4"/>
      <c r="R149" s="4"/>
      <c r="S149" s="4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4"/>
      <c r="B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4"/>
      <c r="B154" s="4"/>
      <c r="C154" s="4"/>
      <c r="D154" s="4"/>
      <c r="E154" s="107" t="s">
        <v>150</v>
      </c>
      <c r="F154" s="107" t="s">
        <v>151</v>
      </c>
      <c r="G154" s="107"/>
      <c r="H154" s="107" t="s">
        <v>152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4"/>
      <c r="B155" s="4"/>
      <c r="C155" s="4"/>
      <c r="D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4"/>
      <c r="B156" s="4"/>
      <c r="D156" s="4"/>
      <c r="E156" s="43" t="s">
        <v>153</v>
      </c>
      <c r="F156" s="27"/>
      <c r="G156" s="27"/>
      <c r="H156" s="1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4"/>
      <c r="B157" s="4"/>
      <c r="D157" s="4"/>
      <c r="E157" s="44" t="s">
        <v>112</v>
      </c>
      <c r="F157" s="46">
        <f>80%</f>
        <v>0.8</v>
      </c>
      <c r="G157" s="4"/>
      <c r="H157" s="108">
        <f>F157*L137</f>
        <v>-38465787.36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4"/>
      <c r="B158" s="4"/>
      <c r="C158" s="4"/>
      <c r="D158" s="4"/>
      <c r="E158" s="44" t="s">
        <v>113</v>
      </c>
      <c r="F158" s="46">
        <f>88%</f>
        <v>0.88</v>
      </c>
      <c r="G158" s="4"/>
      <c r="H158" s="108">
        <f>F158*L137</f>
        <v>-42312366.09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4"/>
      <c r="B159" s="4"/>
      <c r="C159" s="4"/>
      <c r="D159" s="4"/>
      <c r="E159" s="87" t="s">
        <v>114</v>
      </c>
      <c r="F159" s="109">
        <f>90%</f>
        <v>0.9</v>
      </c>
      <c r="G159" s="54"/>
      <c r="H159" s="108">
        <f>F163*L137</f>
        <v>-42312366.09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4"/>
      <c r="B161" s="4"/>
      <c r="C161" s="4"/>
      <c r="D161" s="4"/>
      <c r="E161" s="43" t="s">
        <v>154</v>
      </c>
      <c r="F161" s="27"/>
      <c r="G161" s="27"/>
      <c r="H161" s="1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4"/>
      <c r="B162" s="4"/>
      <c r="C162" s="4"/>
      <c r="D162" s="4"/>
      <c r="E162" s="44" t="s">
        <v>112</v>
      </c>
      <c r="F162" s="46">
        <f>80%</f>
        <v>0.8</v>
      </c>
      <c r="G162" s="4"/>
      <c r="H162" s="53">
        <f>IFERROR(__xludf.DUMMYFUNCTION("L115*F162*-1"),305243.90038584016)</f>
        <v>305243.9004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4"/>
      <c r="B163" s="4"/>
      <c r="C163" s="4"/>
      <c r="D163" s="4"/>
      <c r="E163" s="44" t="s">
        <v>113</v>
      </c>
      <c r="F163" s="46">
        <f>88%</f>
        <v>0.88</v>
      </c>
      <c r="G163" s="4"/>
      <c r="H163" s="53">
        <f>IFERROR(__xludf.DUMMYFUNCTION("L115*F163*-1"),335768.29042442417)</f>
        <v>335768.2904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4"/>
      <c r="B164" s="4"/>
      <c r="C164" s="4"/>
      <c r="D164" s="4"/>
      <c r="E164" s="87" t="s">
        <v>114</v>
      </c>
      <c r="F164" s="109">
        <f>90%</f>
        <v>0.9</v>
      </c>
      <c r="G164" s="54"/>
      <c r="H164" s="53">
        <f>IFERROR(__xludf.DUMMYFUNCTION("L115*F164*-1"),343399.3879340702)</f>
        <v>343399.3879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4"/>
      <c r="B166" s="4"/>
      <c r="C166" s="4"/>
      <c r="D166" s="4"/>
      <c r="E166" s="110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4"/>
      <c r="B167" s="4"/>
      <c r="C167" s="4"/>
      <c r="D167" s="4"/>
      <c r="E167" s="17"/>
      <c r="F167" s="4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4"/>
      <c r="B168" s="4"/>
      <c r="C168" s="4"/>
      <c r="D168" s="4"/>
      <c r="E168" s="17"/>
      <c r="F168" s="4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4"/>
      <c r="B169" s="4"/>
      <c r="C169" s="4"/>
      <c r="D169" s="4"/>
      <c r="E169" s="17"/>
      <c r="F169" s="46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</row>
  </sheetData>
  <mergeCells count="47">
    <mergeCell ref="A1:AE1"/>
    <mergeCell ref="A3:B3"/>
    <mergeCell ref="C5:D5"/>
    <mergeCell ref="C8:D8"/>
    <mergeCell ref="C12:K12"/>
    <mergeCell ref="C15:K15"/>
    <mergeCell ref="C18:K18"/>
    <mergeCell ref="C27:K27"/>
    <mergeCell ref="C38:K38"/>
    <mergeCell ref="C48:K48"/>
    <mergeCell ref="G58:J58"/>
    <mergeCell ref="C60:K60"/>
    <mergeCell ref="C64:K64"/>
    <mergeCell ref="I72:J72"/>
    <mergeCell ref="I73:J73"/>
    <mergeCell ref="I74:J74"/>
    <mergeCell ref="C76:K76"/>
    <mergeCell ref="C83:D83"/>
    <mergeCell ref="E83:G83"/>
    <mergeCell ref="H83:I83"/>
    <mergeCell ref="J83:M83"/>
    <mergeCell ref="C91:L91"/>
    <mergeCell ref="C94:L94"/>
    <mergeCell ref="P94:R94"/>
    <mergeCell ref="Y96:Z96"/>
    <mergeCell ref="AD96:AE96"/>
    <mergeCell ref="R97:R100"/>
    <mergeCell ref="C98:L98"/>
    <mergeCell ref="F99:F100"/>
    <mergeCell ref="J99:J100"/>
    <mergeCell ref="L99:L103"/>
    <mergeCell ref="E101:E103"/>
    <mergeCell ref="I101:I103"/>
    <mergeCell ref="C110:L110"/>
    <mergeCell ref="C117:L117"/>
    <mergeCell ref="H149:I149"/>
    <mergeCell ref="J149:N149"/>
    <mergeCell ref="E156:H156"/>
    <mergeCell ref="E161:H161"/>
    <mergeCell ref="E166:H166"/>
    <mergeCell ref="C124:L124"/>
    <mergeCell ref="C128:L128"/>
    <mergeCell ref="J137:K137"/>
    <mergeCell ref="C142:L142"/>
    <mergeCell ref="J146:K146"/>
    <mergeCell ref="C149:D149"/>
    <mergeCell ref="E149:G14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