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urton\Desktop\"/>
    </mc:Choice>
  </mc:AlternateContent>
  <bookViews>
    <workbookView xWindow="0" yWindow="0" windowWidth="28800" windowHeight="12150" tabRatio="834" activeTab="2"/>
  </bookViews>
  <sheets>
    <sheet name="Assumptions" sheetId="9" r:id="rId1"/>
    <sheet name="Development Costs" sheetId="8" r:id="rId2"/>
    <sheet name="Stabilized Pro-Forma" sheetId="11" r:id="rId3"/>
    <sheet name="Annual" sheetId="4" r:id="rId4"/>
    <sheet name="Amortization" sheetId="6" state="hidden" r:id="rId5"/>
  </sheets>
  <definedNames>
    <definedName name="\A">#N/A</definedName>
    <definedName name="\F">#N/A</definedName>
    <definedName name="\P">#N/A</definedName>
    <definedName name="a">#N/A</definedName>
    <definedName name="AAA">#N/A</definedName>
    <definedName name="ARGUS1">#N/A</definedName>
    <definedName name="BGRSF">#N/A</definedName>
    <definedName name="BNRSF">#N/A</definedName>
    <definedName name="BNRSF2">#N/A</definedName>
    <definedName name="BNRSF3">#N/A</definedName>
    <definedName name="BNRSF4">#N/A</definedName>
    <definedName name="CashtoBorrower">#N/A</definedName>
    <definedName name="CDATE">#N/A</definedName>
    <definedName name="cgrsf">#N/A</definedName>
    <definedName name="cnrsf">#N/A</definedName>
    <definedName name="CPIG">#N/A</definedName>
    <definedName name="d">#N/A</definedName>
    <definedName name="DDATE">#N/A</definedName>
    <definedName name="ENRSF">#N/A</definedName>
    <definedName name="GRSF">#N/A</definedName>
    <definedName name="GRSF5">#N/A</definedName>
    <definedName name="INT">#N/A</definedName>
    <definedName name="LTM">#N/A</definedName>
    <definedName name="MKTG">#N/A</definedName>
    <definedName name="NRSF">#N/A</definedName>
    <definedName name="NRSF5">#N/A</definedName>
    <definedName name="Price">#N/A</definedName>
    <definedName name="_xlnm.Print_Area" localSheetId="3">Annual!#REF!</definedName>
    <definedName name="_xlnm.Print_Area" localSheetId="0">Assumptions!$B$2:$N$39</definedName>
    <definedName name="_xlnm.Print_Area" localSheetId="1">'Development Costs'!$B$2:$H$44</definedName>
    <definedName name="_xlnm.Print_Area" localSheetId="2">'Stabilized Pro-Forma'!$B$2:$M$53</definedName>
    <definedName name="PRINT_MENU">#N/A</definedName>
    <definedName name="PRINTALL_MENU">#N/A</definedName>
    <definedName name="RGRSF">#N/A</definedName>
    <definedName name="RNRSF">#N/A</definedName>
    <definedName name="s">#N/A</definedName>
    <definedName name="sd">#N/A</definedName>
    <definedName name="SDATE">#N/A</definedName>
    <definedName name="units">#N/A</definedName>
  </definedNames>
  <calcPr calcId="162913"/>
</workbook>
</file>

<file path=xl/calcChain.xml><?xml version="1.0" encoding="utf-8"?>
<calcChain xmlns="http://schemas.openxmlformats.org/spreadsheetml/2006/main">
  <c r="C14" i="11" l="1"/>
  <c r="B34" i="11" l="1"/>
  <c r="B22" i="4" l="1"/>
  <c r="D56" i="9"/>
  <c r="D53" i="9"/>
  <c r="B8" i="4" l="1"/>
  <c r="B7" i="4"/>
  <c r="B5" i="4"/>
  <c r="E28" i="8" l="1"/>
  <c r="E26" i="8"/>
  <c r="E25" i="8"/>
  <c r="E24" i="8"/>
  <c r="E23" i="8"/>
  <c r="G22" i="11" l="1"/>
  <c r="G19" i="11"/>
  <c r="E30" i="4"/>
  <c r="B19" i="4"/>
  <c r="E26" i="4"/>
  <c r="B15" i="4"/>
  <c r="B11" i="4"/>
  <c r="B10" i="4"/>
  <c r="B2" i="4"/>
  <c r="C9" i="11"/>
  <c r="M15" i="9" l="1"/>
  <c r="C7" i="11" s="1"/>
  <c r="B4" i="11"/>
  <c r="B3" i="11"/>
  <c r="B2" i="11"/>
  <c r="M36" i="9"/>
  <c r="G3" i="9"/>
  <c r="E29" i="8" s="1"/>
  <c r="D19" i="9"/>
  <c r="B3" i="8"/>
  <c r="B2" i="8"/>
  <c r="E4" i="9"/>
  <c r="H13" i="9"/>
  <c r="E32" i="8"/>
  <c r="E31" i="8"/>
  <c r="E9" i="8"/>
  <c r="E10" i="8"/>
  <c r="E27" i="8"/>
  <c r="E15" i="8"/>
  <c r="E30" i="8"/>
  <c r="C23" i="11" l="1"/>
  <c r="E7" i="4"/>
  <c r="F7" i="4" s="1"/>
  <c r="G7" i="4" s="1"/>
  <c r="H7" i="4" s="1"/>
  <c r="I7" i="4" s="1"/>
  <c r="J7" i="4" s="1"/>
  <c r="K7" i="4" s="1"/>
  <c r="L7" i="4" s="1"/>
  <c r="M7" i="4" s="1"/>
  <c r="N7" i="4" s="1"/>
  <c r="C18" i="11"/>
  <c r="K14" i="9"/>
  <c r="D4" i="11"/>
  <c r="G5" i="9"/>
  <c r="G3" i="11"/>
  <c r="D4" i="8"/>
  <c r="I3" i="9"/>
  <c r="K13" i="9"/>
  <c r="K12" i="9"/>
  <c r="K11" i="9"/>
  <c r="E14" i="8"/>
  <c r="E16" i="8"/>
  <c r="F3" i="8"/>
  <c r="G15" i="8" s="1"/>
  <c r="B4" i="8"/>
  <c r="F10" i="4" l="1"/>
  <c r="J10" i="4"/>
  <c r="N10" i="4"/>
  <c r="I10" i="4"/>
  <c r="M10" i="4"/>
  <c r="G10" i="4"/>
  <c r="K10" i="4"/>
  <c r="E10" i="4"/>
  <c r="H10" i="4"/>
  <c r="L10" i="4"/>
  <c r="H15" i="4"/>
  <c r="L15" i="4"/>
  <c r="G15" i="4"/>
  <c r="K15" i="4"/>
  <c r="I15" i="4"/>
  <c r="M15" i="4"/>
  <c r="E15" i="4"/>
  <c r="F15" i="4"/>
  <c r="J15" i="4"/>
  <c r="N15" i="4"/>
  <c r="G16" i="8"/>
  <c r="G14" i="8"/>
  <c r="E17" i="8"/>
  <c r="M42" i="9"/>
  <c r="C26" i="4" l="1"/>
  <c r="E18" i="8"/>
  <c r="G17" i="8"/>
  <c r="M20" i="9"/>
  <c r="C8" i="11" s="1"/>
  <c r="C10" i="11" s="1"/>
  <c r="E4" i="4" s="1"/>
  <c r="F4" i="4" l="1"/>
  <c r="E19" i="8"/>
  <c r="G18" i="8"/>
  <c r="C11" i="11"/>
  <c r="F4" i="9"/>
  <c r="C12" i="11" l="1"/>
  <c r="E5" i="4"/>
  <c r="E6" i="4" s="1"/>
  <c r="F5" i="4"/>
  <c r="F6" i="4" s="1"/>
  <c r="G4" i="4"/>
  <c r="G8" i="11"/>
  <c r="E22" i="8"/>
  <c r="E33" i="8" s="1"/>
  <c r="E4" i="8"/>
  <c r="F4" i="11"/>
  <c r="H4" i="4" l="1"/>
  <c r="G5" i="4"/>
  <c r="G6" i="4" s="1"/>
  <c r="F15" i="8"/>
  <c r="F16" i="8"/>
  <c r="F14" i="8"/>
  <c r="F17" i="8"/>
  <c r="F18" i="8"/>
  <c r="D15" i="9"/>
  <c r="I4" i="4" l="1"/>
  <c r="H5" i="4"/>
  <c r="H6" i="4" s="1"/>
  <c r="G22" i="8"/>
  <c r="K10" i="9"/>
  <c r="K9" i="9"/>
  <c r="H14" i="9"/>
  <c r="J4" i="4" l="1"/>
  <c r="I5" i="4"/>
  <c r="I6" i="4" s="1"/>
  <c r="F22" i="8"/>
  <c r="H15" i="9"/>
  <c r="M29" i="9" s="1"/>
  <c r="F28" i="8"/>
  <c r="G28" i="8"/>
  <c r="F25" i="8"/>
  <c r="G25" i="8"/>
  <c r="F23" i="8"/>
  <c r="G23" i="8"/>
  <c r="G29" i="8"/>
  <c r="F29" i="8"/>
  <c r="F26" i="8"/>
  <c r="G26" i="8"/>
  <c r="F24" i="8"/>
  <c r="G24" i="8"/>
  <c r="G10" i="8"/>
  <c r="F10" i="8"/>
  <c r="E11" i="8"/>
  <c r="G7" i="11" s="1"/>
  <c r="G9" i="8"/>
  <c r="F9" i="8"/>
  <c r="K4" i="4" l="1"/>
  <c r="J5" i="4"/>
  <c r="J6" i="4" s="1"/>
  <c r="G11" i="8"/>
  <c r="I7" i="11" s="1"/>
  <c r="F11" i="8"/>
  <c r="H7" i="11" s="1"/>
  <c r="F31" i="8"/>
  <c r="G31" i="8"/>
  <c r="F27" i="8"/>
  <c r="G27" i="8"/>
  <c r="F32" i="8"/>
  <c r="G32" i="8"/>
  <c r="L4" i="4" l="1"/>
  <c r="K5" i="4"/>
  <c r="K6" i="4" s="1"/>
  <c r="F33" i="8"/>
  <c r="F34" i="8" s="1"/>
  <c r="H9" i="11" s="1"/>
  <c r="G33" i="8"/>
  <c r="G34" i="8" s="1"/>
  <c r="I9" i="11" s="1"/>
  <c r="E34" i="8"/>
  <c r="G9" i="11" s="1"/>
  <c r="M4" i="4" l="1"/>
  <c r="L5" i="4"/>
  <c r="L6" i="4" s="1"/>
  <c r="E36" i="8"/>
  <c r="N4" i="4" l="1"/>
  <c r="N5" i="4" s="1"/>
  <c r="N6" i="4" s="1"/>
  <c r="M5" i="4"/>
  <c r="M6" i="4" s="1"/>
  <c r="E39" i="8"/>
  <c r="E40" i="8"/>
  <c r="E41" i="8" l="1"/>
  <c r="E43" i="8" l="1"/>
  <c r="G10" i="11"/>
  <c r="G11" i="11" s="1"/>
  <c r="G19" i="8" l="1"/>
  <c r="F19" i="8"/>
  <c r="G36" i="8" l="1"/>
  <c r="I8" i="11"/>
  <c r="F36" i="8"/>
  <c r="H8" i="11"/>
  <c r="D8" i="9" l="1"/>
  <c r="C25" i="4" s="1"/>
  <c r="G39" i="8"/>
  <c r="F39" i="8"/>
  <c r="F40" i="8"/>
  <c r="G40" i="8"/>
  <c r="C30" i="4" l="1"/>
  <c r="C31" i="4" s="1"/>
  <c r="C24" i="11"/>
  <c r="C15" i="11"/>
  <c r="G41" i="8"/>
  <c r="I10" i="11" s="1"/>
  <c r="I11" i="11" s="1"/>
  <c r="F41" i="8"/>
  <c r="C16" i="11" l="1"/>
  <c r="E8" i="4"/>
  <c r="G16" i="4"/>
  <c r="K16" i="4"/>
  <c r="E16" i="4"/>
  <c r="F16" i="4"/>
  <c r="J16" i="4"/>
  <c r="N16" i="4"/>
  <c r="H16" i="4"/>
  <c r="L16" i="4"/>
  <c r="I16" i="4"/>
  <c r="M16" i="4"/>
  <c r="G43" i="8"/>
  <c r="F43" i="8"/>
  <c r="H10" i="11"/>
  <c r="H11" i="11" s="1"/>
  <c r="C30" i="11" l="1"/>
  <c r="F8" i="4"/>
  <c r="E9" i="4"/>
  <c r="M30" i="9" s="1"/>
  <c r="C27" i="4"/>
  <c r="G8" i="4" l="1"/>
  <c r="F9" i="4"/>
  <c r="H29" i="4"/>
  <c r="H30" i="4" s="1"/>
  <c r="C28" i="4"/>
  <c r="H26" i="4" s="1"/>
  <c r="G14" i="11" l="1"/>
  <c r="B4" i="6"/>
  <c r="C4" i="6" s="1"/>
  <c r="C19" i="11"/>
  <c r="H8" i="4"/>
  <c r="G9" i="4"/>
  <c r="G29" i="11"/>
  <c r="H11" i="4" l="1"/>
  <c r="E11" i="4"/>
  <c r="E12" i="4" s="1"/>
  <c r="G38" i="4" s="1"/>
  <c r="J11" i="4"/>
  <c r="F11" i="4"/>
  <c r="F12" i="4" s="1"/>
  <c r="G39" i="4" s="1"/>
  <c r="L11" i="4"/>
  <c r="I11" i="4"/>
  <c r="N11" i="4"/>
  <c r="G11" i="4"/>
  <c r="M11" i="4"/>
  <c r="K11" i="4"/>
  <c r="C20" i="11"/>
  <c r="G23" i="11"/>
  <c r="G15" i="11"/>
  <c r="G16" i="11"/>
  <c r="E4" i="6"/>
  <c r="D4" i="6" s="1"/>
  <c r="F4" i="6" s="1"/>
  <c r="B5" i="6" s="1"/>
  <c r="C5" i="6" s="1"/>
  <c r="E5" i="6" s="1"/>
  <c r="D5" i="6" s="1"/>
  <c r="G12" i="4"/>
  <c r="G40" i="4" s="1"/>
  <c r="I8" i="4"/>
  <c r="H9" i="4"/>
  <c r="H12" i="4" s="1"/>
  <c r="D21" i="4" l="1"/>
  <c r="D23" i="4" s="1"/>
  <c r="E22" i="4"/>
  <c r="G20" i="11"/>
  <c r="G21" i="11" s="1"/>
  <c r="C31" i="11"/>
  <c r="J8" i="4"/>
  <c r="I9" i="4"/>
  <c r="I12" i="4" s="1"/>
  <c r="G42" i="4" s="1"/>
  <c r="G41" i="4"/>
  <c r="F5" i="6"/>
  <c r="B6" i="6" s="1"/>
  <c r="C6" i="6" s="1"/>
  <c r="E6" i="6" s="1"/>
  <c r="D6" i="6" s="1"/>
  <c r="F6" i="6" s="1"/>
  <c r="B7" i="6" s="1"/>
  <c r="C7" i="6" s="1"/>
  <c r="K8" i="4" l="1"/>
  <c r="J9" i="4"/>
  <c r="J12" i="4" s="1"/>
  <c r="E7" i="6"/>
  <c r="D7" i="6" s="1"/>
  <c r="L8" i="4" l="1"/>
  <c r="K9" i="4"/>
  <c r="K12" i="4" s="1"/>
  <c r="G43" i="4"/>
  <c r="F7" i="6"/>
  <c r="B8" i="6" s="1"/>
  <c r="C8" i="6" s="1"/>
  <c r="E8" i="6" s="1"/>
  <c r="D8" i="6" s="1"/>
  <c r="F8" i="6" s="1"/>
  <c r="M8" i="4" l="1"/>
  <c r="L9" i="4"/>
  <c r="L12" i="4" s="1"/>
  <c r="G45" i="4" s="1"/>
  <c r="G44" i="4"/>
  <c r="B9" i="6"/>
  <c r="C9" i="6" s="1"/>
  <c r="E9" i="6" s="1"/>
  <c r="D9" i="6" s="1"/>
  <c r="F9" i="6" s="1"/>
  <c r="N8" i="4" l="1"/>
  <c r="N9" i="4" s="1"/>
  <c r="M9" i="4"/>
  <c r="M12" i="4" s="1"/>
  <c r="G46" i="4" s="1"/>
  <c r="B10" i="6"/>
  <c r="C10" i="6" s="1"/>
  <c r="N12" i="4" l="1"/>
  <c r="G47" i="4" s="1"/>
  <c r="M25" i="4"/>
  <c r="H25" i="4" s="1"/>
  <c r="E10" i="6"/>
  <c r="D10" i="6" s="1"/>
  <c r="F10" i="6" s="1"/>
  <c r="G28" i="11" l="1"/>
  <c r="C32" i="11"/>
  <c r="H27" i="4"/>
  <c r="H31" i="4" s="1"/>
  <c r="H32" i="4" s="1"/>
  <c r="G48" i="4"/>
  <c r="B11" i="6"/>
  <c r="C11" i="6" s="1"/>
  <c r="G30" i="11" l="1"/>
  <c r="H33" i="4"/>
  <c r="M26" i="4" s="1"/>
  <c r="E11" i="6"/>
  <c r="D11" i="6" s="1"/>
  <c r="F11" i="6" s="1"/>
  <c r="B12" i="6" l="1"/>
  <c r="C12" i="6" s="1"/>
  <c r="E12" i="6" l="1"/>
  <c r="D12" i="6" s="1"/>
  <c r="F12" i="6" s="1"/>
  <c r="B13" i="6" l="1"/>
  <c r="C13" i="6" s="1"/>
  <c r="E13" i="6" l="1"/>
  <c r="D13" i="6" s="1"/>
  <c r="F13" i="6" s="1"/>
  <c r="B14" i="6" l="1"/>
  <c r="C14" i="6" s="1"/>
  <c r="E14" i="6" s="1"/>
  <c r="D14" i="6" s="1"/>
  <c r="F14" i="6" s="1"/>
  <c r="B15" i="6" l="1"/>
  <c r="C15" i="6" s="1"/>
  <c r="E15" i="6" s="1"/>
  <c r="D15" i="6" s="1"/>
  <c r="C22" i="11" l="1"/>
  <c r="E14" i="4" s="1"/>
  <c r="F15" i="6"/>
  <c r="B16" i="6" s="1"/>
  <c r="C16" i="6" s="1"/>
  <c r="E17" i="4" l="1"/>
  <c r="E19" i="4" s="1"/>
  <c r="C25" i="11"/>
  <c r="C26" i="11" s="1"/>
  <c r="C27" i="11" s="1"/>
  <c r="E16" i="6"/>
  <c r="D16" i="6" s="1"/>
  <c r="F16" i="6" l="1"/>
  <c r="B17" i="6" s="1"/>
  <c r="C17" i="6" s="1"/>
  <c r="E17" i="6" s="1"/>
  <c r="D17" i="6" s="1"/>
  <c r="F17" i="6" s="1"/>
  <c r="E20" i="4"/>
  <c r="E23" i="4" s="1"/>
  <c r="I38" i="4"/>
  <c r="M38" i="4" l="1"/>
  <c r="B18" i="6"/>
  <c r="C18" i="6" s="1"/>
  <c r="E18" i="6" l="1"/>
  <c r="D18" i="6" s="1"/>
  <c r="F18" i="6" l="1"/>
  <c r="B19" i="6" s="1"/>
  <c r="C19" i="6" s="1"/>
  <c r="E19" i="6" s="1"/>
  <c r="D19" i="6" s="1"/>
  <c r="F19" i="6" s="1"/>
  <c r="B20" i="6" l="1"/>
  <c r="C20" i="6" s="1"/>
  <c r="E20" i="6" l="1"/>
  <c r="D20" i="6" s="1"/>
  <c r="F20" i="6" l="1"/>
  <c r="B21" i="6" s="1"/>
  <c r="C21" i="6" s="1"/>
  <c r="E21" i="6" l="1"/>
  <c r="D21" i="6" s="1"/>
  <c r="F21" i="6" l="1"/>
  <c r="B22" i="6" s="1"/>
  <c r="C22" i="6" s="1"/>
  <c r="E22" i="6" l="1"/>
  <c r="D22" i="6" s="1"/>
  <c r="F22" i="6" s="1"/>
  <c r="B23" i="6" l="1"/>
  <c r="C23" i="6" s="1"/>
  <c r="E23" i="6" l="1"/>
  <c r="D23" i="6" s="1"/>
  <c r="F23" i="6" s="1"/>
  <c r="B24" i="6" l="1"/>
  <c r="C24" i="6" s="1"/>
  <c r="E24" i="6" s="1"/>
  <c r="D24" i="6" s="1"/>
  <c r="F24" i="6" s="1"/>
  <c r="B25" i="6" l="1"/>
  <c r="C25" i="6" s="1"/>
  <c r="E25" i="6" s="1"/>
  <c r="D25" i="6" s="1"/>
  <c r="F25" i="6" s="1"/>
  <c r="B26" i="6" l="1"/>
  <c r="C26" i="6" s="1"/>
  <c r="E26" i="6" l="1"/>
  <c r="D26" i="6" s="1"/>
  <c r="F26" i="6" s="1"/>
  <c r="B27" i="6" l="1"/>
  <c r="C27" i="6" s="1"/>
  <c r="E27" i="6" l="1"/>
  <c r="D27" i="6" s="1"/>
  <c r="F27" i="6" l="1"/>
  <c r="B28" i="6" s="1"/>
  <c r="C28" i="6" s="1"/>
  <c r="F14" i="4"/>
  <c r="F17" i="4" l="1"/>
  <c r="F19" i="4" s="1"/>
  <c r="E28" i="6"/>
  <c r="D28" i="6" s="1"/>
  <c r="F28" i="6" l="1"/>
  <c r="B29" i="6" s="1"/>
  <c r="C29" i="6" s="1"/>
  <c r="E29" i="6" s="1"/>
  <c r="D29" i="6" s="1"/>
  <c r="F29" i="6" s="1"/>
  <c r="F20" i="4"/>
  <c r="F23" i="4" s="1"/>
  <c r="I39" i="4"/>
  <c r="M39" i="4" l="1"/>
  <c r="B30" i="6"/>
  <c r="C30" i="6" s="1"/>
  <c r="E30" i="6" l="1"/>
  <c r="D30" i="6" s="1"/>
  <c r="F30" i="6" l="1"/>
  <c r="B31" i="6" s="1"/>
  <c r="C31" i="6" s="1"/>
  <c r="E31" i="6" l="1"/>
  <c r="D31" i="6" s="1"/>
  <c r="F31" i="6" l="1"/>
  <c r="B32" i="6" s="1"/>
  <c r="C32" i="6" s="1"/>
  <c r="E32" i="6" l="1"/>
  <c r="D32" i="6" s="1"/>
  <c r="F32" i="6" l="1"/>
  <c r="B33" i="6" s="1"/>
  <c r="C33" i="6" s="1"/>
  <c r="E33" i="6" l="1"/>
  <c r="D33" i="6" s="1"/>
  <c r="F33" i="6" s="1"/>
  <c r="B34" i="6" l="1"/>
  <c r="C34" i="6" s="1"/>
  <c r="E34" i="6" l="1"/>
  <c r="D34" i="6" s="1"/>
  <c r="F34" i="6" s="1"/>
  <c r="B35" i="6" l="1"/>
  <c r="C35" i="6" l="1"/>
  <c r="E35" i="6" s="1"/>
  <c r="D35" i="6" s="1"/>
  <c r="F35" i="6" s="1"/>
  <c r="B36" i="6" s="1"/>
  <c r="C36" i="6" l="1"/>
  <c r="E36" i="6" s="1"/>
  <c r="D36" i="6" s="1"/>
  <c r="F36" i="6" s="1"/>
  <c r="B37" i="6" s="1"/>
  <c r="C37" i="6" s="1"/>
  <c r="E37" i="6" l="1"/>
  <c r="D37" i="6" s="1"/>
  <c r="F37" i="6" s="1"/>
  <c r="B38" i="6" l="1"/>
  <c r="C38" i="6" l="1"/>
  <c r="E38" i="6" s="1"/>
  <c r="D38" i="6" s="1"/>
  <c r="F38" i="6" s="1"/>
  <c r="B39" i="6" s="1"/>
  <c r="C39" i="6" s="1"/>
  <c r="E39" i="6" l="1"/>
  <c r="D39" i="6" s="1"/>
  <c r="F39" i="6" l="1"/>
  <c r="B40" i="6" s="1"/>
  <c r="C40" i="6" s="1"/>
  <c r="G14" i="4"/>
  <c r="G17" i="4" l="1"/>
  <c r="G19" i="4" s="1"/>
  <c r="E40" i="6"/>
  <c r="D40" i="6" s="1"/>
  <c r="F40" i="6" l="1"/>
  <c r="B41" i="6" s="1"/>
  <c r="C41" i="6" s="1"/>
  <c r="G20" i="4"/>
  <c r="G23" i="4" s="1"/>
  <c r="I40" i="4"/>
  <c r="M40" i="4" l="1"/>
  <c r="E41" i="6"/>
  <c r="D41" i="6" s="1"/>
  <c r="F41" i="6" l="1"/>
  <c r="B42" i="6" s="1"/>
  <c r="C42" i="6" l="1"/>
  <c r="E42" i="6" s="1"/>
  <c r="D42" i="6" s="1"/>
  <c r="F42" i="6" l="1"/>
  <c r="B43" i="6" s="1"/>
  <c r="C43" i="6" s="1"/>
  <c r="E43" i="6" s="1"/>
  <c r="D43" i="6" s="1"/>
  <c r="F43" i="6" s="1"/>
  <c r="B44" i="6" l="1"/>
  <c r="C44" i="6" s="1"/>
  <c r="E44" i="6" l="1"/>
  <c r="D44" i="6" s="1"/>
  <c r="F44" i="6" l="1"/>
  <c r="B45" i="6" s="1"/>
  <c r="C45" i="6" s="1"/>
  <c r="E45" i="6" l="1"/>
  <c r="D45" i="6" s="1"/>
  <c r="F45" i="6" s="1"/>
  <c r="B46" i="6" l="1"/>
  <c r="C46" i="6" l="1"/>
  <c r="E46" i="6" s="1"/>
  <c r="D46" i="6" s="1"/>
  <c r="F46" i="6" s="1"/>
  <c r="B47" i="6" s="1"/>
  <c r="C47" i="6" l="1"/>
  <c r="E47" i="6" s="1"/>
  <c r="D47" i="6" s="1"/>
  <c r="F47" i="6" s="1"/>
  <c r="B48" i="6" s="1"/>
  <c r="C48" i="6" s="1"/>
  <c r="E48" i="6" l="1"/>
  <c r="D48" i="6" s="1"/>
  <c r="F48" i="6" s="1"/>
  <c r="B49" i="6" l="1"/>
  <c r="C49" i="6" s="1"/>
  <c r="E49" i="6" l="1"/>
  <c r="D49" i="6" s="1"/>
  <c r="F49" i="6" s="1"/>
  <c r="B50" i="6" l="1"/>
  <c r="C50" i="6" s="1"/>
  <c r="E50" i="6" l="1"/>
  <c r="D50" i="6" s="1"/>
  <c r="F50" i="6" s="1"/>
  <c r="B51" i="6" l="1"/>
  <c r="C51" i="6" s="1"/>
  <c r="E51" i="6" l="1"/>
  <c r="D51" i="6" s="1"/>
  <c r="F51" i="6" l="1"/>
  <c r="B52" i="6" s="1"/>
  <c r="C52" i="6" s="1"/>
  <c r="H14" i="4"/>
  <c r="H17" i="4" l="1"/>
  <c r="H19" i="4" s="1"/>
  <c r="E52" i="6"/>
  <c r="D52" i="6" s="1"/>
  <c r="F52" i="6" l="1"/>
  <c r="B53" i="6" s="1"/>
  <c r="C53" i="6" s="1"/>
  <c r="H20" i="4"/>
  <c r="H23" i="4" s="1"/>
  <c r="I41" i="4"/>
  <c r="M41" i="4" l="1"/>
  <c r="E53" i="6"/>
  <c r="D53" i="6" s="1"/>
  <c r="F53" i="6" l="1"/>
  <c r="B54" i="6" s="1"/>
  <c r="C54" i="6" l="1"/>
  <c r="E54" i="6" s="1"/>
  <c r="D54" i="6" s="1"/>
  <c r="F54" i="6" l="1"/>
  <c r="B55" i="6" s="1"/>
  <c r="C55" i="6" s="1"/>
  <c r="E55" i="6" s="1"/>
  <c r="D55" i="6" s="1"/>
  <c r="F55" i="6" s="1"/>
  <c r="B56" i="6" l="1"/>
  <c r="C56" i="6" s="1"/>
  <c r="E56" i="6" l="1"/>
  <c r="D56" i="6" s="1"/>
  <c r="F56" i="6" l="1"/>
  <c r="B57" i="6" s="1"/>
  <c r="C57" i="6" s="1"/>
  <c r="E57" i="6" l="1"/>
  <c r="D57" i="6" s="1"/>
  <c r="F57" i="6" s="1"/>
  <c r="B58" i="6" l="1"/>
  <c r="C58" i="6" s="1"/>
  <c r="E58" i="6" l="1"/>
  <c r="D58" i="6" s="1"/>
  <c r="F58" i="6" s="1"/>
  <c r="B59" i="6" l="1"/>
  <c r="C59" i="6" s="1"/>
  <c r="E59" i="6" l="1"/>
  <c r="D59" i="6" s="1"/>
  <c r="F59" i="6" s="1"/>
  <c r="B60" i="6" l="1"/>
  <c r="C60" i="6" s="1"/>
  <c r="E60" i="6" l="1"/>
  <c r="D60" i="6" s="1"/>
  <c r="F60" i="6" s="1"/>
  <c r="B61" i="6" l="1"/>
  <c r="C61" i="6" l="1"/>
  <c r="E61" i="6" s="1"/>
  <c r="D61" i="6" s="1"/>
  <c r="F61" i="6" s="1"/>
  <c r="B62" i="6" s="1"/>
  <c r="C62" i="6" s="1"/>
  <c r="E62" i="6" l="1"/>
  <c r="D62" i="6" s="1"/>
  <c r="F62" i="6" s="1"/>
  <c r="B63" i="6" l="1"/>
  <c r="C63" i="6" s="1"/>
  <c r="E63" i="6" l="1"/>
  <c r="D63" i="6" s="1"/>
  <c r="F63" i="6" l="1"/>
  <c r="B64" i="6" s="1"/>
  <c r="C64" i="6" s="1"/>
  <c r="I14" i="4"/>
  <c r="I17" i="4" l="1"/>
  <c r="I19" i="4" s="1"/>
  <c r="E64" i="6"/>
  <c r="D64" i="6" s="1"/>
  <c r="F64" i="6" l="1"/>
  <c r="B65" i="6" s="1"/>
  <c r="I20" i="4"/>
  <c r="I23" i="4" s="1"/>
  <c r="I42" i="4"/>
  <c r="M42" i="4" l="1"/>
  <c r="C65" i="6"/>
  <c r="E65" i="6" s="1"/>
  <c r="D65" i="6" s="1"/>
  <c r="F65" i="6" l="1"/>
  <c r="B66" i="6" s="1"/>
  <c r="C66" i="6" s="1"/>
  <c r="E66" i="6" s="1"/>
  <c r="D66" i="6" s="1"/>
  <c r="F66" i="6" l="1"/>
  <c r="B67" i="6" s="1"/>
  <c r="C67" i="6" s="1"/>
  <c r="E67" i="6" l="1"/>
  <c r="D67" i="6" s="1"/>
  <c r="F67" i="6" l="1"/>
  <c r="B68" i="6" s="1"/>
  <c r="C68" i="6" l="1"/>
  <c r="E68" i="6" s="1"/>
  <c r="D68" i="6" s="1"/>
  <c r="F68" i="6" l="1"/>
  <c r="B69" i="6" s="1"/>
  <c r="C69" i="6" s="1"/>
  <c r="E69" i="6" s="1"/>
  <c r="D69" i="6" s="1"/>
  <c r="F69" i="6" s="1"/>
  <c r="B70" i="6" l="1"/>
  <c r="C70" i="6" s="1"/>
  <c r="E70" i="6" l="1"/>
  <c r="D70" i="6" s="1"/>
  <c r="F70" i="6" s="1"/>
  <c r="B71" i="6" l="1"/>
  <c r="C71" i="6" s="1"/>
  <c r="E71" i="6" l="1"/>
  <c r="D71" i="6" s="1"/>
  <c r="F71" i="6" s="1"/>
  <c r="B72" i="6" l="1"/>
  <c r="C72" i="6" s="1"/>
  <c r="E72" i="6" l="1"/>
  <c r="D72" i="6" s="1"/>
  <c r="F72" i="6" s="1"/>
  <c r="B73" i="6" l="1"/>
  <c r="C73" i="6" s="1"/>
  <c r="E73" i="6" l="1"/>
  <c r="D73" i="6" s="1"/>
  <c r="F73" i="6" s="1"/>
  <c r="B74" i="6" l="1"/>
  <c r="C74" i="6" s="1"/>
  <c r="E74" i="6" l="1"/>
  <c r="D74" i="6" s="1"/>
  <c r="F74" i="6" s="1"/>
  <c r="B75" i="6" l="1"/>
  <c r="C75" i="6" l="1"/>
  <c r="E75" i="6" s="1"/>
  <c r="D75" i="6" s="1"/>
  <c r="F75" i="6" l="1"/>
  <c r="B76" i="6" s="1"/>
  <c r="C76" i="6" s="1"/>
  <c r="E76" i="6" s="1"/>
  <c r="D76" i="6" s="1"/>
  <c r="J14" i="4"/>
  <c r="J17" i="4" s="1"/>
  <c r="J19" i="4" s="1"/>
  <c r="J20" i="4" l="1"/>
  <c r="J23" i="4" s="1"/>
  <c r="I43" i="4"/>
  <c r="M43" i="4" s="1"/>
  <c r="F76" i="6"/>
  <c r="B77" i="6" s="1"/>
  <c r="C77" i="6" l="1"/>
  <c r="E77" i="6" s="1"/>
  <c r="D77" i="6" s="1"/>
  <c r="F77" i="6" l="1"/>
  <c r="B78" i="6" s="1"/>
  <c r="C78" i="6" s="1"/>
  <c r="E78" i="6" s="1"/>
  <c r="D78" i="6" s="1"/>
  <c r="F78" i="6" s="1"/>
  <c r="B79" i="6" l="1"/>
  <c r="C79" i="6" l="1"/>
  <c r="E79" i="6" s="1"/>
  <c r="D79" i="6" s="1"/>
  <c r="F79" i="6" l="1"/>
  <c r="B80" i="6" s="1"/>
  <c r="C80" i="6" s="1"/>
  <c r="E80" i="6" s="1"/>
  <c r="D80" i="6" s="1"/>
  <c r="F80" i="6" s="1"/>
  <c r="B81" i="6" l="1"/>
  <c r="C81" i="6" s="1"/>
  <c r="E81" i="6" l="1"/>
  <c r="D81" i="6" s="1"/>
  <c r="F81" i="6" s="1"/>
  <c r="B82" i="6" l="1"/>
  <c r="C82" i="6" s="1"/>
  <c r="E82" i="6" l="1"/>
  <c r="D82" i="6" s="1"/>
  <c r="F82" i="6" s="1"/>
  <c r="B83" i="6" l="1"/>
  <c r="C83" i="6" l="1"/>
  <c r="E83" i="6" s="1"/>
  <c r="D83" i="6" s="1"/>
  <c r="F83" i="6" s="1"/>
  <c r="B84" i="6" s="1"/>
  <c r="C84" i="6" s="1"/>
  <c r="E84" i="6" l="1"/>
  <c r="D84" i="6" s="1"/>
  <c r="F84" i="6" s="1"/>
  <c r="B85" i="6" l="1"/>
  <c r="C85" i="6" l="1"/>
  <c r="E85" i="6" s="1"/>
  <c r="D85" i="6" s="1"/>
  <c r="F85" i="6" s="1"/>
  <c r="B86" i="6" s="1"/>
  <c r="C86" i="6" s="1"/>
  <c r="E86" i="6" l="1"/>
  <c r="D86" i="6" s="1"/>
  <c r="F86" i="6" s="1"/>
  <c r="B87" i="6" l="1"/>
  <c r="C87" i="6" s="1"/>
  <c r="E87" i="6" l="1"/>
  <c r="D87" i="6" s="1"/>
  <c r="F87" i="6" l="1"/>
  <c r="B88" i="6" s="1"/>
  <c r="K14" i="4"/>
  <c r="K17" i="4" s="1"/>
  <c r="K19" i="4" s="1"/>
  <c r="K20" i="4" l="1"/>
  <c r="K23" i="4" s="1"/>
  <c r="I44" i="4"/>
  <c r="M44" i="4" s="1"/>
  <c r="C88" i="6"/>
  <c r="E88" i="6" s="1"/>
  <c r="D88" i="6" s="1"/>
  <c r="F88" i="6" l="1"/>
  <c r="B89" i="6" s="1"/>
  <c r="C89" i="6" s="1"/>
  <c r="E89" i="6" s="1"/>
  <c r="D89" i="6" s="1"/>
  <c r="F89" i="6" s="1"/>
  <c r="B90" i="6" l="1"/>
  <c r="C90" i="6" s="1"/>
  <c r="E90" i="6" l="1"/>
  <c r="D90" i="6" s="1"/>
  <c r="F90" i="6" l="1"/>
  <c r="B91" i="6" s="1"/>
  <c r="C91" i="6" l="1"/>
  <c r="E91" i="6" s="1"/>
  <c r="D91" i="6" s="1"/>
  <c r="F91" i="6" l="1"/>
  <c r="B92" i="6" s="1"/>
  <c r="C92" i="6" s="1"/>
  <c r="E92" i="6" s="1"/>
  <c r="D92" i="6" s="1"/>
  <c r="F92" i="6" s="1"/>
  <c r="B93" i="6" l="1"/>
  <c r="C93" i="6" l="1"/>
  <c r="E93" i="6" s="1"/>
  <c r="D93" i="6" s="1"/>
  <c r="F93" i="6" s="1"/>
  <c r="B94" i="6" s="1"/>
  <c r="C94" i="6" s="1"/>
  <c r="E94" i="6" l="1"/>
  <c r="D94" i="6" s="1"/>
  <c r="F94" i="6" s="1"/>
  <c r="B95" i="6" l="1"/>
  <c r="C95" i="6" l="1"/>
  <c r="E95" i="6" s="1"/>
  <c r="D95" i="6" s="1"/>
  <c r="F95" i="6" s="1"/>
  <c r="B96" i="6" s="1"/>
  <c r="C96" i="6" s="1"/>
  <c r="E96" i="6" l="1"/>
  <c r="D96" i="6" s="1"/>
  <c r="F96" i="6" s="1"/>
  <c r="B97" i="6" l="1"/>
  <c r="C97" i="6" l="1"/>
  <c r="E97" i="6" s="1"/>
  <c r="D97" i="6" s="1"/>
  <c r="F97" i="6" s="1"/>
  <c r="B98" i="6" s="1"/>
  <c r="C98" i="6" l="1"/>
  <c r="E98" i="6" s="1"/>
  <c r="D98" i="6" s="1"/>
  <c r="F98" i="6" s="1"/>
  <c r="B99" i="6" s="1"/>
  <c r="C99" i="6" s="1"/>
  <c r="E99" i="6" l="1"/>
  <c r="D99" i="6" s="1"/>
  <c r="F99" i="6" l="1"/>
  <c r="B100" i="6" s="1"/>
  <c r="C100" i="6" s="1"/>
  <c r="L14" i="4"/>
  <c r="L17" i="4" s="1"/>
  <c r="L19" i="4" s="1"/>
  <c r="L20" i="4" l="1"/>
  <c r="L23" i="4" s="1"/>
  <c r="I45" i="4"/>
  <c r="M45" i="4" s="1"/>
  <c r="E100" i="6"/>
  <c r="D100" i="6" s="1"/>
  <c r="F100" i="6" l="1"/>
  <c r="B101" i="6" s="1"/>
  <c r="C101" i="6" s="1"/>
  <c r="E101" i="6" l="1"/>
  <c r="D101" i="6" s="1"/>
  <c r="F101" i="6" l="1"/>
  <c r="B102" i="6" s="1"/>
  <c r="C102" i="6" s="1"/>
  <c r="E102" i="6" l="1"/>
  <c r="D102" i="6" s="1"/>
  <c r="F102" i="6" l="1"/>
  <c r="B103" i="6" s="1"/>
  <c r="C103" i="6" s="1"/>
  <c r="E103" i="6" l="1"/>
  <c r="D103" i="6" s="1"/>
  <c r="F103" i="6" l="1"/>
  <c r="B104" i="6" s="1"/>
  <c r="C104" i="6" l="1"/>
  <c r="E104" i="6" s="1"/>
  <c r="D104" i="6" s="1"/>
  <c r="F104" i="6" l="1"/>
  <c r="B105" i="6" s="1"/>
  <c r="C105" i="6" s="1"/>
  <c r="E105" i="6" s="1"/>
  <c r="D105" i="6" s="1"/>
  <c r="F105" i="6" s="1"/>
  <c r="B106" i="6" s="1"/>
  <c r="C106" i="6" l="1"/>
  <c r="E106" i="6" s="1"/>
  <c r="D106" i="6" s="1"/>
  <c r="F106" i="6" s="1"/>
  <c r="B107" i="6" s="1"/>
  <c r="C107" i="6" l="1"/>
  <c r="E107" i="6" s="1"/>
  <c r="D107" i="6" s="1"/>
  <c r="F107" i="6" s="1"/>
  <c r="B108" i="6" s="1"/>
  <c r="C108" i="6" l="1"/>
  <c r="E108" i="6" s="1"/>
  <c r="D108" i="6" s="1"/>
  <c r="F108" i="6" s="1"/>
  <c r="B109" i="6" s="1"/>
  <c r="C109" i="6" s="1"/>
  <c r="E109" i="6" l="1"/>
  <c r="D109" i="6" s="1"/>
  <c r="F109" i="6" s="1"/>
  <c r="B110" i="6" l="1"/>
  <c r="C110" i="6" s="1"/>
  <c r="E110" i="6" l="1"/>
  <c r="D110" i="6" s="1"/>
  <c r="F110" i="6" s="1"/>
  <c r="B111" i="6" l="1"/>
  <c r="C111" i="6" s="1"/>
  <c r="E111" i="6" l="1"/>
  <c r="D111" i="6" s="1"/>
  <c r="F111" i="6" l="1"/>
  <c r="B112" i="6" s="1"/>
  <c r="C112" i="6" s="1"/>
  <c r="M14" i="4"/>
  <c r="M17" i="4" s="1"/>
  <c r="M19" i="4" s="1"/>
  <c r="M20" i="4" l="1"/>
  <c r="M23" i="4" s="1"/>
  <c r="I46" i="4"/>
  <c r="M46" i="4" s="1"/>
  <c r="E112" i="6"/>
  <c r="D112" i="6" s="1"/>
  <c r="F112" i="6" l="1"/>
  <c r="B113" i="6" s="1"/>
  <c r="C113" i="6" s="1"/>
  <c r="E113" i="6" l="1"/>
  <c r="D113" i="6" s="1"/>
  <c r="F113" i="6" l="1"/>
  <c r="B114" i="6" s="1"/>
  <c r="C114" i="6" s="1"/>
  <c r="E114" i="6" l="1"/>
  <c r="D114" i="6" s="1"/>
  <c r="F114" i="6" l="1"/>
  <c r="B115" i="6" s="1"/>
  <c r="C115" i="6" s="1"/>
  <c r="E115" i="6" l="1"/>
  <c r="D115" i="6" s="1"/>
  <c r="F115" i="6" l="1"/>
  <c r="B116" i="6" s="1"/>
  <c r="C116" i="6" s="1"/>
  <c r="E116" i="6" l="1"/>
  <c r="D116" i="6" s="1"/>
  <c r="F116" i="6" l="1"/>
  <c r="B117" i="6" s="1"/>
  <c r="C117" i="6" s="1"/>
  <c r="E117" i="6" l="1"/>
  <c r="D117" i="6" s="1"/>
  <c r="F117" i="6" s="1"/>
  <c r="B118" i="6" l="1"/>
  <c r="C118" i="6" s="1"/>
  <c r="E118" i="6" l="1"/>
  <c r="D118" i="6" s="1"/>
  <c r="F118" i="6" s="1"/>
  <c r="B119" i="6" l="1"/>
  <c r="C119" i="6" s="1"/>
  <c r="E119" i="6" l="1"/>
  <c r="D119" i="6" s="1"/>
  <c r="F119" i="6" s="1"/>
  <c r="B120" i="6" l="1"/>
  <c r="C120" i="6" s="1"/>
  <c r="E120" i="6" l="1"/>
  <c r="D120" i="6" s="1"/>
  <c r="F120" i="6" s="1"/>
  <c r="B121" i="6" l="1"/>
  <c r="C121" i="6" l="1"/>
  <c r="E121" i="6" s="1"/>
  <c r="D121" i="6" s="1"/>
  <c r="F121" i="6" s="1"/>
  <c r="B122" i="6" s="1"/>
  <c r="C122" i="6" s="1"/>
  <c r="E122" i="6" l="1"/>
  <c r="D122" i="6" s="1"/>
  <c r="F122" i="6" s="1"/>
  <c r="B123" i="6" l="1"/>
  <c r="C123" i="6" s="1"/>
  <c r="E123" i="6" l="1"/>
  <c r="D123" i="6" s="1"/>
  <c r="F123" i="6" l="1"/>
  <c r="N14" i="4"/>
  <c r="B124" i="6"/>
  <c r="C124" i="6" s="1"/>
  <c r="N17" i="4" l="1"/>
  <c r="N19" i="4" s="1"/>
  <c r="G27" i="11"/>
  <c r="E124" i="6"/>
  <c r="D124" i="6" s="1"/>
  <c r="F124" i="6" s="1"/>
  <c r="M27" i="4" s="1"/>
  <c r="M28" i="4" s="1"/>
  <c r="N22" i="4" l="1"/>
  <c r="K47" i="4"/>
  <c r="K48" i="4" s="1"/>
  <c r="G31" i="11"/>
  <c r="N20" i="4"/>
  <c r="I47" i="4"/>
  <c r="B125" i="6"/>
  <c r="C125" i="6" s="1"/>
  <c r="N23" i="4" l="1"/>
  <c r="M32" i="4"/>
  <c r="C34" i="11" s="1"/>
  <c r="C35" i="11" s="1"/>
  <c r="M33" i="4"/>
  <c r="M47" i="4"/>
  <c r="M48" i="4" s="1"/>
  <c r="G26" i="11" s="1"/>
  <c r="I48" i="4"/>
  <c r="E125" i="6"/>
  <c r="D125" i="6" s="1"/>
  <c r="F125" i="6" s="1"/>
  <c r="N42" i="4" l="1"/>
  <c r="N46" i="4"/>
  <c r="J39" i="4"/>
  <c r="J43" i="4"/>
  <c r="J47" i="4"/>
  <c r="H41" i="4"/>
  <c r="H45" i="4"/>
  <c r="N39" i="4"/>
  <c r="N43" i="4"/>
  <c r="N47" i="4"/>
  <c r="J40" i="4"/>
  <c r="J44" i="4"/>
  <c r="J38" i="4"/>
  <c r="H42" i="4"/>
  <c r="H46" i="4"/>
  <c r="F35" i="4"/>
  <c r="N40" i="4"/>
  <c r="N44" i="4"/>
  <c r="N38" i="4"/>
  <c r="J41" i="4"/>
  <c r="J45" i="4"/>
  <c r="H39" i="4"/>
  <c r="H43" i="4"/>
  <c r="H47" i="4"/>
  <c r="N41" i="4"/>
  <c r="N45" i="4"/>
  <c r="L47" i="4"/>
  <c r="L48" i="4" s="1"/>
  <c r="J42" i="4"/>
  <c r="J46" i="4"/>
  <c r="H40" i="4"/>
  <c r="H44" i="4"/>
  <c r="H38" i="4"/>
  <c r="H48" i="4" s="1"/>
  <c r="C33" i="11"/>
  <c r="B126" i="6"/>
  <c r="C126" i="6" s="1"/>
  <c r="N48" i="4" l="1"/>
  <c r="L49" i="4" s="1"/>
  <c r="G36" i="11" s="1"/>
  <c r="J48" i="4"/>
  <c r="J49" i="4" s="1"/>
  <c r="G35" i="11" s="1"/>
  <c r="E126" i="6"/>
  <c r="D126" i="6" s="1"/>
  <c r="F126" i="6" s="1"/>
  <c r="H49" i="4" l="1"/>
  <c r="B127" i="6"/>
  <c r="C127" i="6" s="1"/>
  <c r="N49" i="4" l="1"/>
  <c r="G34" i="11"/>
  <c r="E127" i="6"/>
  <c r="D127" i="6" s="1"/>
  <c r="F127" i="6" s="1"/>
  <c r="B128" i="6" l="1"/>
  <c r="C128" i="6" s="1"/>
  <c r="E128" i="6" l="1"/>
  <c r="D128" i="6" s="1"/>
  <c r="F128" i="6" s="1"/>
  <c r="B129" i="6" l="1"/>
  <c r="C129" i="6" s="1"/>
  <c r="E129" i="6" l="1"/>
  <c r="D129" i="6" s="1"/>
  <c r="F129" i="6" s="1"/>
  <c r="B130" i="6" l="1"/>
  <c r="C130" i="6" s="1"/>
  <c r="E130" i="6" l="1"/>
  <c r="D130" i="6" s="1"/>
  <c r="F130" i="6" s="1"/>
  <c r="B131" i="6" l="1"/>
  <c r="C131" i="6" s="1"/>
  <c r="E131" i="6" l="1"/>
  <c r="D131" i="6" s="1"/>
  <c r="F131" i="6" s="1"/>
  <c r="B132" i="6" l="1"/>
  <c r="C132" i="6" s="1"/>
  <c r="E132" i="6" l="1"/>
  <c r="D132" i="6" s="1"/>
  <c r="F132" i="6" s="1"/>
  <c r="B133" i="6" l="1"/>
  <c r="C133" i="6" s="1"/>
  <c r="E133" i="6" l="1"/>
  <c r="D133" i="6" s="1"/>
  <c r="F133" i="6" s="1"/>
  <c r="B134" i="6" l="1"/>
  <c r="C134" i="6" s="1"/>
  <c r="E134" i="6" l="1"/>
  <c r="D134" i="6" s="1"/>
  <c r="F134" i="6" s="1"/>
  <c r="B135" i="6" l="1"/>
  <c r="C135" i="6" s="1"/>
  <c r="E135" i="6" l="1"/>
  <c r="D135" i="6" s="1"/>
  <c r="F135" i="6" s="1"/>
  <c r="B136" i="6" l="1"/>
  <c r="C136" i="6" s="1"/>
  <c r="E136" i="6" l="1"/>
  <c r="D136" i="6" s="1"/>
  <c r="F136" i="6" s="1"/>
  <c r="B137" i="6" l="1"/>
  <c r="C137" i="6" s="1"/>
  <c r="E137" i="6" l="1"/>
  <c r="D137" i="6" s="1"/>
  <c r="F137" i="6" s="1"/>
  <c r="B138" i="6" l="1"/>
  <c r="C138" i="6" s="1"/>
  <c r="E138" i="6" l="1"/>
  <c r="D138" i="6" s="1"/>
  <c r="F138" i="6" s="1"/>
  <c r="B139" i="6" l="1"/>
  <c r="C139" i="6" s="1"/>
  <c r="E139" i="6" l="1"/>
  <c r="D139" i="6" s="1"/>
  <c r="F139" i="6" s="1"/>
  <c r="B140" i="6" l="1"/>
  <c r="C140" i="6" s="1"/>
  <c r="E140" i="6" l="1"/>
  <c r="D140" i="6" s="1"/>
  <c r="F140" i="6" s="1"/>
  <c r="B141" i="6" l="1"/>
  <c r="C141" i="6" l="1"/>
  <c r="E141" i="6" s="1"/>
  <c r="D141" i="6" s="1"/>
  <c r="F141" i="6" s="1"/>
  <c r="B142" i="6" s="1"/>
  <c r="C142" i="6" s="1"/>
  <c r="E142" i="6" l="1"/>
  <c r="D142" i="6" s="1"/>
  <c r="F142" i="6" s="1"/>
  <c r="B143" i="6" l="1"/>
  <c r="C143" i="6" l="1"/>
  <c r="E143" i="6" s="1"/>
  <c r="D143" i="6" s="1"/>
  <c r="F143" i="6" s="1"/>
  <c r="B144" i="6" s="1"/>
  <c r="C144" i="6" s="1"/>
  <c r="E144" i="6" l="1"/>
  <c r="D144" i="6" s="1"/>
  <c r="F144" i="6" s="1"/>
  <c r="B145" i="6" l="1"/>
  <c r="C145" i="6" l="1"/>
  <c r="E145" i="6" s="1"/>
  <c r="D145" i="6" s="1"/>
  <c r="F145" i="6" s="1"/>
  <c r="B146" i="6" s="1"/>
  <c r="C146" i="6" s="1"/>
  <c r="E146" i="6" l="1"/>
  <c r="D146" i="6" s="1"/>
  <c r="F146" i="6" s="1"/>
  <c r="B147" i="6" l="1"/>
  <c r="C147" i="6" s="1"/>
  <c r="E147" i="6" l="1"/>
  <c r="D147" i="6" s="1"/>
  <c r="F147" i="6" s="1"/>
  <c r="B148" i="6" l="1"/>
  <c r="C148" i="6" s="1"/>
  <c r="E148" i="6" l="1"/>
  <c r="D148" i="6" s="1"/>
  <c r="F148" i="6" s="1"/>
  <c r="B149" i="6" l="1"/>
  <c r="C149" i="6" s="1"/>
  <c r="E149" i="6" l="1"/>
  <c r="D149" i="6" s="1"/>
  <c r="F149" i="6" s="1"/>
  <c r="B150" i="6" l="1"/>
  <c r="C150" i="6" s="1"/>
  <c r="E150" i="6" l="1"/>
  <c r="D150" i="6" s="1"/>
  <c r="F150" i="6" s="1"/>
  <c r="B151" i="6" l="1"/>
  <c r="C151" i="6" s="1"/>
  <c r="E151" i="6" l="1"/>
  <c r="D151" i="6" s="1"/>
  <c r="F151" i="6" s="1"/>
  <c r="B152" i="6" l="1"/>
  <c r="C152" i="6" s="1"/>
  <c r="E152" i="6" l="1"/>
  <c r="D152" i="6" s="1"/>
  <c r="F152" i="6" s="1"/>
  <c r="B153" i="6" l="1"/>
  <c r="C153" i="6" l="1"/>
  <c r="E153" i="6" s="1"/>
  <c r="D153" i="6" s="1"/>
  <c r="F153" i="6" s="1"/>
  <c r="B154" i="6" s="1"/>
  <c r="C154" i="6" s="1"/>
  <c r="E154" i="6" l="1"/>
  <c r="D154" i="6" s="1"/>
  <c r="F154" i="6" s="1"/>
  <c r="B155" i="6" l="1"/>
  <c r="C155" i="6" s="1"/>
  <c r="E155" i="6" l="1"/>
  <c r="D155" i="6" s="1"/>
  <c r="F155" i="6" s="1"/>
  <c r="B156" i="6" l="1"/>
  <c r="C156" i="6" l="1"/>
  <c r="E156" i="6" s="1"/>
  <c r="D156" i="6" s="1"/>
  <c r="F156" i="6" s="1"/>
  <c r="B157" i="6" s="1"/>
  <c r="C157" i="6" s="1"/>
  <c r="E157" i="6" l="1"/>
  <c r="D157" i="6" s="1"/>
  <c r="F157" i="6" s="1"/>
  <c r="B158" i="6" l="1"/>
  <c r="C158" i="6" l="1"/>
  <c r="E158" i="6" s="1"/>
  <c r="D158" i="6" s="1"/>
  <c r="F158" i="6" s="1"/>
  <c r="B159" i="6" s="1"/>
  <c r="C159" i="6" s="1"/>
  <c r="E159" i="6" l="1"/>
  <c r="D159" i="6" s="1"/>
  <c r="F159" i="6" s="1"/>
  <c r="B160" i="6" l="1"/>
  <c r="C160" i="6" s="1"/>
  <c r="E160" i="6" l="1"/>
  <c r="D160" i="6" s="1"/>
  <c r="F160" i="6" s="1"/>
  <c r="B161" i="6" l="1"/>
  <c r="C161" i="6" l="1"/>
  <c r="E161" i="6" s="1"/>
  <c r="D161" i="6" s="1"/>
  <c r="F161" i="6" s="1"/>
  <c r="B162" i="6" s="1"/>
  <c r="C162" i="6" s="1"/>
  <c r="E162" i="6" l="1"/>
  <c r="D162" i="6" s="1"/>
  <c r="F162" i="6" s="1"/>
  <c r="B163" i="6" l="1"/>
  <c r="C163" i="6" s="1"/>
  <c r="E163" i="6" l="1"/>
  <c r="D163" i="6" s="1"/>
  <c r="F163" i="6" s="1"/>
  <c r="B164" i="6" l="1"/>
  <c r="C164" i="6" s="1"/>
  <c r="E164" i="6" l="1"/>
  <c r="D164" i="6" s="1"/>
  <c r="F164" i="6" s="1"/>
  <c r="B165" i="6" l="1"/>
  <c r="C165" i="6" s="1"/>
  <c r="E165" i="6" l="1"/>
  <c r="D165" i="6" s="1"/>
  <c r="F165" i="6" s="1"/>
  <c r="B166" i="6" l="1"/>
  <c r="C166" i="6" s="1"/>
  <c r="E166" i="6" l="1"/>
  <c r="D166" i="6" s="1"/>
  <c r="F166" i="6" s="1"/>
  <c r="B167" i="6" l="1"/>
  <c r="C167" i="6" s="1"/>
  <c r="E167" i="6" l="1"/>
  <c r="D167" i="6" s="1"/>
  <c r="F167" i="6" s="1"/>
  <c r="B168" i="6" l="1"/>
  <c r="C168" i="6" s="1"/>
  <c r="E168" i="6" l="1"/>
  <c r="D168" i="6" s="1"/>
  <c r="F168" i="6" s="1"/>
  <c r="B169" i="6" l="1"/>
  <c r="C169" i="6" s="1"/>
  <c r="E169" i="6" l="1"/>
  <c r="D169" i="6" s="1"/>
  <c r="F169" i="6" s="1"/>
  <c r="B170" i="6" l="1"/>
  <c r="C170" i="6" s="1"/>
  <c r="E170" i="6" l="1"/>
  <c r="D170" i="6" s="1"/>
  <c r="F170" i="6" s="1"/>
  <c r="B171" i="6" l="1"/>
  <c r="C171" i="6" s="1"/>
  <c r="E171" i="6" l="1"/>
  <c r="D171" i="6" s="1"/>
  <c r="F171" i="6" s="1"/>
  <c r="B172" i="6" l="1"/>
  <c r="C172" i="6" s="1"/>
  <c r="E172" i="6" l="1"/>
  <c r="D172" i="6" s="1"/>
  <c r="F172" i="6" s="1"/>
  <c r="B173" i="6" l="1"/>
  <c r="C173" i="6" s="1"/>
  <c r="E173" i="6" l="1"/>
  <c r="D173" i="6" s="1"/>
  <c r="F173" i="6" s="1"/>
  <c r="B174" i="6" l="1"/>
  <c r="C174" i="6" s="1"/>
  <c r="E174" i="6" l="1"/>
  <c r="D174" i="6" s="1"/>
  <c r="F174" i="6" s="1"/>
  <c r="B175" i="6" l="1"/>
  <c r="C175" i="6" s="1"/>
  <c r="E175" i="6" l="1"/>
  <c r="D175" i="6" s="1"/>
  <c r="F175" i="6" s="1"/>
  <c r="B176" i="6" l="1"/>
  <c r="C176" i="6" l="1"/>
  <c r="E176" i="6" s="1"/>
  <c r="D176" i="6" s="1"/>
  <c r="F176" i="6" s="1"/>
  <c r="B177" i="6" s="1"/>
  <c r="C177" i="6" s="1"/>
  <c r="E177" i="6" l="1"/>
  <c r="D177" i="6" s="1"/>
  <c r="F177" i="6" s="1"/>
  <c r="B178" i="6" l="1"/>
  <c r="C178" i="6" s="1"/>
  <c r="E178" i="6" l="1"/>
  <c r="D178" i="6" s="1"/>
  <c r="F178" i="6" s="1"/>
  <c r="B179" i="6" l="1"/>
  <c r="C179" i="6" l="1"/>
  <c r="E179" i="6" s="1"/>
  <c r="D179" i="6" s="1"/>
  <c r="F179" i="6" s="1"/>
  <c r="B180" i="6" s="1"/>
  <c r="C180" i="6" l="1"/>
  <c r="E180" i="6" s="1"/>
  <c r="D180" i="6" s="1"/>
  <c r="F180" i="6" s="1"/>
  <c r="B181" i="6" s="1"/>
  <c r="C181" i="6" s="1"/>
  <c r="E181" i="6" l="1"/>
  <c r="D181" i="6" s="1"/>
  <c r="F181" i="6" s="1"/>
  <c r="B182" i="6" l="1"/>
  <c r="C182" i="6" l="1"/>
  <c r="E182" i="6" s="1"/>
  <c r="D182" i="6" s="1"/>
  <c r="F182" i="6" s="1"/>
  <c r="B183" i="6" s="1"/>
  <c r="C183" i="6" l="1"/>
  <c r="E183" i="6" s="1"/>
  <c r="D183" i="6" s="1"/>
  <c r="F183" i="6" s="1"/>
  <c r="B184" i="6" s="1"/>
  <c r="C184" i="6" s="1"/>
  <c r="E184" i="6" l="1"/>
  <c r="D184" i="6" s="1"/>
  <c r="F184" i="6" s="1"/>
  <c r="B185" i="6" l="1"/>
  <c r="C185" i="6" s="1"/>
  <c r="E185" i="6" l="1"/>
  <c r="D185" i="6" s="1"/>
  <c r="F185" i="6" s="1"/>
  <c r="B186" i="6" l="1"/>
  <c r="C186" i="6" s="1"/>
  <c r="E186" i="6" l="1"/>
  <c r="D186" i="6" s="1"/>
  <c r="F186" i="6" s="1"/>
  <c r="B187" i="6" l="1"/>
  <c r="C187" i="6" s="1"/>
  <c r="E187" i="6" l="1"/>
  <c r="D187" i="6" s="1"/>
  <c r="F187" i="6" s="1"/>
  <c r="B188" i="6" l="1"/>
  <c r="C188" i="6" s="1"/>
  <c r="E188" i="6" l="1"/>
  <c r="D188" i="6" s="1"/>
  <c r="F188" i="6" s="1"/>
  <c r="B189" i="6" l="1"/>
  <c r="C189" i="6" s="1"/>
  <c r="E189" i="6" l="1"/>
  <c r="D189" i="6" s="1"/>
  <c r="F189" i="6" s="1"/>
  <c r="B190" i="6" l="1"/>
  <c r="C190" i="6" l="1"/>
  <c r="E190" i="6" s="1"/>
  <c r="D190" i="6" s="1"/>
  <c r="F190" i="6" s="1"/>
  <c r="B191" i="6" s="1"/>
  <c r="C191" i="6" s="1"/>
  <c r="E191" i="6" l="1"/>
  <c r="D191" i="6" s="1"/>
  <c r="F191" i="6" s="1"/>
  <c r="B192" i="6" l="1"/>
  <c r="C192" i="6" l="1"/>
  <c r="E192" i="6" s="1"/>
  <c r="D192" i="6" s="1"/>
  <c r="F192" i="6" s="1"/>
  <c r="B193" i="6" s="1"/>
  <c r="C193" i="6" s="1"/>
  <c r="E193" i="6" l="1"/>
  <c r="D193" i="6" s="1"/>
  <c r="F193" i="6" s="1"/>
  <c r="B194" i="6" l="1"/>
  <c r="C194" i="6" s="1"/>
  <c r="E194" i="6" l="1"/>
  <c r="D194" i="6" s="1"/>
  <c r="F194" i="6" s="1"/>
  <c r="B195" i="6" l="1"/>
  <c r="C195" i="6" s="1"/>
  <c r="E195" i="6" l="1"/>
  <c r="D195" i="6" s="1"/>
  <c r="F195" i="6" s="1"/>
  <c r="B196" i="6" l="1"/>
  <c r="C196" i="6" l="1"/>
  <c r="E196" i="6" s="1"/>
  <c r="D196" i="6" s="1"/>
  <c r="F196" i="6" s="1"/>
  <c r="B197" i="6" s="1"/>
  <c r="C197" i="6" s="1"/>
  <c r="E197" i="6" l="1"/>
  <c r="D197" i="6" s="1"/>
  <c r="F197" i="6" s="1"/>
  <c r="B198" i="6" l="1"/>
  <c r="C198" i="6" l="1"/>
  <c r="E198" i="6" s="1"/>
  <c r="D198" i="6" s="1"/>
  <c r="F198" i="6" s="1"/>
  <c r="B199" i="6" s="1"/>
  <c r="C199" i="6" s="1"/>
  <c r="E199" i="6" l="1"/>
  <c r="D199" i="6" s="1"/>
  <c r="F199" i="6" s="1"/>
  <c r="B200" i="6" l="1"/>
  <c r="C200" i="6" s="1"/>
  <c r="E200" i="6" l="1"/>
  <c r="D200" i="6" s="1"/>
  <c r="F200" i="6" s="1"/>
  <c r="B201" i="6" l="1"/>
  <c r="C201" i="6" s="1"/>
  <c r="E201" i="6" l="1"/>
  <c r="D201" i="6" s="1"/>
  <c r="F201" i="6" s="1"/>
  <c r="B202" i="6" l="1"/>
  <c r="C202" i="6" s="1"/>
  <c r="E202" i="6" l="1"/>
  <c r="D202" i="6" s="1"/>
  <c r="F202" i="6" s="1"/>
  <c r="B203" i="6" l="1"/>
  <c r="C203" i="6" l="1"/>
  <c r="E203" i="6" s="1"/>
  <c r="D203" i="6" s="1"/>
  <c r="F203" i="6" s="1"/>
</calcChain>
</file>

<file path=xl/comments1.xml><?xml version="1.0" encoding="utf-8"?>
<comments xmlns="http://schemas.openxmlformats.org/spreadsheetml/2006/main">
  <authors>
    <author>burton</author>
  </authors>
  <commentList>
    <comment ref="C44" authorId="0" shapeId="0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General site work and environmental</t>
        </r>
      </text>
    </comment>
  </commentList>
</comments>
</file>

<file path=xl/sharedStrings.xml><?xml version="1.0" encoding="utf-8"?>
<sst xmlns="http://schemas.openxmlformats.org/spreadsheetml/2006/main" count="281" uniqueCount="230">
  <si>
    <t>Net Operating Income</t>
  </si>
  <si>
    <t>Development Costs</t>
  </si>
  <si>
    <t>Interest</t>
  </si>
  <si>
    <t>Hard Costs</t>
  </si>
  <si>
    <t>Soft Costs</t>
  </si>
  <si>
    <t>General Conditions</t>
  </si>
  <si>
    <t>Total</t>
  </si>
  <si>
    <t>$/Unit</t>
  </si>
  <si>
    <t>Cost</t>
  </si>
  <si>
    <t>Site Development</t>
  </si>
  <si>
    <t>Square Footage Summary</t>
  </si>
  <si>
    <t>per GSF</t>
  </si>
  <si>
    <t>$/NSF</t>
  </si>
  <si>
    <t>GSF</t>
  </si>
  <si>
    <t>NSF</t>
  </si>
  <si>
    <t>Number of Apartments</t>
  </si>
  <si>
    <t>Parking Construction</t>
  </si>
  <si>
    <t>Base Building Construction</t>
  </si>
  <si>
    <t>of site dev, pkg, base build.</t>
  </si>
  <si>
    <t>Hard Cost Contingency</t>
  </si>
  <si>
    <t>of hard costs</t>
  </si>
  <si>
    <t>Land purchase</t>
  </si>
  <si>
    <t>Closing Costs</t>
  </si>
  <si>
    <t>of land purchase</t>
  </si>
  <si>
    <t>SITE ACQUISITION</t>
  </si>
  <si>
    <t>HARD COSTS</t>
  </si>
  <si>
    <t>COST CATEGORY</t>
  </si>
  <si>
    <t>SOFT COSTS</t>
  </si>
  <si>
    <t>Architectural and engineering fees</t>
  </si>
  <si>
    <t>Surveys, testing, and inspections</t>
  </si>
  <si>
    <t>Permits, licenses, fees</t>
  </si>
  <si>
    <t>Appraisals and inspections</t>
  </si>
  <si>
    <t>Insurance and title</t>
  </si>
  <si>
    <t>Property taxes during development</t>
  </si>
  <si>
    <t>Legal and accounting</t>
  </si>
  <si>
    <t>Marketing costs</t>
  </si>
  <si>
    <t>Commercial brokerage fees</t>
  </si>
  <si>
    <t>Construction management</t>
  </si>
  <si>
    <t>Development fee</t>
  </si>
  <si>
    <t>Soft cost contingency</t>
  </si>
  <si>
    <t>Total Hard Costs</t>
  </si>
  <si>
    <t>Total Site Acquisition Costs</t>
  </si>
  <si>
    <t>Total Soft Costs</t>
  </si>
  <si>
    <t>TOTAL DEVELOPMENT COSTS BEFORE FINANCING</t>
  </si>
  <si>
    <t>of soft costs exclud. dev. fee</t>
  </si>
  <si>
    <t>Acquisition/Construction loan financing fees</t>
  </si>
  <si>
    <t>FINANCING COSTS</t>
  </si>
  <si>
    <t>Total Financing Costs</t>
  </si>
  <si>
    <t>TOTAL DEVELOPMENT COSTS</t>
  </si>
  <si>
    <t>Pre-development period</t>
  </si>
  <si>
    <t>Construction period</t>
  </si>
  <si>
    <t>Leasing Period</t>
  </si>
  <si>
    <t>months</t>
  </si>
  <si>
    <t>Total development period</t>
  </si>
  <si>
    <t>End of pre-development</t>
  </si>
  <si>
    <t>Commencement date</t>
  </si>
  <si>
    <t>End of construction</t>
  </si>
  <si>
    <t>End of leasing/sale date</t>
  </si>
  <si>
    <t>Residential NSF</t>
  </si>
  <si>
    <t>Surface parking spaces</t>
  </si>
  <si>
    <t>spaces</t>
  </si>
  <si>
    <t>RESIDENTIAL OPERATING EXPENSE PARAMETERS</t>
  </si>
  <si>
    <t>RESIDENTIAL TIMING</t>
  </si>
  <si>
    <t>RESIDENTIAL CONSTRUCTION PARAMETERS</t>
  </si>
  <si>
    <t>RESIDENTIAL PARKING PARAMETERS</t>
  </si>
  <si>
    <t>Fixed expenses</t>
  </si>
  <si>
    <t>Real estate taxes</t>
  </si>
  <si>
    <t>Variable expenses</t>
  </si>
  <si>
    <t>Capital reserves</t>
  </si>
  <si>
    <t>CONSTRUCTION FINANCING PARAMETERS</t>
  </si>
  <si>
    <t>Construction loan closes</t>
  </si>
  <si>
    <t>Construction loan to cost ratio</t>
  </si>
  <si>
    <t>Construction loan interest rate</t>
  </si>
  <si>
    <t>RESIDENTIAL REVENUE PARAMETERS</t>
  </si>
  <si>
    <t>Unit Type</t>
  </si>
  <si>
    <t>%</t>
  </si>
  <si>
    <t># Units</t>
  </si>
  <si>
    <t>SF</t>
  </si>
  <si>
    <t>Rent/Unit/Month</t>
  </si>
  <si>
    <t>Vacancy/Credit Loss Factor</t>
  </si>
  <si>
    <t>Annual Rent Growth</t>
  </si>
  <si>
    <t>Residential parking spaces</t>
  </si>
  <si>
    <t># spaces</t>
  </si>
  <si>
    <t>SALE PARAMETERS</t>
  </si>
  <si>
    <t>Apartment selling costs</t>
  </si>
  <si>
    <t>Financing Costs</t>
  </si>
  <si>
    <t>$ Amount</t>
  </si>
  <si>
    <t>Operating expenses</t>
  </si>
  <si>
    <t>DEVELOPMENT COSTS</t>
  </si>
  <si>
    <t>Site Acquisition Costs</t>
  </si>
  <si>
    <t>Total Costs</t>
  </si>
  <si>
    <t>CAPITALIZATION</t>
  </si>
  <si>
    <t>Total Capitalization</t>
  </si>
  <si>
    <t>Residential GSF</t>
  </si>
  <si>
    <t>of assessed value</t>
  </si>
  <si>
    <t>per parking space</t>
  </si>
  <si>
    <t>Terminal capitalization rate</t>
  </si>
  <si>
    <t>TRANSIT ORIENTED DEVELOPMENT</t>
  </si>
  <si>
    <t>Menu Parameters</t>
  </si>
  <si>
    <t>Construction Loan Payment Frequency</t>
  </si>
  <si>
    <t>Monthly</t>
  </si>
  <si>
    <t>Quarterly</t>
  </si>
  <si>
    <t>Annual</t>
  </si>
  <si>
    <t>$ Rent/Month</t>
  </si>
  <si>
    <t>per unit per year</t>
  </si>
  <si>
    <t>PERMANENT FINANCING PARAMETERS</t>
  </si>
  <si>
    <t>Permanent loan closes</t>
  </si>
  <si>
    <t>Permanent Loan LTV</t>
  </si>
  <si>
    <t>Contract Interest Rate</t>
  </si>
  <si>
    <t>Type of Multi-Family Project</t>
  </si>
  <si>
    <t>Stabilized</t>
  </si>
  <si>
    <t>Rehabilitation</t>
  </si>
  <si>
    <t>New Development</t>
  </si>
  <si>
    <t>DEVELOPMENT/REHABILITATION COST PARAMETERS</t>
  </si>
  <si>
    <t>Property/Land purchase</t>
  </si>
  <si>
    <t>ACQUISITION</t>
  </si>
  <si>
    <t>Acquisition Price</t>
  </si>
  <si>
    <t>Purchase Price (Stabilized Only)</t>
  </si>
  <si>
    <t>Acquisition/Construction loan interest</t>
  </si>
  <si>
    <t>Frequency of  Payments</t>
  </si>
  <si>
    <t>One-Time (Beginning)</t>
  </si>
  <si>
    <t>One-Time (End)</t>
  </si>
  <si>
    <t>Annually</t>
  </si>
  <si>
    <t># of Apartments</t>
  </si>
  <si>
    <t>Construction loan closing cost</t>
  </si>
  <si>
    <t>Avg. Rent/Unit/Month</t>
  </si>
  <si>
    <t>Avg. Unit Size (SF)</t>
  </si>
  <si>
    <t>Annual Potential Gross Income</t>
  </si>
  <si>
    <t>total first year</t>
  </si>
  <si>
    <t>per occupied unit first year</t>
  </si>
  <si>
    <t>Annual fixed/variable expense growth</t>
  </si>
  <si>
    <t>Annual RE taxes growth</t>
  </si>
  <si>
    <t>Permanent loan financing fees</t>
  </si>
  <si>
    <t>Frequency of Payments</t>
  </si>
  <si>
    <t>Mortgage Constant</t>
  </si>
  <si>
    <t>Permanent Loan Payment Frequency</t>
  </si>
  <si>
    <t>Term in years</t>
  </si>
  <si>
    <t>Required Equity</t>
  </si>
  <si>
    <t>Debt Service</t>
  </si>
  <si>
    <t>Stabilized Appraised Value</t>
  </si>
  <si>
    <t>BTCF</t>
  </si>
  <si>
    <t>Rental Revenue</t>
  </si>
  <si>
    <t>Parking Revenue</t>
  </si>
  <si>
    <t>Misc. Revenue</t>
  </si>
  <si>
    <t>POTENTIAL GROSS INCOME</t>
  </si>
  <si>
    <t>OTHER REVENUE</t>
  </si>
  <si>
    <t>Misc. revenue (vending, etc)</t>
  </si>
  <si>
    <t>per month</t>
  </si>
  <si>
    <t>Vacancy/Credit Loss</t>
  </si>
  <si>
    <t>EFFECTIVE GROSS INCOME</t>
  </si>
  <si>
    <t>NET OPERATING INCOME</t>
  </si>
  <si>
    <t>BEFORE TAX CASH FLOW</t>
  </si>
  <si>
    <t>Amortization Principal</t>
  </si>
  <si>
    <t>Reserve</t>
  </si>
  <si>
    <t>Depreciation</t>
  </si>
  <si>
    <t>Year</t>
  </si>
  <si>
    <t>Beginning Balance</t>
  </si>
  <si>
    <t>Payment</t>
  </si>
  <si>
    <t>Period</t>
  </si>
  <si>
    <t>Principal</t>
  </si>
  <si>
    <t>Ending Balance</t>
  </si>
  <si>
    <t>TAXABLE INCOME</t>
  </si>
  <si>
    <t>Income Taxes</t>
  </si>
  <si>
    <t>Income Tax Rate</t>
  </si>
  <si>
    <t>AFTER TAX CASH FLOW</t>
  </si>
  <si>
    <t>FIRST YEAR SETUP</t>
  </si>
  <si>
    <t>FINANCIAL ANALYSIS</t>
  </si>
  <si>
    <t>Free and Clear Return</t>
  </si>
  <si>
    <t>Cash-on-Cash Return (Year 1)</t>
  </si>
  <si>
    <t>Increase in Capital Value</t>
  </si>
  <si>
    <t>Discount Rate</t>
  </si>
  <si>
    <t>NPV ÷ Equity (Profit. Index)</t>
  </si>
  <si>
    <t>RISK METRICS</t>
  </si>
  <si>
    <t>Anticipated Occupancy</t>
  </si>
  <si>
    <t>Break-even Occupancy</t>
  </si>
  <si>
    <t>Loan to Value</t>
  </si>
  <si>
    <t>Debt Coverage Ratio</t>
  </si>
  <si>
    <t>BREAKDOWN OF FUTURES</t>
  </si>
  <si>
    <t>Principal Recapture</t>
  </si>
  <si>
    <t>Anticipated Appreciation</t>
  </si>
  <si>
    <t>Tax on Depreciation</t>
  </si>
  <si>
    <t>Tax on Capital Gains</t>
  </si>
  <si>
    <t>Net Cash from Sale</t>
  </si>
  <si>
    <t>% OF TOTAL BENEFITS @ IRR</t>
  </si>
  <si>
    <t>Before Tax Cash Flow</t>
  </si>
  <si>
    <t>Tax Benefits</t>
  </si>
  <si>
    <t>Appreciation (Cap Gain)</t>
  </si>
  <si>
    <t>Assumptions</t>
  </si>
  <si>
    <t>Taxable Income</t>
  </si>
  <si>
    <t>After Tax Cash Flow</t>
  </si>
  <si>
    <t>Total Return</t>
  </si>
  <si>
    <t>Purchase Price</t>
  </si>
  <si>
    <t>Sales Price</t>
  </si>
  <si>
    <t>Net Book Value</t>
  </si>
  <si>
    <t>Gain on Sale</t>
  </si>
  <si>
    <t>Depreciation Taken</t>
  </si>
  <si>
    <t>Land Value</t>
  </si>
  <si>
    <t>Depreciable Base</t>
  </si>
  <si>
    <t>Remaining Gain</t>
  </si>
  <si>
    <t>NPV at 12%</t>
  </si>
  <si>
    <t>Total Taxes</t>
  </si>
  <si>
    <t>IRR</t>
  </si>
  <si>
    <t>+ Amortization Principal</t>
  </si>
  <si>
    <t>- Depreciation</t>
  </si>
  <si>
    <t>- Equity In</t>
  </si>
  <si>
    <t>+ Capital Expense</t>
  </si>
  <si>
    <t>- Income Tax</t>
  </si>
  <si>
    <t>- Mortgage Balance</t>
  </si>
  <si>
    <t>Projected Cash Flow ($000)</t>
  </si>
  <si>
    <t>Capital Reserve</t>
  </si>
  <si>
    <t>Taxes @ 15.00%</t>
  </si>
  <si>
    <t>Net Margin (BTCF ÷ PGI)</t>
  </si>
  <si>
    <t>Income Tax</t>
  </si>
  <si>
    <t>Futures</t>
  </si>
  <si>
    <t>Actual</t>
  </si>
  <si>
    <t>Discount</t>
  </si>
  <si>
    <t>Percent</t>
  </si>
  <si>
    <t>Non-discounted</t>
  </si>
  <si>
    <t>Net Cash Flows</t>
  </si>
  <si>
    <t>Permanent Loan</t>
  </si>
  <si>
    <t>of property/land purchase</t>
  </si>
  <si>
    <t>per unit (upfront)</t>
  </si>
  <si>
    <t>Potential Gross Income</t>
  </si>
  <si>
    <t>Effective Gross Income</t>
  </si>
  <si>
    <t>3 Bed</t>
  </si>
  <si>
    <t>2 Bed</t>
  </si>
  <si>
    <t>1 Bed</t>
  </si>
  <si>
    <t>50 Condos</t>
  </si>
  <si>
    <t>SLC UT</t>
  </si>
  <si>
    <t>Levered Internal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</si>
</sst>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%"/>
    <numFmt numFmtId="167" formatCode="_([$€-2]* #,##0.00_);_([$€-2]* \(#,##0.00\);_([$€-2]* &quot;-&quot;??_)"/>
    <numFmt numFmtId="168" formatCode="&quot;$&quot;#,##0.00"/>
    <numFmt numFmtId="169" formatCode="0.00_);\(0.00\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450666829432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3" tint="0.39994506668294322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7">
    <xf numFmtId="0" fontId="0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5" applyNumberFormat="0" applyAlignment="0" applyProtection="0"/>
    <xf numFmtId="0" fontId="10" fillId="20" borderId="5" applyNumberFormat="0" applyAlignment="0" applyProtection="0"/>
    <xf numFmtId="0" fontId="10" fillId="20" borderId="5" applyNumberFormat="0" applyAlignment="0" applyProtection="0"/>
    <xf numFmtId="0" fontId="11" fillId="21" borderId="6" applyNumberFormat="0" applyAlignment="0" applyProtection="0"/>
    <xf numFmtId="0" fontId="11" fillId="21" borderId="6" applyNumberFormat="0" applyAlignment="0" applyProtection="0"/>
    <xf numFmtId="0" fontId="11" fillId="21" borderId="6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5" applyNumberFormat="0" applyAlignment="0" applyProtection="0"/>
    <xf numFmtId="0" fontId="17" fillId="7" borderId="5" applyNumberFormat="0" applyAlignment="0" applyProtection="0"/>
    <xf numFmtId="0" fontId="17" fillId="7" borderId="5" applyNumberFormat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3" borderId="11" applyNumberFormat="0" applyFont="0" applyAlignment="0" applyProtection="0"/>
    <xf numFmtId="0" fontId="5" fillId="23" borderId="11" applyNumberFormat="0" applyFont="0" applyAlignment="0" applyProtection="0"/>
    <xf numFmtId="0" fontId="5" fillId="23" borderId="11" applyNumberFormat="0" applyFont="0" applyAlignment="0" applyProtection="0"/>
    <xf numFmtId="0" fontId="20" fillId="20" borderId="12" applyNumberFormat="0" applyAlignment="0" applyProtection="0"/>
    <xf numFmtId="0" fontId="20" fillId="20" borderId="12" applyNumberFormat="0" applyAlignment="0" applyProtection="0"/>
    <xf numFmtId="0" fontId="20" fillId="20" borderId="12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5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0" fontId="0" fillId="0" borderId="18" xfId="0" applyBorder="1"/>
    <xf numFmtId="0" fontId="2" fillId="0" borderId="0" xfId="0" applyFont="1" applyBorder="1"/>
    <xf numFmtId="0" fontId="0" fillId="0" borderId="0" xfId="0"/>
    <xf numFmtId="0" fontId="0" fillId="0" borderId="4" xfId="0" applyBorder="1"/>
    <xf numFmtId="0" fontId="2" fillId="0" borderId="18" xfId="0" applyFont="1" applyBorder="1"/>
    <xf numFmtId="0" fontId="0" fillId="0" borderId="0" xfId="0" applyBorder="1"/>
    <xf numFmtId="0" fontId="0" fillId="0" borderId="19" xfId="0" applyBorder="1"/>
    <xf numFmtId="0" fontId="0" fillId="0" borderId="23" xfId="0" applyBorder="1"/>
    <xf numFmtId="0" fontId="2" fillId="0" borderId="22" xfId="0" applyFont="1" applyBorder="1"/>
    <xf numFmtId="0" fontId="0" fillId="0" borderId="1" xfId="0" applyBorder="1"/>
    <xf numFmtId="0" fontId="3" fillId="0" borderId="0" xfId="0" applyFont="1" applyBorder="1"/>
    <xf numFmtId="3" fontId="25" fillId="0" borderId="23" xfId="0" applyNumberFormat="1" applyFont="1" applyBorder="1"/>
    <xf numFmtId="0" fontId="3" fillId="0" borderId="18" xfId="0" applyFont="1" applyBorder="1"/>
    <xf numFmtId="0" fontId="0" fillId="0" borderId="0" xfId="0" applyFill="1" applyBorder="1"/>
    <xf numFmtId="0" fontId="0" fillId="0" borderId="0" xfId="0" applyFont="1" applyBorder="1"/>
    <xf numFmtId="0" fontId="0" fillId="0" borderId="18" xfId="0" applyFill="1" applyBorder="1"/>
    <xf numFmtId="0" fontId="3" fillId="0" borderId="18" xfId="0" applyFont="1" applyFill="1" applyBorder="1"/>
    <xf numFmtId="165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/>
    <xf numFmtId="165" fontId="0" fillId="0" borderId="0" xfId="0" applyNumberFormat="1" applyFill="1" applyBorder="1"/>
    <xf numFmtId="0" fontId="0" fillId="0" borderId="4" xfId="0" applyFill="1" applyBorder="1"/>
    <xf numFmtId="0" fontId="2" fillId="0" borderId="18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8" fontId="2" fillId="0" borderId="0" xfId="0" applyNumberFormat="1" applyFont="1" applyFill="1" applyBorder="1"/>
    <xf numFmtId="0" fontId="0" fillId="0" borderId="0" xfId="0" applyFont="1" applyFill="1" applyBorder="1"/>
    <xf numFmtId="165" fontId="0" fillId="0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24" xfId="0" applyBorder="1"/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1" xfId="0" applyFill="1" applyBorder="1"/>
    <xf numFmtId="3" fontId="24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/>
    </xf>
    <xf numFmtId="9" fontId="27" fillId="0" borderId="0" xfId="1" applyFont="1" applyFill="1" applyBorder="1" applyAlignment="1">
      <alignment horizontal="right"/>
    </xf>
    <xf numFmtId="10" fontId="27" fillId="0" borderId="0" xfId="1" applyNumberFormat="1" applyFont="1" applyFill="1" applyBorder="1" applyAlignment="1">
      <alignment horizontal="right"/>
    </xf>
    <xf numFmtId="165" fontId="28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9" fontId="27" fillId="0" borderId="0" xfId="1" applyFont="1" applyBorder="1" applyAlignment="1">
      <alignment horizontal="right"/>
    </xf>
    <xf numFmtId="3" fontId="25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35" xfId="0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6" fontId="0" fillId="0" borderId="19" xfId="0" applyNumberFormat="1" applyBorder="1" applyAlignment="1">
      <alignment horizontal="center"/>
    </xf>
    <xf numFmtId="5" fontId="0" fillId="0" borderId="19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3" fontId="25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2" fillId="0" borderId="20" xfId="0" applyNumberFormat="1" applyFont="1" applyBorder="1"/>
    <xf numFmtId="14" fontId="24" fillId="0" borderId="0" xfId="0" applyNumberFormat="1" applyFont="1" applyFill="1" applyBorder="1"/>
    <xf numFmtId="168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3" fontId="25" fillId="0" borderId="19" xfId="0" applyNumberFormat="1" applyFont="1" applyBorder="1" applyAlignment="1">
      <alignment horizontal="center"/>
    </xf>
    <xf numFmtId="3" fontId="25" fillId="0" borderId="23" xfId="0" applyNumberFormat="1" applyFont="1" applyBorder="1" applyAlignment="1">
      <alignment horizontal="center"/>
    </xf>
    <xf numFmtId="0" fontId="0" fillId="0" borderId="4" xfId="0" applyFont="1" applyFill="1" applyBorder="1" applyAlignment="1"/>
    <xf numFmtId="5" fontId="0" fillId="0" borderId="20" xfId="0" applyNumberFormat="1" applyBorder="1" applyAlignment="1">
      <alignment horizontal="center"/>
    </xf>
    <xf numFmtId="8" fontId="24" fillId="0" borderId="0" xfId="0" applyNumberFormat="1" applyFont="1" applyFill="1" applyBorder="1" applyAlignment="1">
      <alignment horizontal="center"/>
    </xf>
    <xf numFmtId="6" fontId="24" fillId="0" borderId="0" xfId="0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6" fontId="27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3" fontId="0" fillId="0" borderId="0" xfId="566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3" fontId="25" fillId="0" borderId="24" xfId="0" applyNumberFormat="1" applyFont="1" applyBorder="1"/>
    <xf numFmtId="0" fontId="0" fillId="0" borderId="19" xfId="0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6" fontId="0" fillId="0" borderId="19" xfId="0" applyNumberFormat="1" applyFill="1" applyBorder="1" applyAlignment="1">
      <alignment horizontal="center"/>
    </xf>
    <xf numFmtId="166" fontId="0" fillId="0" borderId="20" xfId="0" applyNumberFormat="1" applyFont="1" applyFill="1" applyBorder="1" applyAlignment="1">
      <alignment horizontal="center"/>
    </xf>
    <xf numFmtId="6" fontId="27" fillId="0" borderId="19" xfId="566" applyNumberFormat="1" applyFont="1" applyFill="1" applyBorder="1" applyAlignment="1">
      <alignment horizontal="center"/>
    </xf>
    <xf numFmtId="166" fontId="0" fillId="0" borderId="19" xfId="0" applyNumberFormat="1" applyFill="1" applyBorder="1"/>
    <xf numFmtId="0" fontId="0" fillId="0" borderId="26" xfId="0" applyBorder="1"/>
    <xf numFmtId="0" fontId="0" fillId="0" borderId="19" xfId="0" applyFill="1" applyBorder="1"/>
    <xf numFmtId="0" fontId="0" fillId="0" borderId="30" xfId="0" applyBorder="1"/>
    <xf numFmtId="0" fontId="0" fillId="0" borderId="31" xfId="0" applyBorder="1"/>
    <xf numFmtId="10" fontId="2" fillId="0" borderId="0" xfId="1" applyNumberFormat="1" applyFont="1" applyBorder="1" applyAlignment="1">
      <alignment horizontal="right"/>
    </xf>
    <xf numFmtId="168" fontId="24" fillId="0" borderId="0" xfId="0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/>
    </xf>
    <xf numFmtId="165" fontId="24" fillId="0" borderId="0" xfId="0" applyNumberFormat="1" applyFont="1" applyFill="1" applyBorder="1" applyAlignment="1">
      <alignment horizontal="center"/>
    </xf>
    <xf numFmtId="5" fontId="24" fillId="0" borderId="0" xfId="0" applyNumberFormat="1" applyFont="1" applyFill="1" applyBorder="1" applyAlignment="1">
      <alignment horizontal="center"/>
    </xf>
    <xf numFmtId="39" fontId="24" fillId="0" borderId="0" xfId="0" applyNumberFormat="1" applyFont="1" applyFill="1" applyBorder="1" applyAlignment="1">
      <alignment horizontal="center"/>
    </xf>
    <xf numFmtId="7" fontId="24" fillId="0" borderId="0" xfId="0" applyNumberFormat="1" applyFont="1" applyFill="1" applyBorder="1" applyAlignment="1">
      <alignment horizontal="center"/>
    </xf>
    <xf numFmtId="7" fontId="24" fillId="0" borderId="1" xfId="0" applyNumberFormat="1" applyFont="1" applyFill="1" applyBorder="1" applyAlignment="1">
      <alignment horizontal="center"/>
    </xf>
    <xf numFmtId="8" fontId="24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8" fontId="0" fillId="0" borderId="0" xfId="0" applyNumberFormat="1"/>
    <xf numFmtId="0" fontId="2" fillId="0" borderId="0" xfId="0" applyFont="1" applyFill="1" applyBorder="1" applyAlignment="1">
      <alignment horizontal="left"/>
    </xf>
    <xf numFmtId="3" fontId="24" fillId="0" borderId="0" xfId="0" applyNumberFormat="1" applyFont="1" applyFill="1" applyBorder="1" applyAlignment="1">
      <alignment horizontal="center"/>
    </xf>
    <xf numFmtId="7" fontId="26" fillId="0" borderId="0" xfId="0" applyNumberFormat="1" applyFont="1" applyFill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3" fontId="24" fillId="0" borderId="0" xfId="0" applyNumberFormat="1" applyFont="1" applyBorder="1" applyAlignment="1">
      <alignment horizontal="center"/>
    </xf>
    <xf numFmtId="7" fontId="0" fillId="0" borderId="0" xfId="0" applyNumberFormat="1" applyFont="1" applyFill="1" applyBorder="1" applyAlignment="1">
      <alignment horizontal="center"/>
    </xf>
    <xf numFmtId="7" fontId="0" fillId="0" borderId="0" xfId="0" applyNumberFormat="1" applyFont="1" applyBorder="1" applyAlignment="1">
      <alignment horizontal="center"/>
    </xf>
    <xf numFmtId="7" fontId="29" fillId="0" borderId="0" xfId="566" applyNumberFormat="1" applyFont="1" applyFill="1" applyBorder="1" applyAlignment="1">
      <alignment horizontal="center"/>
    </xf>
    <xf numFmtId="164" fontId="29" fillId="0" borderId="0" xfId="566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right"/>
    </xf>
    <xf numFmtId="166" fontId="0" fillId="0" borderId="19" xfId="0" applyNumberForma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39" fontId="2" fillId="0" borderId="0" xfId="0" applyNumberFormat="1" applyFont="1" applyBorder="1" applyAlignment="1">
      <alignment horizontal="center"/>
    </xf>
    <xf numFmtId="39" fontId="0" fillId="0" borderId="1" xfId="0" applyNumberFormat="1" applyFont="1" applyBorder="1" applyAlignment="1">
      <alignment horizontal="center"/>
    </xf>
    <xf numFmtId="39" fontId="0" fillId="0" borderId="0" xfId="0" applyNumberFormat="1" applyFont="1" applyBorder="1" applyAlignment="1">
      <alignment horizontal="center"/>
    </xf>
    <xf numFmtId="39" fontId="0" fillId="0" borderId="0" xfId="0" applyNumberFormat="1" applyFont="1" applyFill="1" applyBorder="1" applyAlignment="1">
      <alignment horizontal="center"/>
    </xf>
    <xf numFmtId="39" fontId="24" fillId="0" borderId="1" xfId="566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39" fontId="2" fillId="0" borderId="0" xfId="0" applyNumberFormat="1" applyFont="1" applyFill="1" applyBorder="1" applyAlignment="1">
      <alignment horizontal="center"/>
    </xf>
    <xf numFmtId="0" fontId="0" fillId="0" borderId="1" xfId="0" applyFont="1" applyFill="1" applyBorder="1"/>
    <xf numFmtId="39" fontId="0" fillId="0" borderId="1" xfId="0" applyNumberFormat="1" applyFont="1" applyFill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2" fillId="0" borderId="0" xfId="0" applyNumberFormat="1" applyFont="1" applyAlignment="1">
      <alignment horizontal="center"/>
    </xf>
    <xf numFmtId="168" fontId="24" fillId="0" borderId="1" xfId="0" applyNumberFormat="1" applyFont="1" applyFill="1" applyBorder="1" applyAlignment="1">
      <alignment horizontal="center"/>
    </xf>
    <xf numFmtId="3" fontId="25" fillId="0" borderId="35" xfId="0" applyNumberFormat="1" applyFont="1" applyBorder="1" applyAlignment="1">
      <alignment horizontal="center"/>
    </xf>
    <xf numFmtId="3" fontId="2" fillId="0" borderId="35" xfId="0" applyNumberFormat="1" applyFont="1" applyBorder="1" applyAlignment="1">
      <alignment horizontal="center"/>
    </xf>
    <xf numFmtId="168" fontId="0" fillId="0" borderId="0" xfId="0" applyNumberFormat="1" applyFill="1" applyBorder="1" applyAlignment="1">
      <alignment horizontal="right"/>
    </xf>
    <xf numFmtId="165" fontId="0" fillId="0" borderId="29" xfId="0" applyNumberFormat="1" applyFont="1" applyFill="1" applyBorder="1"/>
    <xf numFmtId="0" fontId="0" fillId="0" borderId="29" xfId="0" applyFill="1" applyBorder="1" applyAlignment="1">
      <alignment horizontal="right"/>
    </xf>
    <xf numFmtId="165" fontId="24" fillId="0" borderId="29" xfId="0" applyNumberFormat="1" applyFont="1" applyFill="1" applyBorder="1" applyAlignment="1">
      <alignment horizontal="center"/>
    </xf>
    <xf numFmtId="168" fontId="24" fillId="0" borderId="29" xfId="0" applyNumberFormat="1" applyFont="1" applyFill="1" applyBorder="1" applyAlignment="1">
      <alignment horizontal="center"/>
    </xf>
    <xf numFmtId="7" fontId="0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3" fontId="25" fillId="0" borderId="4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8" fontId="0" fillId="0" borderId="19" xfId="0" applyNumberFormat="1" applyBorder="1" applyAlignment="1">
      <alignment horizontal="center"/>
    </xf>
    <xf numFmtId="8" fontId="0" fillId="0" borderId="2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28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0" fontId="33" fillId="0" borderId="14" xfId="0" applyFont="1" applyFill="1" applyBorder="1" applyAlignment="1">
      <alignment horizontal="left"/>
    </xf>
    <xf numFmtId="0" fontId="34" fillId="0" borderId="29" xfId="0" applyFont="1" applyFill="1" applyBorder="1" applyAlignment="1">
      <alignment horizontal="center"/>
    </xf>
    <xf numFmtId="0" fontId="34" fillId="0" borderId="25" xfId="0" applyFont="1" applyFill="1" applyBorder="1" applyAlignment="1">
      <alignment horizontal="center"/>
    </xf>
    <xf numFmtId="0" fontId="35" fillId="0" borderId="27" xfId="0" applyFont="1" applyFill="1" applyBorder="1"/>
    <xf numFmtId="0" fontId="35" fillId="0" borderId="2" xfId="0" applyFont="1" applyFill="1" applyBorder="1" applyAlignment="1">
      <alignment horizontal="center"/>
    </xf>
    <xf numFmtId="0" fontId="35" fillId="0" borderId="3" xfId="0" applyFont="1" applyFill="1" applyBorder="1" applyAlignment="1">
      <alignment horizontal="center"/>
    </xf>
    <xf numFmtId="0" fontId="34" fillId="0" borderId="15" xfId="0" applyFont="1" applyFill="1" applyBorder="1" applyAlignment="1">
      <alignment horizontal="left" indent="1"/>
    </xf>
    <xf numFmtId="39" fontId="34" fillId="0" borderId="0" xfId="0" applyNumberFormat="1" applyFont="1" applyFill="1" applyBorder="1" applyAlignment="1">
      <alignment horizontal="center"/>
    </xf>
    <xf numFmtId="39" fontId="34" fillId="0" borderId="28" xfId="0" applyNumberFormat="1" applyFont="1" applyFill="1" applyBorder="1" applyAlignment="1">
      <alignment horizontal="center"/>
    </xf>
    <xf numFmtId="39" fontId="34" fillId="0" borderId="1" xfId="0" applyNumberFormat="1" applyFont="1" applyFill="1" applyBorder="1" applyAlignment="1">
      <alignment horizontal="center"/>
    </xf>
    <xf numFmtId="39" fontId="34" fillId="0" borderId="17" xfId="0" applyNumberFormat="1" applyFont="1" applyFill="1" applyBorder="1" applyAlignment="1">
      <alignment horizontal="center"/>
    </xf>
    <xf numFmtId="0" fontId="34" fillId="0" borderId="15" xfId="0" applyFont="1" applyFill="1" applyBorder="1"/>
    <xf numFmtId="39" fontId="34" fillId="0" borderId="23" xfId="0" applyNumberFormat="1" applyFont="1" applyFill="1" applyBorder="1" applyAlignment="1">
      <alignment horizontal="center"/>
    </xf>
    <xf numFmtId="39" fontId="34" fillId="0" borderId="34" xfId="0" applyNumberFormat="1" applyFont="1" applyFill="1" applyBorder="1" applyAlignment="1">
      <alignment horizontal="center"/>
    </xf>
    <xf numFmtId="0" fontId="34" fillId="0" borderId="16" xfId="0" applyFont="1" applyFill="1" applyBorder="1"/>
    <xf numFmtId="0" fontId="34" fillId="0" borderId="1" xfId="0" applyFont="1" applyFill="1" applyBorder="1" applyAlignment="1">
      <alignment horizontal="center"/>
    </xf>
    <xf numFmtId="0" fontId="34" fillId="0" borderId="17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34" fillId="0" borderId="28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 indent="1"/>
    </xf>
    <xf numFmtId="10" fontId="34" fillId="0" borderId="0" xfId="0" applyNumberFormat="1" applyFont="1" applyFill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37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9" fontId="24" fillId="0" borderId="0" xfId="0" applyNumberFormat="1" applyFont="1" applyFill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4" fontId="24" fillId="0" borderId="0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15" xfId="0" applyFont="1" applyBorder="1" applyAlignment="1">
      <alignment horizontal="center"/>
    </xf>
    <xf numFmtId="10" fontId="37" fillId="0" borderId="0" xfId="0" applyNumberFormat="1" applyFont="1" applyBorder="1" applyAlignment="1">
      <alignment horizontal="center"/>
    </xf>
    <xf numFmtId="10" fontId="37" fillId="0" borderId="28" xfId="0" applyNumberFormat="1" applyFont="1" applyBorder="1" applyAlignment="1">
      <alignment horizontal="center"/>
    </xf>
    <xf numFmtId="7" fontId="0" fillId="0" borderId="0" xfId="0" applyNumberFormat="1" applyFont="1" applyFill="1" applyBorder="1" applyAlignment="1">
      <alignment horizontal="left"/>
    </xf>
    <xf numFmtId="5" fontId="0" fillId="0" borderId="0" xfId="0" applyNumberFormat="1" applyFont="1" applyFill="1" applyBorder="1" applyAlignment="1">
      <alignment horizontal="center"/>
    </xf>
    <xf numFmtId="6" fontId="0" fillId="0" borderId="0" xfId="0" applyNumberFormat="1" applyFont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left"/>
      <protection locked="0"/>
    </xf>
    <xf numFmtId="3" fontId="27" fillId="0" borderId="0" xfId="566" applyNumberFormat="1" applyFont="1" applyFill="1" applyBorder="1" applyAlignment="1" applyProtection="1">
      <alignment horizontal="center"/>
      <protection locked="0"/>
    </xf>
    <xf numFmtId="165" fontId="27" fillId="0" borderId="19" xfId="0" applyNumberFormat="1" applyFont="1" applyFill="1" applyBorder="1" applyAlignment="1" applyProtection="1">
      <alignment horizontal="center"/>
      <protection locked="0"/>
    </xf>
    <xf numFmtId="3" fontId="27" fillId="0" borderId="1" xfId="566" applyNumberFormat="1" applyFont="1" applyFill="1" applyBorder="1" applyAlignment="1" applyProtection="1">
      <alignment horizontal="center"/>
      <protection locked="0"/>
    </xf>
    <xf numFmtId="165" fontId="27" fillId="0" borderId="20" xfId="0" applyNumberFormat="1" applyFont="1" applyFill="1" applyBorder="1" applyAlignment="1" applyProtection="1">
      <alignment horizontal="center"/>
      <protection locked="0"/>
    </xf>
    <xf numFmtId="0" fontId="35" fillId="0" borderId="39" xfId="0" applyFont="1" applyFill="1" applyBorder="1"/>
    <xf numFmtId="0" fontId="35" fillId="0" borderId="29" xfId="0" applyFont="1" applyFill="1" applyBorder="1" applyAlignment="1">
      <alignment horizontal="center"/>
    </xf>
    <xf numFmtId="0" fontId="35" fillId="0" borderId="40" xfId="0" applyFont="1" applyFill="1" applyBorder="1"/>
    <xf numFmtId="0" fontId="38" fillId="0" borderId="29" xfId="0" applyFont="1" applyFill="1" applyBorder="1" applyAlignment="1">
      <alignment horizontal="center"/>
    </xf>
    <xf numFmtId="4" fontId="38" fillId="0" borderId="29" xfId="0" applyNumberFormat="1" applyFont="1" applyFill="1" applyBorder="1" applyAlignment="1">
      <alignment horizontal="center"/>
    </xf>
    <xf numFmtId="169" fontId="38" fillId="0" borderId="40" xfId="0" applyNumberFormat="1" applyFont="1" applyFill="1" applyBorder="1" applyAlignment="1">
      <alignment horizontal="left" indent="1"/>
    </xf>
    <xf numFmtId="169" fontId="38" fillId="0" borderId="0" xfId="0" applyNumberFormat="1" applyFont="1" applyFill="1" applyBorder="1" applyAlignment="1">
      <alignment horizontal="center"/>
    </xf>
    <xf numFmtId="169" fontId="38" fillId="0" borderId="28" xfId="0" applyNumberFormat="1" applyFont="1" applyFill="1" applyBorder="1" applyAlignment="1">
      <alignment horizontal="center"/>
    </xf>
    <xf numFmtId="169" fontId="35" fillId="0" borderId="40" xfId="0" applyNumberFormat="1" applyFont="1" applyFill="1" applyBorder="1"/>
    <xf numFmtId="169" fontId="38" fillId="0" borderId="1" xfId="0" applyNumberFormat="1" applyFont="1" applyFill="1" applyBorder="1" applyAlignment="1">
      <alignment horizontal="center"/>
    </xf>
    <xf numFmtId="0" fontId="34" fillId="0" borderId="40" xfId="0" applyFont="1" applyFill="1" applyBorder="1"/>
    <xf numFmtId="0" fontId="36" fillId="0" borderId="27" xfId="0" applyFont="1" applyFill="1" applyBorder="1"/>
    <xf numFmtId="39" fontId="36" fillId="0" borderId="41" xfId="0" applyNumberFormat="1" applyFont="1" applyFill="1" applyBorder="1" applyAlignment="1">
      <alignment horizontal="center"/>
    </xf>
    <xf numFmtId="39" fontId="36" fillId="0" borderId="42" xfId="0" applyNumberFormat="1" applyFont="1" applyFill="1" applyBorder="1" applyAlignment="1">
      <alignment horizontal="center"/>
    </xf>
    <xf numFmtId="4" fontId="38" fillId="0" borderId="25" xfId="0" applyNumberFormat="1" applyFont="1" applyFill="1" applyBorder="1" applyAlignment="1">
      <alignment horizontal="center"/>
    </xf>
    <xf numFmtId="169" fontId="38" fillId="0" borderId="17" xfId="0" applyNumberFormat="1" applyFont="1" applyFill="1" applyBorder="1" applyAlignment="1">
      <alignment horizontal="center"/>
    </xf>
    <xf numFmtId="0" fontId="34" fillId="0" borderId="40" xfId="0" applyFont="1" applyFill="1" applyBorder="1" applyAlignment="1">
      <alignment horizontal="left" indent="1"/>
    </xf>
    <xf numFmtId="3" fontId="24" fillId="0" borderId="0" xfId="0" applyNumberFormat="1" applyFont="1" applyFill="1" applyBorder="1" applyAlignment="1" applyProtection="1">
      <alignment horizontal="right"/>
    </xf>
    <xf numFmtId="0" fontId="39" fillId="0" borderId="0" xfId="0" applyFont="1" applyFill="1" applyBorder="1" applyAlignment="1" applyProtection="1">
      <alignment horizontal="left"/>
      <protection locked="0"/>
    </xf>
    <xf numFmtId="6" fontId="39" fillId="0" borderId="0" xfId="0" applyNumberFormat="1" applyFont="1" applyFill="1" applyBorder="1" applyAlignment="1" applyProtection="1">
      <alignment horizontal="center"/>
      <protection locked="0"/>
    </xf>
    <xf numFmtId="3" fontId="39" fillId="0" borderId="0" xfId="0" applyNumberFormat="1" applyFont="1" applyFill="1" applyBorder="1" applyAlignment="1" applyProtection="1">
      <alignment horizontal="right"/>
      <protection locked="0"/>
    </xf>
    <xf numFmtId="3" fontId="39" fillId="0" borderId="1" xfId="0" applyNumberFormat="1" applyFont="1" applyFill="1" applyBorder="1" applyAlignment="1" applyProtection="1">
      <alignment horizontal="right"/>
      <protection locked="0"/>
    </xf>
    <xf numFmtId="6" fontId="39" fillId="0" borderId="0" xfId="566" applyNumberFormat="1" applyFont="1" applyFill="1" applyBorder="1" applyAlignment="1" applyProtection="1">
      <alignment horizontal="right"/>
      <protection locked="0"/>
    </xf>
    <xf numFmtId="10" fontId="39" fillId="0" borderId="0" xfId="1" applyNumberFormat="1" applyFont="1" applyFill="1" applyBorder="1" applyAlignment="1" applyProtection="1">
      <alignment horizontal="right"/>
      <protection locked="0"/>
    </xf>
    <xf numFmtId="10" fontId="39" fillId="0" borderId="0" xfId="0" applyNumberFormat="1" applyFont="1" applyProtection="1">
      <protection locked="0"/>
    </xf>
    <xf numFmtId="164" fontId="39" fillId="0" borderId="0" xfId="566" applyNumberFormat="1" applyFont="1" applyFill="1" applyBorder="1" applyAlignment="1" applyProtection="1">
      <alignment horizontal="right"/>
      <protection locked="0"/>
    </xf>
    <xf numFmtId="14" fontId="39" fillId="0" borderId="0" xfId="0" applyNumberFormat="1" applyFont="1" applyFill="1" applyBorder="1" applyProtection="1">
      <protection locked="0"/>
    </xf>
    <xf numFmtId="165" fontId="39" fillId="0" borderId="0" xfId="0" applyNumberFormat="1" applyFont="1" applyFill="1" applyBorder="1" applyAlignment="1" applyProtection="1">
      <alignment horizontal="left"/>
      <protection locked="0"/>
    </xf>
    <xf numFmtId="0" fontId="39" fillId="0" borderId="0" xfId="0" applyFont="1" applyBorder="1" applyAlignment="1" applyProtection="1">
      <alignment horizontal="left"/>
      <protection locked="0"/>
    </xf>
    <xf numFmtId="3" fontId="39" fillId="0" borderId="0" xfId="566" applyNumberFormat="1" applyFont="1" applyFill="1" applyBorder="1" applyAlignment="1" applyProtection="1">
      <alignment horizontal="center"/>
      <protection locked="0"/>
    </xf>
    <xf numFmtId="165" fontId="39" fillId="0" borderId="19" xfId="0" applyNumberFormat="1" applyFont="1" applyFill="1" applyBorder="1" applyAlignment="1" applyProtection="1">
      <alignment horizontal="center"/>
      <protection locked="0"/>
    </xf>
    <xf numFmtId="10" fontId="39" fillId="0" borderId="0" xfId="1" applyNumberFormat="1" applyFont="1" applyFill="1" applyBorder="1" applyAlignment="1" applyProtection="1">
      <alignment horizontal="center"/>
      <protection locked="0"/>
    </xf>
    <xf numFmtId="6" fontId="39" fillId="0" borderId="19" xfId="566" applyNumberFormat="1" applyFont="1" applyFill="1" applyBorder="1" applyAlignment="1" applyProtection="1">
      <alignment horizontal="center"/>
      <protection locked="0"/>
    </xf>
    <xf numFmtId="14" fontId="39" fillId="0" borderId="0" xfId="0" applyNumberFormat="1" applyFont="1" applyBorder="1" applyAlignment="1" applyProtection="1">
      <alignment horizontal="right"/>
      <protection locked="0"/>
    </xf>
    <xf numFmtId="6" fontId="39" fillId="0" borderId="0" xfId="0" applyNumberFormat="1" applyFont="1" applyProtection="1">
      <protection locked="0"/>
    </xf>
    <xf numFmtId="9" fontId="39" fillId="0" borderId="0" xfId="0" applyNumberFormat="1" applyFont="1" applyBorder="1" applyAlignment="1" applyProtection="1">
      <alignment horizontal="right"/>
      <protection locked="0"/>
    </xf>
    <xf numFmtId="3" fontId="39" fillId="0" borderId="0" xfId="0" applyNumberFormat="1" applyFont="1" applyBorder="1" applyAlignment="1" applyProtection="1">
      <alignment horizontal="right"/>
      <protection locked="0"/>
    </xf>
    <xf numFmtId="10" fontId="39" fillId="0" borderId="0" xfId="0" applyNumberFormat="1" applyFont="1" applyBorder="1" applyAlignment="1" applyProtection="1">
      <alignment horizontal="right"/>
      <protection locked="0"/>
    </xf>
    <xf numFmtId="166" fontId="39" fillId="0" borderId="0" xfId="1" applyNumberFormat="1" applyFont="1" applyBorder="1" applyAlignment="1" applyProtection="1">
      <alignment horizontal="right"/>
      <protection locked="0"/>
    </xf>
    <xf numFmtId="165" fontId="39" fillId="0" borderId="0" xfId="0" applyNumberFormat="1" applyFont="1" applyBorder="1" applyAlignment="1" applyProtection="1">
      <alignment horizontal="right"/>
      <protection locked="0"/>
    </xf>
    <xf numFmtId="8" fontId="39" fillId="0" borderId="0" xfId="0" applyNumberFormat="1" applyFont="1" applyBorder="1" applyAlignment="1" applyProtection="1">
      <alignment horizontal="right"/>
      <protection locked="0"/>
    </xf>
    <xf numFmtId="168" fontId="39" fillId="0" borderId="0" xfId="0" applyNumberFormat="1" applyFont="1" applyBorder="1" applyAlignment="1" applyProtection="1">
      <alignment horizontal="right"/>
      <protection locked="0"/>
    </xf>
    <xf numFmtId="166" fontId="39" fillId="0" borderId="0" xfId="0" applyNumberFormat="1" applyFont="1" applyBorder="1" applyAlignment="1" applyProtection="1">
      <alignment horizontal="right"/>
      <protection locked="0"/>
    </xf>
    <xf numFmtId="14" fontId="39" fillId="0" borderId="0" xfId="0" applyNumberFormat="1" applyFont="1" applyBorder="1" applyAlignment="1" applyProtection="1">
      <alignment horizontal="right"/>
      <protection locked="0"/>
    </xf>
    <xf numFmtId="14" fontId="39" fillId="0" borderId="19" xfId="0" applyNumberFormat="1" applyFont="1" applyBorder="1" applyAlignment="1" applyProtection="1">
      <alignment horizontal="right"/>
      <protection locked="0"/>
    </xf>
    <xf numFmtId="9" fontId="39" fillId="0" borderId="0" xfId="0" applyNumberFormat="1" applyFont="1" applyBorder="1" applyAlignment="1" applyProtection="1">
      <alignment horizontal="right"/>
      <protection locked="0"/>
    </xf>
    <xf numFmtId="9" fontId="39" fillId="0" borderId="19" xfId="0" applyNumberFormat="1" applyFont="1" applyBorder="1" applyAlignment="1" applyProtection="1">
      <alignment horizontal="right"/>
      <protection locked="0"/>
    </xf>
    <xf numFmtId="10" fontId="39" fillId="0" borderId="0" xfId="0" applyNumberFormat="1" applyFont="1" applyBorder="1" applyAlignment="1" applyProtection="1">
      <alignment horizontal="right"/>
      <protection locked="0"/>
    </xf>
    <xf numFmtId="10" fontId="39" fillId="0" borderId="19" xfId="0" applyNumberFormat="1" applyFont="1" applyBorder="1" applyAlignment="1" applyProtection="1">
      <alignment horizontal="right"/>
      <protection locked="0"/>
    </xf>
    <xf numFmtId="166" fontId="40" fillId="0" borderId="0" xfId="1" applyNumberFormat="1" applyFont="1" applyBorder="1" applyAlignment="1" applyProtection="1">
      <alignment horizontal="right"/>
      <protection locked="0"/>
    </xf>
    <xf numFmtId="166" fontId="40" fillId="0" borderId="19" xfId="1" applyNumberFormat="1" applyFont="1" applyBorder="1" applyAlignment="1" applyProtection="1">
      <alignment horizontal="right"/>
      <protection locked="0"/>
    </xf>
    <xf numFmtId="0" fontId="3" fillId="0" borderId="3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3" fontId="25" fillId="0" borderId="18" xfId="0" applyNumberFormat="1" applyFont="1" applyBorder="1" applyAlignment="1">
      <alignment horizontal="center"/>
    </xf>
    <xf numFmtId="3" fontId="25" fillId="0" borderId="19" xfId="0" applyNumberFormat="1" applyFont="1" applyBorder="1" applyAlignment="1">
      <alignment horizontal="center"/>
    </xf>
    <xf numFmtId="4" fontId="25" fillId="0" borderId="30" xfId="0" applyNumberFormat="1" applyFont="1" applyBorder="1" applyAlignment="1">
      <alignment horizontal="center"/>
    </xf>
    <xf numFmtId="4" fontId="25" fillId="0" borderId="24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3" fontId="25" fillId="0" borderId="23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567">
    <cellStyle name="20% - Accent1 2" xfId="3"/>
    <cellStyle name="20% - Accent1 3" xfId="4"/>
    <cellStyle name="20% - Accent1 4" xfId="5"/>
    <cellStyle name="20% - Accent2 2" xfId="6"/>
    <cellStyle name="20% - Accent2 3" xfId="7"/>
    <cellStyle name="20% - Accent2 4" xfId="8"/>
    <cellStyle name="20% - Accent3 2" xfId="9"/>
    <cellStyle name="20% - Accent3 3" xfId="10"/>
    <cellStyle name="20% - Accent3 4" xfId="11"/>
    <cellStyle name="20% - Accent4 2" xfId="12"/>
    <cellStyle name="20% - Accent4 3" xfId="13"/>
    <cellStyle name="20% - Accent4 4" xfId="14"/>
    <cellStyle name="20% - Accent5 2" xfId="15"/>
    <cellStyle name="20% - Accent5 3" xfId="16"/>
    <cellStyle name="20% - Accent5 4" xfId="17"/>
    <cellStyle name="20% - Accent6 2" xfId="18"/>
    <cellStyle name="20% - Accent6 3" xfId="19"/>
    <cellStyle name="20% - Accent6 4" xfId="20"/>
    <cellStyle name="40% - Accent1 2" xfId="21"/>
    <cellStyle name="40% - Accent1 3" xfId="22"/>
    <cellStyle name="40% - Accent1 4" xfId="23"/>
    <cellStyle name="40% - Accent2 2" xfId="24"/>
    <cellStyle name="40% - Accent2 3" xfId="25"/>
    <cellStyle name="40% - Accent2 4" xfId="26"/>
    <cellStyle name="40% - Accent3 2" xfId="27"/>
    <cellStyle name="40% - Accent3 3" xfId="28"/>
    <cellStyle name="40% - Accent3 4" xfId="29"/>
    <cellStyle name="40% - Accent4 2" xfId="30"/>
    <cellStyle name="40% - Accent4 3" xfId="31"/>
    <cellStyle name="40% - Accent4 4" xfId="32"/>
    <cellStyle name="40% - Accent5 2" xfId="33"/>
    <cellStyle name="40% - Accent5 3" xfId="34"/>
    <cellStyle name="40% - Accent5 4" xfId="35"/>
    <cellStyle name="40% - Accent6 2" xfId="36"/>
    <cellStyle name="40% - Accent6 3" xfId="37"/>
    <cellStyle name="40% - Accent6 4" xfId="38"/>
    <cellStyle name="60% - Accent1 2" xfId="39"/>
    <cellStyle name="60% - Accent1 3" xfId="40"/>
    <cellStyle name="60% - Accent1 4" xfId="41"/>
    <cellStyle name="60% - Accent2 2" xfId="42"/>
    <cellStyle name="60% - Accent2 3" xfId="43"/>
    <cellStyle name="60% - Accent2 4" xfId="44"/>
    <cellStyle name="60% - Accent3 2" xfId="45"/>
    <cellStyle name="60% - Accent3 3" xfId="46"/>
    <cellStyle name="60% - Accent3 4" xfId="47"/>
    <cellStyle name="60% - Accent4 2" xfId="48"/>
    <cellStyle name="60% - Accent4 3" xfId="49"/>
    <cellStyle name="60% - Accent4 4" xfId="50"/>
    <cellStyle name="60% - Accent5 2" xfId="51"/>
    <cellStyle name="60% - Accent5 3" xfId="52"/>
    <cellStyle name="60% - Accent5 4" xfId="53"/>
    <cellStyle name="60% - Accent6 2" xfId="54"/>
    <cellStyle name="60% - Accent6 3" xfId="55"/>
    <cellStyle name="60% - Accent6 4" xfId="56"/>
    <cellStyle name="Accent1 2" xfId="57"/>
    <cellStyle name="Accent1 3" xfId="58"/>
    <cellStyle name="Accent1 4" xfId="59"/>
    <cellStyle name="Accent2 2" xfId="60"/>
    <cellStyle name="Accent2 3" xfId="61"/>
    <cellStyle name="Accent2 4" xfId="62"/>
    <cellStyle name="Accent3 2" xfId="63"/>
    <cellStyle name="Accent3 3" xfId="64"/>
    <cellStyle name="Accent3 4" xfId="65"/>
    <cellStyle name="Accent4 2" xfId="66"/>
    <cellStyle name="Accent4 3" xfId="67"/>
    <cellStyle name="Accent4 4" xfId="68"/>
    <cellStyle name="Accent5 2" xfId="69"/>
    <cellStyle name="Accent5 3" xfId="70"/>
    <cellStyle name="Accent5 4" xfId="71"/>
    <cellStyle name="Accent6 2" xfId="72"/>
    <cellStyle name="Accent6 3" xfId="73"/>
    <cellStyle name="Accent6 4" xfId="74"/>
    <cellStyle name="Bad 2" xfId="75"/>
    <cellStyle name="Bad 3" xfId="76"/>
    <cellStyle name="Bad 4" xfId="77"/>
    <cellStyle name="Calculation 2" xfId="78"/>
    <cellStyle name="Calculation 3" xfId="79"/>
    <cellStyle name="Calculation 4" xfId="80"/>
    <cellStyle name="Check Cell 2" xfId="81"/>
    <cellStyle name="Check Cell 3" xfId="82"/>
    <cellStyle name="Check Cell 4" xfId="83"/>
    <cellStyle name="Comma" xfId="566" builtinId="3"/>
    <cellStyle name="Comma 2" xfId="84"/>
    <cellStyle name="Comma 2 2" xfId="85"/>
    <cellStyle name="Comma 3" xfId="86"/>
    <cellStyle name="Comma 4" xfId="87"/>
    <cellStyle name="Comma 5" xfId="88"/>
    <cellStyle name="Currency 2" xfId="89"/>
    <cellStyle name="Currency 2 2" xfId="90"/>
    <cellStyle name="Currency 3" xfId="91"/>
    <cellStyle name="Euro" xfId="92"/>
    <cellStyle name="Explanatory Text 2" xfId="93"/>
    <cellStyle name="Explanatory Text 3" xfId="94"/>
    <cellStyle name="Explanatory Text 4" xfId="95"/>
    <cellStyle name="Good 2" xfId="96"/>
    <cellStyle name="Good 3" xfId="97"/>
    <cellStyle name="Good 4" xfId="98"/>
    <cellStyle name="Heading 1 2" xfId="99"/>
    <cellStyle name="Heading 1 3" xfId="100"/>
    <cellStyle name="Heading 1 4" xfId="101"/>
    <cellStyle name="Heading 2 2" xfId="102"/>
    <cellStyle name="Heading 2 3" xfId="103"/>
    <cellStyle name="Heading 2 4" xfId="104"/>
    <cellStyle name="Heading 3 2" xfId="105"/>
    <cellStyle name="Heading 3 3" xfId="106"/>
    <cellStyle name="Heading 3 4" xfId="107"/>
    <cellStyle name="Heading 4 2" xfId="108"/>
    <cellStyle name="Heading 4 3" xfId="109"/>
    <cellStyle name="Heading 4 4" xfId="110"/>
    <cellStyle name="Input 2" xfId="111"/>
    <cellStyle name="Input 3" xfId="112"/>
    <cellStyle name="Input 4" xfId="113"/>
    <cellStyle name="Linked Cell 2" xfId="114"/>
    <cellStyle name="Linked Cell 3" xfId="115"/>
    <cellStyle name="Linked Cell 4" xfId="116"/>
    <cellStyle name="Neutral 2" xfId="117"/>
    <cellStyle name="Neutral 3" xfId="118"/>
    <cellStyle name="Neutral 4" xfId="119"/>
    <cellStyle name="Normal" xfId="0" builtinId="0"/>
    <cellStyle name="Normal 10" xfId="120"/>
    <cellStyle name="Normal 10 2" xfId="121"/>
    <cellStyle name="Normal 10 2 2" xfId="122"/>
    <cellStyle name="Normal 10 2 2 2" xfId="123"/>
    <cellStyle name="Normal 10 2 3" xfId="124"/>
    <cellStyle name="Normal 10 3" xfId="125"/>
    <cellStyle name="Normal 10 3 2" xfId="126"/>
    <cellStyle name="Normal 10 4" xfId="127"/>
    <cellStyle name="Normal 11" xfId="128"/>
    <cellStyle name="Normal 11 2" xfId="129"/>
    <cellStyle name="Normal 11 2 2" xfId="130"/>
    <cellStyle name="Normal 11 2 2 2" xfId="131"/>
    <cellStyle name="Normal 11 2 3" xfId="132"/>
    <cellStyle name="Normal 11 3" xfId="133"/>
    <cellStyle name="Normal 11 3 2" xfId="134"/>
    <cellStyle name="Normal 11 4" xfId="135"/>
    <cellStyle name="Normal 12" xfId="136"/>
    <cellStyle name="Normal 12 2" xfId="137"/>
    <cellStyle name="Normal 12 2 2" xfId="138"/>
    <cellStyle name="Normal 12 2 2 2" xfId="139"/>
    <cellStyle name="Normal 12 2 3" xfId="140"/>
    <cellStyle name="Normal 12 3" xfId="141"/>
    <cellStyle name="Normal 12 3 2" xfId="142"/>
    <cellStyle name="Normal 12 4" xfId="143"/>
    <cellStyle name="Normal 13" xfId="144"/>
    <cellStyle name="Normal 13 2" xfId="145"/>
    <cellStyle name="Normal 13 2 2" xfId="146"/>
    <cellStyle name="Normal 13 2 2 2" xfId="147"/>
    <cellStyle name="Normal 13 2 3" xfId="148"/>
    <cellStyle name="Normal 13 3" xfId="149"/>
    <cellStyle name="Normal 13 3 2" xfId="150"/>
    <cellStyle name="Normal 13 4" xfId="151"/>
    <cellStyle name="Normal 14" xfId="152"/>
    <cellStyle name="Normal 14 2" xfId="153"/>
    <cellStyle name="Normal 14 2 2" xfId="154"/>
    <cellStyle name="Normal 14 2 2 2" xfId="155"/>
    <cellStyle name="Normal 14 2 3" xfId="156"/>
    <cellStyle name="Normal 14 3" xfId="157"/>
    <cellStyle name="Normal 14 3 2" xfId="158"/>
    <cellStyle name="Normal 14 4" xfId="159"/>
    <cellStyle name="Normal 15" xfId="160"/>
    <cellStyle name="Normal 15 2" xfId="161"/>
    <cellStyle name="Normal 15 2 2" xfId="162"/>
    <cellStyle name="Normal 15 2 2 2" xfId="163"/>
    <cellStyle name="Normal 15 2 3" xfId="164"/>
    <cellStyle name="Normal 15 3" xfId="165"/>
    <cellStyle name="Normal 15 3 2" xfId="166"/>
    <cellStyle name="Normal 15 4" xfId="167"/>
    <cellStyle name="Normal 16" xfId="168"/>
    <cellStyle name="Normal 16 2" xfId="169"/>
    <cellStyle name="Normal 16 2 2" xfId="170"/>
    <cellStyle name="Normal 16 2 2 2" xfId="171"/>
    <cellStyle name="Normal 16 2 3" xfId="172"/>
    <cellStyle name="Normal 16 3" xfId="173"/>
    <cellStyle name="Normal 16 3 2" xfId="174"/>
    <cellStyle name="Normal 16 4" xfId="175"/>
    <cellStyle name="Normal 17" xfId="176"/>
    <cellStyle name="Normal 17 2" xfId="177"/>
    <cellStyle name="Normal 18" xfId="178"/>
    <cellStyle name="Normal 18 2" xfId="179"/>
    <cellStyle name="Normal 18 2 2" xfId="180"/>
    <cellStyle name="Normal 18 2 2 2" xfId="181"/>
    <cellStyle name="Normal 18 2 3" xfId="182"/>
    <cellStyle name="Normal 18 3" xfId="183"/>
    <cellStyle name="Normal 18 3 2" xfId="184"/>
    <cellStyle name="Normal 18 4" xfId="185"/>
    <cellStyle name="Normal 19" xfId="186"/>
    <cellStyle name="Normal 19 2" xfId="187"/>
    <cellStyle name="Normal 19 2 2" xfId="188"/>
    <cellStyle name="Normal 19 2 2 2" xfId="189"/>
    <cellStyle name="Normal 19 2 3" xfId="190"/>
    <cellStyle name="Normal 19 3" xfId="191"/>
    <cellStyle name="Normal 19 3 2" xfId="192"/>
    <cellStyle name="Normal 19 4" xfId="193"/>
    <cellStyle name="Normal 2" xfId="194"/>
    <cellStyle name="Normal 2 2" xfId="195"/>
    <cellStyle name="Normal 20" xfId="196"/>
    <cellStyle name="Normal 20 2" xfId="197"/>
    <cellStyle name="Normal 20 2 2" xfId="198"/>
    <cellStyle name="Normal 20 2 2 2" xfId="199"/>
    <cellStyle name="Normal 20 2 3" xfId="200"/>
    <cellStyle name="Normal 20 3" xfId="201"/>
    <cellStyle name="Normal 20 3 2" xfId="202"/>
    <cellStyle name="Normal 20 4" xfId="203"/>
    <cellStyle name="Normal 21" xfId="204"/>
    <cellStyle name="Normal 21 2" xfId="205"/>
    <cellStyle name="Normal 21 2 2" xfId="206"/>
    <cellStyle name="Normal 21 2 2 2" xfId="207"/>
    <cellStyle name="Normal 21 2 3" xfId="208"/>
    <cellStyle name="Normal 21 3" xfId="209"/>
    <cellStyle name="Normal 21 3 2" xfId="210"/>
    <cellStyle name="Normal 21 4" xfId="211"/>
    <cellStyle name="Normal 22" xfId="212"/>
    <cellStyle name="Normal 22 2" xfId="213"/>
    <cellStyle name="Normal 22 2 2" xfId="214"/>
    <cellStyle name="Normal 22 2 2 2" xfId="215"/>
    <cellStyle name="Normal 22 2 3" xfId="216"/>
    <cellStyle name="Normal 22 3" xfId="217"/>
    <cellStyle name="Normal 22 3 2" xfId="218"/>
    <cellStyle name="Normal 22 4" xfId="219"/>
    <cellStyle name="Normal 23" xfId="220"/>
    <cellStyle name="Normal 23 2" xfId="221"/>
    <cellStyle name="Normal 23 2 2" xfId="222"/>
    <cellStyle name="Normal 23 2 2 2" xfId="223"/>
    <cellStyle name="Normal 23 2 3" xfId="224"/>
    <cellStyle name="Normal 23 3" xfId="225"/>
    <cellStyle name="Normal 23 3 2" xfId="226"/>
    <cellStyle name="Normal 23 4" xfId="227"/>
    <cellStyle name="Normal 24" xfId="228"/>
    <cellStyle name="Normal 24 2" xfId="229"/>
    <cellStyle name="Normal 24 2 2" xfId="230"/>
    <cellStyle name="Normal 24 2 2 2" xfId="231"/>
    <cellStyle name="Normal 24 2 3" xfId="232"/>
    <cellStyle name="Normal 24 3" xfId="233"/>
    <cellStyle name="Normal 24 3 2" xfId="234"/>
    <cellStyle name="Normal 24 4" xfId="235"/>
    <cellStyle name="Normal 25" xfId="236"/>
    <cellStyle name="Normal 25 2" xfId="237"/>
    <cellStyle name="Normal 25 2 2" xfId="238"/>
    <cellStyle name="Normal 25 2 2 2" xfId="239"/>
    <cellStyle name="Normal 25 2 3" xfId="240"/>
    <cellStyle name="Normal 25 3" xfId="241"/>
    <cellStyle name="Normal 25 3 2" xfId="242"/>
    <cellStyle name="Normal 25 4" xfId="243"/>
    <cellStyle name="Normal 26" xfId="244"/>
    <cellStyle name="Normal 26 2" xfId="245"/>
    <cellStyle name="Normal 26 2 2" xfId="246"/>
    <cellStyle name="Normal 26 2 2 2" xfId="247"/>
    <cellStyle name="Normal 26 2 3" xfId="248"/>
    <cellStyle name="Normal 26 3" xfId="249"/>
    <cellStyle name="Normal 26 3 2" xfId="250"/>
    <cellStyle name="Normal 26 4" xfId="251"/>
    <cellStyle name="Normal 27" xfId="252"/>
    <cellStyle name="Normal 27 2" xfId="253"/>
    <cellStyle name="Normal 27 2 2" xfId="254"/>
    <cellStyle name="Normal 27 2 2 2" xfId="255"/>
    <cellStyle name="Normal 27 2 3" xfId="256"/>
    <cellStyle name="Normal 27 3" xfId="257"/>
    <cellStyle name="Normal 27 3 2" xfId="258"/>
    <cellStyle name="Normal 27 4" xfId="259"/>
    <cellStyle name="Normal 28" xfId="260"/>
    <cellStyle name="Normal 28 2" xfId="261"/>
    <cellStyle name="Normal 28 2 2" xfId="262"/>
    <cellStyle name="Normal 28 2 2 2" xfId="263"/>
    <cellStyle name="Normal 28 2 3" xfId="264"/>
    <cellStyle name="Normal 28 3" xfId="265"/>
    <cellStyle name="Normal 28 3 2" xfId="266"/>
    <cellStyle name="Normal 28 4" xfId="267"/>
    <cellStyle name="Normal 29" xfId="268"/>
    <cellStyle name="Normal 29 2" xfId="269"/>
    <cellStyle name="Normal 29 2 2" xfId="270"/>
    <cellStyle name="Normal 29 2 2 2" xfId="271"/>
    <cellStyle name="Normal 29 2 3" xfId="272"/>
    <cellStyle name="Normal 29 3" xfId="273"/>
    <cellStyle name="Normal 29 3 2" xfId="274"/>
    <cellStyle name="Normal 29 4" xfId="275"/>
    <cellStyle name="Normal 3" xfId="276"/>
    <cellStyle name="Normal 3 2" xfId="277"/>
    <cellStyle name="Normal 3 2 2" xfId="278"/>
    <cellStyle name="Normal 3 2 2 2" xfId="279"/>
    <cellStyle name="Normal 3 2 3" xfId="280"/>
    <cellStyle name="Normal 3 3" xfId="281"/>
    <cellStyle name="Normal 3 3 2" xfId="282"/>
    <cellStyle name="Normal 3 4" xfId="283"/>
    <cellStyle name="Normal 30" xfId="284"/>
    <cellStyle name="Normal 30 2" xfId="285"/>
    <cellStyle name="Normal 30 2 2" xfId="286"/>
    <cellStyle name="Normal 30 2 2 2" xfId="287"/>
    <cellStyle name="Normal 30 2 3" xfId="288"/>
    <cellStyle name="Normal 30 3" xfId="289"/>
    <cellStyle name="Normal 30 3 2" xfId="290"/>
    <cellStyle name="Normal 30 4" xfId="291"/>
    <cellStyle name="Normal 31" xfId="292"/>
    <cellStyle name="Normal 31 2" xfId="293"/>
    <cellStyle name="Normal 31 2 2" xfId="294"/>
    <cellStyle name="Normal 31 2 2 2" xfId="295"/>
    <cellStyle name="Normal 31 2 3" xfId="296"/>
    <cellStyle name="Normal 31 3" xfId="297"/>
    <cellStyle name="Normal 31 3 2" xfId="298"/>
    <cellStyle name="Normal 31 4" xfId="299"/>
    <cellStyle name="Normal 32" xfId="300"/>
    <cellStyle name="Normal 32 2" xfId="301"/>
    <cellStyle name="Normal 32 2 2" xfId="302"/>
    <cellStyle name="Normal 32 2 2 2" xfId="303"/>
    <cellStyle name="Normal 32 2 3" xfId="304"/>
    <cellStyle name="Normal 32 3" xfId="305"/>
    <cellStyle name="Normal 32 3 2" xfId="306"/>
    <cellStyle name="Normal 32 4" xfId="307"/>
    <cellStyle name="Normal 33" xfId="308"/>
    <cellStyle name="Normal 33 2" xfId="309"/>
    <cellStyle name="Normal 33 2 2" xfId="310"/>
    <cellStyle name="Normal 33 2 2 2" xfId="311"/>
    <cellStyle name="Normal 33 2 3" xfId="312"/>
    <cellStyle name="Normal 34" xfId="313"/>
    <cellStyle name="Normal 34 2" xfId="314"/>
    <cellStyle name="Normal 34 2 2" xfId="315"/>
    <cellStyle name="Normal 34 2 2 2" xfId="316"/>
    <cellStyle name="Normal 34 2 3" xfId="317"/>
    <cellStyle name="Normal 34 3" xfId="318"/>
    <cellStyle name="Normal 34 3 2" xfId="319"/>
    <cellStyle name="Normal 34 4" xfId="320"/>
    <cellStyle name="Normal 35" xfId="321"/>
    <cellStyle name="Normal 35 2" xfId="322"/>
    <cellStyle name="Normal 35 2 2" xfId="323"/>
    <cellStyle name="Normal 35 2 2 2" xfId="324"/>
    <cellStyle name="Normal 35 2 3" xfId="325"/>
    <cellStyle name="Normal 35 3" xfId="326"/>
    <cellStyle name="Normal 35 3 2" xfId="327"/>
    <cellStyle name="Normal 35 4" xfId="328"/>
    <cellStyle name="Normal 36" xfId="329"/>
    <cellStyle name="Normal 36 2" xfId="330"/>
    <cellStyle name="Normal 36 2 2" xfId="331"/>
    <cellStyle name="Normal 36 2 2 2" xfId="332"/>
    <cellStyle name="Normal 36 2 3" xfId="333"/>
    <cellStyle name="Normal 36 3" xfId="334"/>
    <cellStyle name="Normal 36 3 2" xfId="335"/>
    <cellStyle name="Normal 36 4" xfId="336"/>
    <cellStyle name="Normal 37" xfId="337"/>
    <cellStyle name="Normal 37 2" xfId="338"/>
    <cellStyle name="Normal 37 2 2" xfId="339"/>
    <cellStyle name="Normal 37 2 2 2" xfId="340"/>
    <cellStyle name="Normal 37 2 3" xfId="341"/>
    <cellStyle name="Normal 37 3" xfId="342"/>
    <cellStyle name="Normal 37 3 2" xfId="343"/>
    <cellStyle name="Normal 37 4" xfId="344"/>
    <cellStyle name="Normal 38" xfId="345"/>
    <cellStyle name="Normal 38 2" xfId="346"/>
    <cellStyle name="Normal 38 2 2" xfId="347"/>
    <cellStyle name="Normal 38 2 2 2" xfId="348"/>
    <cellStyle name="Normal 38 2 2 2 2" xfId="349"/>
    <cellStyle name="Normal 38 2 2 2 2 2" xfId="350"/>
    <cellStyle name="Normal 38 2 2 2 3" xfId="351"/>
    <cellStyle name="Normal 38 2 2 3" xfId="352"/>
    <cellStyle name="Normal 38 2 2 3 2" xfId="353"/>
    <cellStyle name="Normal 38 2 2 3 2 2" xfId="354"/>
    <cellStyle name="Normal 38 2 2 3 3" xfId="355"/>
    <cellStyle name="Normal 38 2 2 4" xfId="356"/>
    <cellStyle name="Normal 38 2 2 4 2" xfId="357"/>
    <cellStyle name="Normal 38 2 2 5" xfId="358"/>
    <cellStyle name="Normal 38 2 3" xfId="359"/>
    <cellStyle name="Normal 38 2 3 2" xfId="360"/>
    <cellStyle name="Normal 38 2 4" xfId="361"/>
    <cellStyle name="Normal 38 3" xfId="362"/>
    <cellStyle name="Normal 38 3 2" xfId="363"/>
    <cellStyle name="Normal 38 4" xfId="364"/>
    <cellStyle name="Normal 39" xfId="365"/>
    <cellStyle name="Normal 39 2" xfId="366"/>
    <cellStyle name="Normal 39 2 2" xfId="367"/>
    <cellStyle name="Normal 39 2 2 2" xfId="368"/>
    <cellStyle name="Normal 39 2 3" xfId="369"/>
    <cellStyle name="Normal 39 3" xfId="370"/>
    <cellStyle name="Normal 39 3 2" xfId="371"/>
    <cellStyle name="Normal 39 4" xfId="372"/>
    <cellStyle name="Normal 4" xfId="373"/>
    <cellStyle name="Normal 4 2" xfId="374"/>
    <cellStyle name="Normal 4 2 2" xfId="375"/>
    <cellStyle name="Normal 4 2 2 2" xfId="376"/>
    <cellStyle name="Normal 4 2 3" xfId="377"/>
    <cellStyle name="Normal 4 3" xfId="378"/>
    <cellStyle name="Normal 4 3 2" xfId="379"/>
    <cellStyle name="Normal 4 4" xfId="380"/>
    <cellStyle name="Normal 40" xfId="381"/>
    <cellStyle name="Normal 40 2" xfId="382"/>
    <cellStyle name="Normal 40 2 2" xfId="383"/>
    <cellStyle name="Normal 40 2 2 2" xfId="384"/>
    <cellStyle name="Normal 40 2 3" xfId="385"/>
    <cellStyle name="Normal 40 3" xfId="386"/>
    <cellStyle name="Normal 40 3 2" xfId="387"/>
    <cellStyle name="Normal 40 4" xfId="388"/>
    <cellStyle name="Normal 41" xfId="389"/>
    <cellStyle name="Normal 41 2" xfId="390"/>
    <cellStyle name="Normal 41 2 2" xfId="391"/>
    <cellStyle name="Normal 41 2 2 2" xfId="392"/>
    <cellStyle name="Normal 41 2 3" xfId="393"/>
    <cellStyle name="Normal 41 3" xfId="394"/>
    <cellStyle name="Normal 41 3 2" xfId="395"/>
    <cellStyle name="Normal 41 4" xfId="396"/>
    <cellStyle name="Normal 42" xfId="397"/>
    <cellStyle name="Normal 42 2" xfId="398"/>
    <cellStyle name="Normal 42 2 2" xfId="399"/>
    <cellStyle name="Normal 42 2 2 2" xfId="400"/>
    <cellStyle name="Normal 42 2 3" xfId="401"/>
    <cellStyle name="Normal 42 3" xfId="402"/>
    <cellStyle name="Normal 42 3 2" xfId="403"/>
    <cellStyle name="Normal 42 3 2 2" xfId="404"/>
    <cellStyle name="Normal 42 3 2 2 2" xfId="405"/>
    <cellStyle name="Normal 42 3 2 3" xfId="406"/>
    <cellStyle name="Normal 42 3 3" xfId="407"/>
    <cellStyle name="Normal 42 3 3 2" xfId="408"/>
    <cellStyle name="Normal 42 3 3 2 2" xfId="409"/>
    <cellStyle name="Normal 42 3 3 3" xfId="410"/>
    <cellStyle name="Normal 42 3 4" xfId="411"/>
    <cellStyle name="Normal 42 3 4 2" xfId="412"/>
    <cellStyle name="Normal 42 3 5" xfId="413"/>
    <cellStyle name="Normal 42 4" xfId="414"/>
    <cellStyle name="Normal 42 4 2" xfId="415"/>
    <cellStyle name="Normal 42 4 2 2" xfId="416"/>
    <cellStyle name="Normal 42 4 3" xfId="417"/>
    <cellStyle name="Normal 42 5" xfId="418"/>
    <cellStyle name="Normal 42 5 2" xfId="419"/>
    <cellStyle name="Normal 42 5 2 2" xfId="420"/>
    <cellStyle name="Normal 42 5 3" xfId="421"/>
    <cellStyle name="Normal 42 6" xfId="422"/>
    <cellStyle name="Normal 42 6 2" xfId="423"/>
    <cellStyle name="Normal 42 7" xfId="424"/>
    <cellStyle name="Normal 43" xfId="425"/>
    <cellStyle name="Normal 43 2" xfId="426"/>
    <cellStyle name="Normal 43 2 2" xfId="427"/>
    <cellStyle name="Normal 43 2 2 2" xfId="428"/>
    <cellStyle name="Normal 43 2 3" xfId="429"/>
    <cellStyle name="Normal 43 3" xfId="430"/>
    <cellStyle name="Normal 43 3 2" xfId="431"/>
    <cellStyle name="Normal 43 4" xfId="432"/>
    <cellStyle name="Normal 44" xfId="433"/>
    <cellStyle name="Normal 44 2" xfId="434"/>
    <cellStyle name="Normal 44 2 2" xfId="435"/>
    <cellStyle name="Normal 44 2 2 2" xfId="436"/>
    <cellStyle name="Normal 44 2 3" xfId="437"/>
    <cellStyle name="Normal 44 3" xfId="438"/>
    <cellStyle name="Normal 44 3 2" xfId="439"/>
    <cellStyle name="Normal 44 4" xfId="440"/>
    <cellStyle name="Normal 45" xfId="441"/>
    <cellStyle name="Normal 45 2" xfId="442"/>
    <cellStyle name="Normal 45 2 2" xfId="443"/>
    <cellStyle name="Normal 45 2 2 2" xfId="444"/>
    <cellStyle name="Normal 45 2 3" xfId="445"/>
    <cellStyle name="Normal 45 3" xfId="446"/>
    <cellStyle name="Normal 45 3 2" xfId="447"/>
    <cellStyle name="Normal 45 4" xfId="448"/>
    <cellStyle name="Normal 46" xfId="449"/>
    <cellStyle name="Normal 46 2" xfId="450"/>
    <cellStyle name="Normal 46 2 2" xfId="451"/>
    <cellStyle name="Normal 46 3" xfId="452"/>
    <cellStyle name="Normal 47" xfId="453"/>
    <cellStyle name="Normal 47 2" xfId="454"/>
    <cellStyle name="Normal 47 2 2" xfId="455"/>
    <cellStyle name="Normal 47 3" xfId="456"/>
    <cellStyle name="Normal 48" xfId="457"/>
    <cellStyle name="Normal 48 2" xfId="458"/>
    <cellStyle name="Normal 48 2 2" xfId="459"/>
    <cellStyle name="Normal 48 3" xfId="460"/>
    <cellStyle name="Normal 49" xfId="461"/>
    <cellStyle name="Normal 49 2" xfId="462"/>
    <cellStyle name="Normal 49 2 2" xfId="463"/>
    <cellStyle name="Normal 49 3" xfId="464"/>
    <cellStyle name="Normal 5" xfId="465"/>
    <cellStyle name="Normal 5 2" xfId="466"/>
    <cellStyle name="Normal 5 2 2" xfId="467"/>
    <cellStyle name="Normal 5 2 2 2" xfId="468"/>
    <cellStyle name="Normal 5 2 3" xfId="469"/>
    <cellStyle name="Normal 5 3" xfId="470"/>
    <cellStyle name="Normal 5 3 2" xfId="471"/>
    <cellStyle name="Normal 5 4" xfId="472"/>
    <cellStyle name="Normal 50" xfId="473"/>
    <cellStyle name="Normal 50 2" xfId="474"/>
    <cellStyle name="Normal 50 2 2" xfId="475"/>
    <cellStyle name="Normal 50 3" xfId="476"/>
    <cellStyle name="Normal 51" xfId="477"/>
    <cellStyle name="Normal 51 2" xfId="478"/>
    <cellStyle name="Normal 51 2 2" xfId="479"/>
    <cellStyle name="Normal 51 3" xfId="480"/>
    <cellStyle name="Normal 52" xfId="481"/>
    <cellStyle name="Normal 52 2" xfId="482"/>
    <cellStyle name="Normal 52 2 2" xfId="483"/>
    <cellStyle name="Normal 52 3" xfId="484"/>
    <cellStyle name="Normal 53" xfId="485"/>
    <cellStyle name="Normal 53 2" xfId="486"/>
    <cellStyle name="Normal 53 2 2" xfId="487"/>
    <cellStyle name="Normal 53 3" xfId="488"/>
    <cellStyle name="Normal 54" xfId="489"/>
    <cellStyle name="Normal 54 2" xfId="490"/>
    <cellStyle name="Normal 54 2 2" xfId="491"/>
    <cellStyle name="Normal 54 3" xfId="492"/>
    <cellStyle name="Normal 55" xfId="493"/>
    <cellStyle name="Normal 55 2" xfId="494"/>
    <cellStyle name="Normal 55 2 2" xfId="495"/>
    <cellStyle name="Normal 55 3" xfId="496"/>
    <cellStyle name="Normal 56" xfId="497"/>
    <cellStyle name="Normal 56 2" xfId="498"/>
    <cellStyle name="Normal 56 2 2" xfId="499"/>
    <cellStyle name="Normal 56 3" xfId="500"/>
    <cellStyle name="Normal 57" xfId="501"/>
    <cellStyle name="Normal 57 2" xfId="502"/>
    <cellStyle name="Normal 57 2 2" xfId="503"/>
    <cellStyle name="Normal 57 3" xfId="504"/>
    <cellStyle name="Normal 58" xfId="505"/>
    <cellStyle name="Normal 58 2" xfId="506"/>
    <cellStyle name="Normal 59" xfId="507"/>
    <cellStyle name="Normal 59 2" xfId="508"/>
    <cellStyle name="Normal 6" xfId="509"/>
    <cellStyle name="Normal 6 2" xfId="510"/>
    <cellStyle name="Normal 6 2 2" xfId="511"/>
    <cellStyle name="Normal 6 2 2 2" xfId="512"/>
    <cellStyle name="Normal 6 2 3" xfId="513"/>
    <cellStyle name="Normal 6 3" xfId="514"/>
    <cellStyle name="Normal 6 3 2" xfId="515"/>
    <cellStyle name="Normal 6 4" xfId="516"/>
    <cellStyle name="Normal 60" xfId="517"/>
    <cellStyle name="Normal 60 2" xfId="518"/>
    <cellStyle name="Normal 61" xfId="519"/>
    <cellStyle name="Normal 62" xfId="520"/>
    <cellStyle name="Normal 64" xfId="521"/>
    <cellStyle name="Normal 7" xfId="522"/>
    <cellStyle name="Normal 7 2" xfId="523"/>
    <cellStyle name="Normal 7 2 2" xfId="524"/>
    <cellStyle name="Normal 7 2 2 2" xfId="525"/>
    <cellStyle name="Normal 7 2 3" xfId="526"/>
    <cellStyle name="Normal 7 3" xfId="527"/>
    <cellStyle name="Normal 7 3 2" xfId="528"/>
    <cellStyle name="Normal 7 4" xfId="529"/>
    <cellStyle name="Normal 8" xfId="530"/>
    <cellStyle name="Normal 8 2" xfId="531"/>
    <cellStyle name="Normal 8 2 2" xfId="532"/>
    <cellStyle name="Normal 8 2 2 2" xfId="533"/>
    <cellStyle name="Normal 8 2 3" xfId="534"/>
    <cellStyle name="Normal 8 3" xfId="535"/>
    <cellStyle name="Normal 8 3 2" xfId="536"/>
    <cellStyle name="Normal 8 4" xfId="537"/>
    <cellStyle name="Normal 9" xfId="538"/>
    <cellStyle name="Normal 9 2" xfId="539"/>
    <cellStyle name="Normal 9 2 2" xfId="540"/>
    <cellStyle name="Normal 9 2 2 2" xfId="541"/>
    <cellStyle name="Normal 9 2 3" xfId="542"/>
    <cellStyle name="Normal 9 3" xfId="543"/>
    <cellStyle name="Normal 9 3 2" xfId="544"/>
    <cellStyle name="Normal 9 4" xfId="545"/>
    <cellStyle name="Note 2" xfId="546"/>
    <cellStyle name="Note 3" xfId="547"/>
    <cellStyle name="Note 4" xfId="548"/>
    <cellStyle name="Output 2" xfId="549"/>
    <cellStyle name="Output 3" xfId="550"/>
    <cellStyle name="Output 4" xfId="551"/>
    <cellStyle name="Percent" xfId="1" builtinId="5"/>
    <cellStyle name="Percent 2" xfId="2"/>
    <cellStyle name="Percent 2 2" xfId="552"/>
    <cellStyle name="Percent 2 2 2" xfId="553"/>
    <cellStyle name="Percent 3" xfId="554"/>
    <cellStyle name="Percent 4" xfId="555"/>
    <cellStyle name="Percent 5" xfId="556"/>
    <cellStyle name="Title 2" xfId="557"/>
    <cellStyle name="Title 3" xfId="558"/>
    <cellStyle name="Title 4" xfId="559"/>
    <cellStyle name="Total 2" xfId="560"/>
    <cellStyle name="Total 3" xfId="561"/>
    <cellStyle name="Total 4" xfId="562"/>
    <cellStyle name="Warning Text 2" xfId="563"/>
    <cellStyle name="Warning Text 3" xfId="564"/>
    <cellStyle name="Warning Text 4" xfId="565"/>
  </cellStyles>
  <dxfs count="0"/>
  <tableStyles count="0" defaultTableStyle="TableStyleMedium9" defaultPivotStyle="PivotStyleLight16"/>
  <colors>
    <mruColors>
      <color rgb="FFE7E2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P106"/>
  <sheetViews>
    <sheetView zoomScale="85" zoomScaleNormal="85" workbookViewId="0">
      <selection activeCell="D26" sqref="D26"/>
    </sheetView>
  </sheetViews>
  <sheetFormatPr defaultRowHeight="15" x14ac:dyDescent="0.25"/>
  <cols>
    <col min="1" max="1" width="2.85546875" style="9" customWidth="1"/>
    <col min="2" max="2" width="3.28515625" style="9" customWidth="1"/>
    <col min="3" max="3" width="37.42578125" style="9" customWidth="1"/>
    <col min="4" max="4" width="11.5703125" style="9" customWidth="1"/>
    <col min="5" max="5" width="12.5703125" style="9" customWidth="1"/>
    <col min="6" max="6" width="13.140625" style="9" customWidth="1"/>
    <col min="7" max="7" width="10.42578125" style="9" customWidth="1"/>
    <col min="8" max="8" width="11.28515625" style="9" customWidth="1"/>
    <col min="9" max="9" width="1.140625" style="9" customWidth="1"/>
    <col min="10" max="10" width="12.5703125" style="9" customWidth="1"/>
    <col min="11" max="11" width="9.140625" style="9"/>
    <col min="12" max="12" width="7.5703125" style="9" bestFit="1" customWidth="1"/>
    <col min="13" max="13" width="10.85546875" style="9" bestFit="1" customWidth="1"/>
    <col min="14" max="14" width="16.28515625" style="9" customWidth="1"/>
    <col min="15" max="15" width="9.140625" style="9"/>
    <col min="16" max="16" width="12.5703125" style="9" bestFit="1" customWidth="1"/>
    <col min="17" max="16384" width="9.140625" style="9"/>
  </cols>
  <sheetData>
    <row r="1" spans="2:15" ht="15.75" thickBot="1" x14ac:dyDescent="0.3"/>
    <row r="2" spans="2:15" ht="15.75" thickTop="1" x14ac:dyDescent="0.25">
      <c r="B2" s="288" t="s">
        <v>97</v>
      </c>
      <c r="C2" s="289"/>
      <c r="D2" s="290"/>
      <c r="E2" s="276" t="s">
        <v>10</v>
      </c>
      <c r="F2" s="278"/>
      <c r="G2" s="276" t="s">
        <v>123</v>
      </c>
      <c r="H2" s="278"/>
      <c r="I2" s="276" t="s">
        <v>125</v>
      </c>
      <c r="J2" s="277"/>
      <c r="K2" s="278"/>
      <c r="L2" s="126"/>
      <c r="M2" s="10"/>
      <c r="N2" s="41"/>
    </row>
    <row r="3" spans="2:15" x14ac:dyDescent="0.25">
      <c r="B3" s="291" t="s">
        <v>228</v>
      </c>
      <c r="C3" s="292"/>
      <c r="D3" s="293"/>
      <c r="E3" s="81" t="s">
        <v>13</v>
      </c>
      <c r="F3" s="97" t="s">
        <v>14</v>
      </c>
      <c r="G3" s="296">
        <f>SUM(L9:L14)</f>
        <v>50</v>
      </c>
      <c r="H3" s="297"/>
      <c r="I3" s="279">
        <f>((L9*N9)+(L10*N10)+(L11*N11)+(L12*N12)+(L13*N13)+(L14*N14))/G3</f>
        <v>970</v>
      </c>
      <c r="J3" s="280"/>
      <c r="K3" s="281"/>
      <c r="L3" s="7"/>
      <c r="M3" s="12"/>
      <c r="N3" s="13"/>
    </row>
    <row r="4" spans="2:15" x14ac:dyDescent="0.25">
      <c r="B4" s="291" t="s">
        <v>227</v>
      </c>
      <c r="C4" s="292"/>
      <c r="D4" s="293"/>
      <c r="E4" s="52">
        <f>D18</f>
        <v>60000</v>
      </c>
      <c r="F4" s="100">
        <f>D19</f>
        <v>49500</v>
      </c>
      <c r="G4" s="294" t="s">
        <v>126</v>
      </c>
      <c r="H4" s="295"/>
      <c r="I4" s="282"/>
      <c r="J4" s="283"/>
      <c r="K4" s="284"/>
      <c r="L4" s="7"/>
      <c r="M4" s="12"/>
      <c r="N4" s="13"/>
    </row>
    <row r="5" spans="2:15" ht="15.75" thickBot="1" x14ac:dyDescent="0.3">
      <c r="B5" s="291" t="s">
        <v>1</v>
      </c>
      <c r="C5" s="292"/>
      <c r="D5" s="293"/>
      <c r="E5" s="18"/>
      <c r="F5" s="114"/>
      <c r="G5" s="298">
        <f>((L9*M9)+(L10*M10)+(L11*M11)+(L12*M12)+(L13*M13)+(L14*M14))/G3</f>
        <v>990</v>
      </c>
      <c r="H5" s="299"/>
      <c r="I5" s="285"/>
      <c r="J5" s="286"/>
      <c r="K5" s="287"/>
      <c r="L5" s="125"/>
      <c r="M5" s="14"/>
      <c r="N5" s="37"/>
    </row>
    <row r="6" spans="2:15" ht="15.75" thickTop="1" x14ac:dyDescent="0.25">
      <c r="B6" s="43"/>
      <c r="C6" s="28"/>
      <c r="D6" s="28"/>
      <c r="E6" s="28"/>
      <c r="F6" s="28"/>
      <c r="G6" s="102"/>
      <c r="H6" s="102"/>
      <c r="I6" s="12"/>
      <c r="J6" s="12"/>
      <c r="K6" s="12"/>
      <c r="L6" s="12"/>
      <c r="M6" s="12"/>
      <c r="N6" s="13"/>
    </row>
    <row r="7" spans="2:15" x14ac:dyDescent="0.25">
      <c r="B7" s="22"/>
      <c r="C7" s="20" t="s">
        <v>109</v>
      </c>
      <c r="D7" s="243" t="s">
        <v>112</v>
      </c>
      <c r="E7" s="20"/>
      <c r="F7" s="20"/>
      <c r="G7" s="99"/>
      <c r="H7" s="99"/>
      <c r="I7" s="99"/>
      <c r="J7" s="30" t="s">
        <v>73</v>
      </c>
      <c r="K7" s="25"/>
      <c r="L7" s="25"/>
      <c r="M7" s="25"/>
      <c r="N7" s="115"/>
    </row>
    <row r="8" spans="2:15" x14ac:dyDescent="0.25">
      <c r="B8" s="22"/>
      <c r="C8" s="20" t="s">
        <v>116</v>
      </c>
      <c r="D8" s="105">
        <f>IF(D7=C100,"See Below",'Development Costs'!E43)</f>
        <v>5402666.8223999999</v>
      </c>
      <c r="E8" s="20"/>
      <c r="F8" s="20"/>
      <c r="G8" s="99"/>
      <c r="H8" s="99"/>
      <c r="I8" s="99"/>
      <c r="J8" s="24" t="s">
        <v>74</v>
      </c>
      <c r="K8" s="89" t="s">
        <v>75</v>
      </c>
      <c r="L8" s="89" t="s">
        <v>76</v>
      </c>
      <c r="M8" s="90" t="s">
        <v>77</v>
      </c>
      <c r="N8" s="116" t="s">
        <v>78</v>
      </c>
    </row>
    <row r="9" spans="2:15" x14ac:dyDescent="0.25">
      <c r="B9" s="22"/>
      <c r="C9" s="20" t="s">
        <v>117</v>
      </c>
      <c r="D9" s="244">
        <v>0</v>
      </c>
      <c r="E9" s="20"/>
      <c r="F9" s="20"/>
      <c r="G9" s="99"/>
      <c r="H9" s="99"/>
      <c r="I9" s="99"/>
      <c r="J9" s="252" t="s">
        <v>224</v>
      </c>
      <c r="K9" s="91">
        <f>L9/$G$3</f>
        <v>0.4</v>
      </c>
      <c r="L9" s="254">
        <v>20</v>
      </c>
      <c r="M9" s="254">
        <v>1150</v>
      </c>
      <c r="N9" s="255">
        <v>1100</v>
      </c>
    </row>
    <row r="10" spans="2:15" x14ac:dyDescent="0.25">
      <c r="B10" s="22"/>
      <c r="C10" s="20"/>
      <c r="D10" s="20"/>
      <c r="E10" s="20"/>
      <c r="F10" s="20"/>
      <c r="G10" s="99"/>
      <c r="H10" s="99"/>
      <c r="I10" s="99"/>
      <c r="J10" s="243" t="s">
        <v>225</v>
      </c>
      <c r="K10" s="91">
        <f>L10/$G$3</f>
        <v>0.4</v>
      </c>
      <c r="L10" s="254">
        <v>20</v>
      </c>
      <c r="M10" s="254">
        <v>950</v>
      </c>
      <c r="N10" s="255">
        <v>950</v>
      </c>
      <c r="O10" s="6"/>
    </row>
    <row r="11" spans="2:15" x14ac:dyDescent="0.25">
      <c r="B11" s="29" t="s">
        <v>62</v>
      </c>
      <c r="C11" s="30"/>
      <c r="D11" s="25"/>
      <c r="E11" s="25"/>
      <c r="F11" s="25"/>
      <c r="G11" s="25"/>
      <c r="H11" s="25"/>
      <c r="I11" s="25"/>
      <c r="J11" s="253" t="s">
        <v>226</v>
      </c>
      <c r="K11" s="91">
        <f t="shared" ref="K11:K14" si="0">L11/$G$3</f>
        <v>0.2</v>
      </c>
      <c r="L11" s="254">
        <v>10</v>
      </c>
      <c r="M11" s="254">
        <v>750</v>
      </c>
      <c r="N11" s="255">
        <v>750</v>
      </c>
      <c r="O11" s="6"/>
    </row>
    <row r="12" spans="2:15" x14ac:dyDescent="0.25">
      <c r="B12" s="22"/>
      <c r="C12" s="20" t="s">
        <v>49</v>
      </c>
      <c r="D12" s="245">
        <v>3</v>
      </c>
      <c r="E12" s="20" t="s">
        <v>52</v>
      </c>
      <c r="F12" s="20" t="s">
        <v>55</v>
      </c>
      <c r="G12" s="20"/>
      <c r="H12" s="251">
        <v>41639</v>
      </c>
      <c r="I12" s="20"/>
      <c r="J12" s="219"/>
      <c r="K12" s="91">
        <f t="shared" si="0"/>
        <v>0</v>
      </c>
      <c r="L12" s="221"/>
      <c r="M12" s="221"/>
      <c r="N12" s="222"/>
      <c r="O12" s="6"/>
    </row>
    <row r="13" spans="2:15" x14ac:dyDescent="0.25">
      <c r="B13" s="23"/>
      <c r="C13" s="33" t="s">
        <v>50</v>
      </c>
      <c r="D13" s="245">
        <v>12</v>
      </c>
      <c r="E13" s="20" t="s">
        <v>52</v>
      </c>
      <c r="F13" s="20" t="s">
        <v>54</v>
      </c>
      <c r="G13" s="20"/>
      <c r="H13" s="88">
        <f>EOMONTH(H12,D12)</f>
        <v>41729</v>
      </c>
      <c r="I13" s="20"/>
      <c r="J13" s="219"/>
      <c r="K13" s="91">
        <f t="shared" si="0"/>
        <v>0</v>
      </c>
      <c r="L13" s="221"/>
      <c r="M13" s="221"/>
      <c r="N13" s="222"/>
      <c r="O13" s="6"/>
    </row>
    <row r="14" spans="2:15" x14ac:dyDescent="0.25">
      <c r="B14" s="22"/>
      <c r="C14" s="20" t="s">
        <v>51</v>
      </c>
      <c r="D14" s="246">
        <v>6</v>
      </c>
      <c r="E14" s="20" t="s">
        <v>52</v>
      </c>
      <c r="F14" s="20" t="s">
        <v>56</v>
      </c>
      <c r="G14" s="27"/>
      <c r="H14" s="88">
        <f>EOMONTH(H13,D13)</f>
        <v>42094</v>
      </c>
      <c r="I14" s="27"/>
      <c r="J14" s="220"/>
      <c r="K14" s="106">
        <f t="shared" si="0"/>
        <v>0</v>
      </c>
      <c r="L14" s="223"/>
      <c r="M14" s="223"/>
      <c r="N14" s="224"/>
      <c r="O14" s="6"/>
    </row>
    <row r="15" spans="2:15" x14ac:dyDescent="0.25">
      <c r="B15" s="22"/>
      <c r="C15" s="20" t="s">
        <v>53</v>
      </c>
      <c r="D15" s="44">
        <f>SUM(D12:D14)</f>
        <v>21</v>
      </c>
      <c r="E15" s="20" t="s">
        <v>52</v>
      </c>
      <c r="F15" s="20" t="s">
        <v>57</v>
      </c>
      <c r="G15" s="27"/>
      <c r="H15" s="88">
        <f>EOMONTH(H14,D14)</f>
        <v>42277</v>
      </c>
      <c r="I15" s="27"/>
      <c r="J15" s="107" t="s">
        <v>127</v>
      </c>
      <c r="K15" s="117"/>
      <c r="L15" s="118"/>
      <c r="M15" s="67">
        <f>SUMPRODUCT(L9:L14,N9:N14)*12</f>
        <v>582000</v>
      </c>
      <c r="N15" s="70"/>
      <c r="O15" s="6"/>
    </row>
    <row r="16" spans="2:15" x14ac:dyDescent="0.25">
      <c r="B16" s="22"/>
      <c r="C16" s="20"/>
      <c r="D16" s="45"/>
      <c r="E16" s="20"/>
      <c r="F16" s="20"/>
      <c r="G16" s="20"/>
      <c r="H16" s="20"/>
      <c r="I16" s="20"/>
      <c r="J16" s="27" t="s">
        <v>79</v>
      </c>
      <c r="K16" s="92"/>
      <c r="L16" s="92"/>
      <c r="M16" s="256">
        <v>0.05</v>
      </c>
      <c r="N16" s="119"/>
    </row>
    <row r="17" spans="2:16" x14ac:dyDescent="0.25">
      <c r="B17" s="29" t="s">
        <v>63</v>
      </c>
      <c r="C17" s="20"/>
      <c r="D17" s="45"/>
      <c r="E17" s="25"/>
      <c r="F17" s="25"/>
      <c r="G17" s="20"/>
      <c r="H17" s="20"/>
      <c r="I17" s="20"/>
      <c r="J17" s="27" t="s">
        <v>80</v>
      </c>
      <c r="K17" s="92"/>
      <c r="L17" s="92"/>
      <c r="M17" s="256">
        <v>0.03</v>
      </c>
      <c r="N17" s="74"/>
    </row>
    <row r="18" spans="2:16" x14ac:dyDescent="0.25">
      <c r="B18" s="22"/>
      <c r="C18" s="20" t="s">
        <v>93</v>
      </c>
      <c r="D18" s="245">
        <v>60000</v>
      </c>
      <c r="E18" s="25"/>
      <c r="F18" s="25"/>
      <c r="G18" s="27"/>
      <c r="H18" s="26"/>
      <c r="I18" s="27"/>
      <c r="J18" s="12"/>
      <c r="K18" s="12"/>
      <c r="L18" s="12"/>
      <c r="M18" s="12"/>
      <c r="N18" s="74"/>
    </row>
    <row r="19" spans="2:16" x14ac:dyDescent="0.25">
      <c r="B19" s="22"/>
      <c r="C19" s="20" t="s">
        <v>58</v>
      </c>
      <c r="D19" s="242">
        <f>(L9*M9)+(L10*M10)+(L11*M11)+(L12*M12)+(L13*M13)+(L14*M14)</f>
        <v>49500</v>
      </c>
      <c r="E19" s="20"/>
      <c r="F19" s="20"/>
      <c r="G19" s="27"/>
      <c r="H19" s="26"/>
      <c r="I19" s="27"/>
      <c r="J19" s="31" t="s">
        <v>145</v>
      </c>
      <c r="K19" s="92"/>
      <c r="L19" s="92"/>
      <c r="M19" s="34" t="s">
        <v>82</v>
      </c>
      <c r="N19" s="120" t="s">
        <v>103</v>
      </c>
    </row>
    <row r="20" spans="2:16" x14ac:dyDescent="0.25">
      <c r="B20" s="22"/>
      <c r="C20" s="20"/>
      <c r="D20" s="48"/>
      <c r="E20" s="20"/>
      <c r="F20" s="20"/>
      <c r="G20" s="27"/>
      <c r="H20" s="26"/>
      <c r="I20" s="27"/>
      <c r="J20" s="27" t="s">
        <v>81</v>
      </c>
      <c r="K20" s="92"/>
      <c r="L20" s="92"/>
      <c r="M20" s="110">
        <f>D22</f>
        <v>60</v>
      </c>
      <c r="N20" s="257">
        <v>0</v>
      </c>
    </row>
    <row r="21" spans="2:16" x14ac:dyDescent="0.25">
      <c r="B21" s="29" t="s">
        <v>64</v>
      </c>
      <c r="C21" s="20"/>
      <c r="D21" s="48"/>
      <c r="E21" s="20"/>
      <c r="F21" s="20"/>
      <c r="G21" s="20"/>
      <c r="H21" s="20"/>
      <c r="I21" s="20"/>
      <c r="J21" s="27"/>
      <c r="K21" s="92"/>
      <c r="L21" s="92"/>
      <c r="M21" s="110"/>
      <c r="N21" s="121"/>
    </row>
    <row r="22" spans="2:16" x14ac:dyDescent="0.25">
      <c r="B22" s="23"/>
      <c r="C22" s="20" t="s">
        <v>59</v>
      </c>
      <c r="D22" s="250">
        <v>60</v>
      </c>
      <c r="E22" s="20" t="s">
        <v>60</v>
      </c>
      <c r="F22" s="20"/>
      <c r="G22" s="20"/>
      <c r="H22" s="20"/>
      <c r="I22" s="20"/>
      <c r="J22" s="27" t="s">
        <v>146</v>
      </c>
      <c r="K22" s="25"/>
      <c r="L22" s="25"/>
      <c r="M22" s="244">
        <v>350</v>
      </c>
      <c r="N22" s="149" t="s">
        <v>147</v>
      </c>
    </row>
    <row r="23" spans="2:16" x14ac:dyDescent="0.25">
      <c r="B23" s="22"/>
      <c r="C23" s="20"/>
      <c r="D23" s="46"/>
      <c r="E23" s="20"/>
      <c r="F23" s="20"/>
      <c r="G23" s="27"/>
      <c r="H23" s="26"/>
      <c r="I23" s="27"/>
      <c r="J23" s="27"/>
      <c r="K23" s="25"/>
      <c r="L23" s="25"/>
      <c r="M23" s="108"/>
      <c r="N23" s="149"/>
    </row>
    <row r="24" spans="2:16" x14ac:dyDescent="0.25">
      <c r="B24" s="29" t="s">
        <v>61</v>
      </c>
      <c r="C24" s="20"/>
      <c r="D24" s="48"/>
      <c r="E24" s="20"/>
      <c r="F24" s="20"/>
      <c r="G24" s="27"/>
      <c r="H24" s="26"/>
      <c r="I24" s="27"/>
      <c r="J24" s="31" t="s">
        <v>83</v>
      </c>
      <c r="K24" s="92"/>
      <c r="L24" s="92"/>
      <c r="M24" s="93"/>
      <c r="N24" s="119"/>
    </row>
    <row r="25" spans="2:16" x14ac:dyDescent="0.25">
      <c r="B25" s="22"/>
      <c r="C25" s="20" t="s">
        <v>65</v>
      </c>
      <c r="D25" s="247">
        <v>65000</v>
      </c>
      <c r="E25" s="96" t="s">
        <v>128</v>
      </c>
      <c r="F25" s="95"/>
      <c r="G25" s="20"/>
      <c r="H25" s="20"/>
      <c r="I25" s="20"/>
      <c r="J25" s="27" t="s">
        <v>96</v>
      </c>
      <c r="K25" s="92"/>
      <c r="L25" s="92"/>
      <c r="M25" s="256">
        <v>7.4999999999999997E-2</v>
      </c>
      <c r="N25" s="74"/>
    </row>
    <row r="26" spans="2:16" x14ac:dyDescent="0.25">
      <c r="B26" s="23"/>
      <c r="C26" s="20" t="s">
        <v>67</v>
      </c>
      <c r="D26" s="247">
        <v>650</v>
      </c>
      <c r="E26" s="96" t="s">
        <v>129</v>
      </c>
      <c r="F26" s="95"/>
      <c r="G26" s="27"/>
      <c r="H26" s="26"/>
      <c r="I26" s="27"/>
      <c r="J26" s="20" t="s">
        <v>84</v>
      </c>
      <c r="K26" s="25"/>
      <c r="L26" s="25"/>
      <c r="M26" s="256">
        <v>6.5000000000000002E-2</v>
      </c>
      <c r="N26" s="119"/>
    </row>
    <row r="27" spans="2:16" x14ac:dyDescent="0.25">
      <c r="B27" s="22"/>
      <c r="C27" s="20" t="s">
        <v>68</v>
      </c>
      <c r="D27" s="247">
        <v>350</v>
      </c>
      <c r="E27" s="96" t="s">
        <v>104</v>
      </c>
      <c r="F27" s="95"/>
      <c r="G27" s="27"/>
      <c r="H27" s="26"/>
      <c r="I27" s="27"/>
      <c r="N27" s="122"/>
    </row>
    <row r="28" spans="2:16" x14ac:dyDescent="0.25">
      <c r="B28" s="22"/>
      <c r="C28" s="20" t="s">
        <v>66</v>
      </c>
      <c r="D28" s="248">
        <v>1.4999999999999999E-2</v>
      </c>
      <c r="E28" s="20" t="s">
        <v>94</v>
      </c>
      <c r="F28" s="20"/>
      <c r="G28" s="20"/>
      <c r="H28" s="20"/>
      <c r="I28" s="20"/>
      <c r="J28" s="30" t="s">
        <v>105</v>
      </c>
      <c r="K28" s="30"/>
      <c r="N28" s="122"/>
    </row>
    <row r="29" spans="2:16" x14ac:dyDescent="0.25">
      <c r="B29" s="22"/>
      <c r="C29" s="20" t="s">
        <v>130</v>
      </c>
      <c r="D29" s="248">
        <v>0.02</v>
      </c>
      <c r="E29" s="20"/>
      <c r="F29" s="20"/>
      <c r="G29" s="27"/>
      <c r="H29" s="26"/>
      <c r="I29" s="27"/>
      <c r="J29" s="12" t="s">
        <v>106</v>
      </c>
      <c r="M29" s="258">
        <f>H15</f>
        <v>42277</v>
      </c>
      <c r="N29" s="122"/>
      <c r="P29" s="137"/>
    </row>
    <row r="30" spans="2:16" x14ac:dyDescent="0.25">
      <c r="B30" s="22"/>
      <c r="C30" s="20" t="s">
        <v>131</v>
      </c>
      <c r="D30" s="248">
        <v>0.03</v>
      </c>
      <c r="E30" s="20"/>
      <c r="F30" s="20"/>
      <c r="G30" s="20"/>
      <c r="H30" s="20"/>
      <c r="I30" s="20"/>
      <c r="J30" s="20" t="s">
        <v>139</v>
      </c>
      <c r="M30" s="259">
        <f>Annual!E9/0.065*1000</f>
        <v>5845769.1948307715</v>
      </c>
      <c r="P30" s="137"/>
    </row>
    <row r="31" spans="2:16" x14ac:dyDescent="0.25">
      <c r="B31" s="7"/>
      <c r="C31" s="20" t="s">
        <v>163</v>
      </c>
      <c r="D31" s="249">
        <v>0.2</v>
      </c>
      <c r="E31" s="30"/>
      <c r="F31" s="31"/>
      <c r="G31" s="32"/>
      <c r="H31" s="31"/>
      <c r="I31" s="20"/>
      <c r="J31" s="12" t="s">
        <v>107</v>
      </c>
      <c r="M31" s="260">
        <v>0.75</v>
      </c>
      <c r="N31" s="122"/>
    </row>
    <row r="32" spans="2:16" x14ac:dyDescent="0.25">
      <c r="B32" s="29"/>
      <c r="C32" s="20" t="s">
        <v>170</v>
      </c>
      <c r="D32" s="248">
        <v>0.15</v>
      </c>
      <c r="E32" s="12"/>
      <c r="F32" s="20"/>
      <c r="G32" s="20"/>
      <c r="H32" s="20"/>
      <c r="I32" s="31"/>
      <c r="J32" s="20" t="s">
        <v>136</v>
      </c>
      <c r="M32" s="261">
        <v>30</v>
      </c>
      <c r="N32" s="13"/>
    </row>
    <row r="33" spans="2:14" x14ac:dyDescent="0.25">
      <c r="B33" s="29"/>
      <c r="C33" s="20"/>
      <c r="D33" s="47"/>
      <c r="E33" s="12"/>
      <c r="F33" s="20"/>
      <c r="G33" s="20"/>
      <c r="H33" s="20"/>
      <c r="I33" s="31"/>
      <c r="J33" s="20" t="s">
        <v>108</v>
      </c>
      <c r="M33" s="262">
        <v>5.5E-2</v>
      </c>
      <c r="N33" s="13"/>
    </row>
    <row r="34" spans="2:14" x14ac:dyDescent="0.25">
      <c r="B34" s="29"/>
      <c r="C34" s="20"/>
      <c r="D34" s="47"/>
      <c r="E34" s="12"/>
      <c r="F34" s="20"/>
      <c r="G34" s="20"/>
      <c r="H34" s="20"/>
      <c r="I34" s="31"/>
      <c r="J34" s="12" t="s">
        <v>132</v>
      </c>
      <c r="L34" s="12"/>
      <c r="M34" s="263">
        <v>1.4999999999999999E-2</v>
      </c>
      <c r="N34" s="13"/>
    </row>
    <row r="35" spans="2:14" x14ac:dyDescent="0.25">
      <c r="B35" s="7"/>
      <c r="E35" s="12"/>
      <c r="F35" s="12"/>
      <c r="G35" s="12"/>
      <c r="H35" s="12"/>
      <c r="I35" s="20"/>
      <c r="J35" s="12" t="s">
        <v>133</v>
      </c>
      <c r="L35" s="12"/>
      <c r="M35" s="263" t="s">
        <v>100</v>
      </c>
      <c r="N35" s="13"/>
    </row>
    <row r="36" spans="2:14" x14ac:dyDescent="0.25">
      <c r="B36" s="7"/>
      <c r="E36" s="12"/>
      <c r="F36" s="12"/>
      <c r="G36" s="12"/>
      <c r="H36" s="12"/>
      <c r="I36" s="12"/>
      <c r="J36" s="20" t="s">
        <v>134</v>
      </c>
      <c r="L36" s="12"/>
      <c r="M36" s="127">
        <f>IF(M35=C105,-PMT(M33/12,M32*12,1),-PMT(M33,M32,1))</f>
        <v>5.6778900134700286E-3</v>
      </c>
      <c r="N36" s="13"/>
    </row>
    <row r="37" spans="2:14" x14ac:dyDescent="0.25">
      <c r="B37" s="7"/>
      <c r="E37" s="12"/>
      <c r="F37" s="12"/>
      <c r="G37" s="12"/>
      <c r="H37" s="12"/>
      <c r="I37" s="12"/>
      <c r="J37" s="12"/>
      <c r="K37" s="12"/>
      <c r="L37" s="12"/>
      <c r="M37" s="12"/>
      <c r="N37" s="13"/>
    </row>
    <row r="38" spans="2:14" x14ac:dyDescent="0.25">
      <c r="B38" s="15" t="s">
        <v>113</v>
      </c>
      <c r="C38" s="3"/>
      <c r="D38" s="98"/>
      <c r="E38" s="3"/>
      <c r="F38" s="3"/>
      <c r="G38" s="3"/>
      <c r="H38" s="3"/>
      <c r="I38" s="3"/>
      <c r="J38" s="3"/>
      <c r="K38" s="3"/>
      <c r="L38" s="3"/>
      <c r="M38" s="3"/>
      <c r="N38" s="123"/>
    </row>
    <row r="39" spans="2:14" x14ac:dyDescent="0.25">
      <c r="B39" s="7"/>
      <c r="C39" s="8" t="s">
        <v>115</v>
      </c>
      <c r="D39" s="38"/>
      <c r="E39" s="12"/>
      <c r="F39" s="12"/>
      <c r="G39" s="12"/>
      <c r="H39" s="12"/>
      <c r="I39" s="12"/>
      <c r="J39" s="12"/>
      <c r="K39" s="12"/>
      <c r="L39" s="12"/>
      <c r="M39" s="12"/>
      <c r="N39" s="13"/>
    </row>
    <row r="40" spans="2:14" x14ac:dyDescent="0.25">
      <c r="B40" s="11"/>
      <c r="C40" s="12" t="s">
        <v>114</v>
      </c>
      <c r="D40" s="264">
        <v>600000</v>
      </c>
      <c r="E40" s="12"/>
      <c r="F40" s="12"/>
      <c r="G40" s="12"/>
      <c r="H40" s="12"/>
      <c r="I40" s="12"/>
      <c r="J40" s="30" t="s">
        <v>69</v>
      </c>
      <c r="K40" s="20"/>
      <c r="L40" s="36"/>
      <c r="M40" s="20"/>
      <c r="N40" s="124"/>
    </row>
    <row r="41" spans="2:14" x14ac:dyDescent="0.25">
      <c r="B41" s="7"/>
      <c r="C41" s="12" t="s">
        <v>22</v>
      </c>
      <c r="D41" s="263">
        <v>1.4999999999999999E-2</v>
      </c>
      <c r="E41" s="12" t="s">
        <v>23</v>
      </c>
      <c r="F41" s="12"/>
      <c r="G41" s="12"/>
      <c r="H41" s="12"/>
      <c r="I41" s="12"/>
      <c r="J41" s="30"/>
      <c r="K41" s="20"/>
      <c r="L41" s="36"/>
      <c r="M41" s="20"/>
      <c r="N41" s="124"/>
    </row>
    <row r="42" spans="2:14" x14ac:dyDescent="0.25">
      <c r="B42" s="7"/>
      <c r="C42" s="12"/>
      <c r="D42" s="50"/>
      <c r="E42" s="12"/>
      <c r="F42" s="12"/>
      <c r="G42" s="12"/>
      <c r="H42" s="12"/>
      <c r="I42" s="12"/>
      <c r="J42" s="12" t="s">
        <v>70</v>
      </c>
      <c r="K42" s="12"/>
      <c r="L42" s="12"/>
      <c r="M42" s="268">
        <f>H12</f>
        <v>41639</v>
      </c>
      <c r="N42" s="269"/>
    </row>
    <row r="43" spans="2:14" x14ac:dyDescent="0.25">
      <c r="B43" s="19"/>
      <c r="C43" s="8" t="s">
        <v>25</v>
      </c>
      <c r="D43" s="49"/>
      <c r="E43" s="40"/>
      <c r="F43" s="40"/>
      <c r="G43" s="12"/>
      <c r="H43" s="12"/>
      <c r="I43" s="12"/>
      <c r="J43" s="12" t="s">
        <v>71</v>
      </c>
      <c r="K43" s="12"/>
      <c r="L43" s="12"/>
      <c r="M43" s="270">
        <v>1</v>
      </c>
      <c r="N43" s="271"/>
    </row>
    <row r="44" spans="2:14" x14ac:dyDescent="0.25">
      <c r="B44" s="11"/>
      <c r="C44" s="12" t="s">
        <v>9</v>
      </c>
      <c r="D44" s="265">
        <v>0.5</v>
      </c>
      <c r="E44" s="12" t="s">
        <v>11</v>
      </c>
      <c r="F44" s="12"/>
      <c r="G44" s="12"/>
      <c r="H44" s="12"/>
      <c r="I44" s="12"/>
      <c r="J44" s="20" t="s">
        <v>72</v>
      </c>
      <c r="K44" s="12"/>
      <c r="L44" s="12"/>
      <c r="M44" s="272">
        <v>0.08</v>
      </c>
      <c r="N44" s="273"/>
    </row>
    <row r="45" spans="2:14" x14ac:dyDescent="0.25">
      <c r="B45" s="7"/>
      <c r="C45" s="12" t="s">
        <v>16</v>
      </c>
      <c r="D45" s="265">
        <v>2500</v>
      </c>
      <c r="E45" s="12" t="s">
        <v>95</v>
      </c>
      <c r="F45" s="12"/>
      <c r="G45" s="12"/>
      <c r="H45" s="12"/>
      <c r="I45" s="12"/>
      <c r="J45" s="20" t="s">
        <v>124</v>
      </c>
      <c r="K45" s="12"/>
      <c r="L45" s="12"/>
      <c r="M45" s="272">
        <v>0</v>
      </c>
      <c r="N45" s="273"/>
    </row>
    <row r="46" spans="2:14" x14ac:dyDescent="0.25">
      <c r="B46" s="7"/>
      <c r="C46" s="12" t="s">
        <v>17</v>
      </c>
      <c r="D46" s="265">
        <v>55</v>
      </c>
      <c r="E46" s="12" t="s">
        <v>11</v>
      </c>
      <c r="F46" s="12"/>
      <c r="G46" s="12"/>
      <c r="H46" s="12"/>
      <c r="I46" s="12"/>
      <c r="J46" s="12" t="s">
        <v>119</v>
      </c>
      <c r="K46" s="12"/>
      <c r="L46" s="12"/>
      <c r="M46" s="274" t="s">
        <v>121</v>
      </c>
      <c r="N46" s="275"/>
    </row>
    <row r="47" spans="2:14" x14ac:dyDescent="0.25">
      <c r="B47" s="19"/>
      <c r="C47" s="20" t="s">
        <v>5</v>
      </c>
      <c r="D47" s="260">
        <v>0.03</v>
      </c>
      <c r="E47" s="12" t="s">
        <v>18</v>
      </c>
      <c r="F47" s="12"/>
      <c r="G47" s="12"/>
      <c r="H47" s="12"/>
      <c r="I47" s="12"/>
      <c r="J47" s="12"/>
      <c r="K47" s="12"/>
      <c r="L47" s="12"/>
      <c r="M47" s="12"/>
      <c r="N47" s="13"/>
    </row>
    <row r="48" spans="2:14" x14ac:dyDescent="0.25">
      <c r="B48" s="7"/>
      <c r="C48" s="20" t="s">
        <v>19</v>
      </c>
      <c r="D48" s="260">
        <v>0.05</v>
      </c>
      <c r="E48" s="12" t="s">
        <v>20</v>
      </c>
      <c r="F48" s="12"/>
      <c r="G48" s="12"/>
      <c r="H48" s="12"/>
      <c r="I48" s="12"/>
      <c r="J48" s="12"/>
      <c r="K48" s="12"/>
      <c r="L48" s="12"/>
      <c r="M48" s="12"/>
      <c r="N48" s="13"/>
    </row>
    <row r="49" spans="2:14" x14ac:dyDescent="0.25">
      <c r="B49" s="7"/>
      <c r="C49" s="12"/>
      <c r="D49" s="50"/>
      <c r="E49" s="12"/>
      <c r="F49" s="12"/>
      <c r="G49" s="12"/>
      <c r="H49" s="12"/>
      <c r="I49" s="12"/>
      <c r="J49" s="12"/>
      <c r="K49" s="12"/>
      <c r="L49" s="12"/>
      <c r="M49" s="12"/>
      <c r="N49" s="13"/>
    </row>
    <row r="50" spans="2:14" x14ac:dyDescent="0.25">
      <c r="B50" s="19"/>
      <c r="C50" s="8" t="s">
        <v>27</v>
      </c>
      <c r="D50" s="51"/>
      <c r="E50" s="12"/>
      <c r="F50" s="12"/>
      <c r="G50" s="12"/>
      <c r="H50" s="12"/>
      <c r="I50" s="12"/>
      <c r="J50" s="12"/>
      <c r="K50" s="12"/>
      <c r="L50" s="12"/>
      <c r="M50" s="12"/>
      <c r="N50" s="13"/>
    </row>
    <row r="51" spans="2:14" x14ac:dyDescent="0.25">
      <c r="B51" s="11"/>
      <c r="C51" s="12" t="s">
        <v>28</v>
      </c>
      <c r="D51" s="260">
        <v>0.04</v>
      </c>
      <c r="E51" s="12" t="s">
        <v>20</v>
      </c>
      <c r="F51" s="12"/>
      <c r="G51" s="12"/>
      <c r="H51" s="12"/>
      <c r="I51" s="12"/>
      <c r="J51" s="12"/>
      <c r="K51" s="12"/>
      <c r="L51" s="12"/>
      <c r="M51" s="12"/>
      <c r="N51" s="13"/>
    </row>
    <row r="52" spans="2:14" x14ac:dyDescent="0.25">
      <c r="B52" s="7"/>
      <c r="C52" s="12" t="s">
        <v>29</v>
      </c>
      <c r="D52" s="265">
        <v>20000</v>
      </c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x14ac:dyDescent="0.25">
      <c r="B53" s="7"/>
      <c r="C53" s="12" t="s">
        <v>30</v>
      </c>
      <c r="D53" s="266">
        <f>5000000*0.01</f>
        <v>50000</v>
      </c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x14ac:dyDescent="0.25">
      <c r="B54" s="19"/>
      <c r="C54" s="20" t="s">
        <v>31</v>
      </c>
      <c r="D54" s="266">
        <v>12000</v>
      </c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5">
      <c r="B55" s="7"/>
      <c r="C55" s="20" t="s">
        <v>32</v>
      </c>
      <c r="D55" s="260">
        <v>0.01</v>
      </c>
      <c r="E55" s="12" t="s">
        <v>220</v>
      </c>
      <c r="F55" s="12"/>
      <c r="G55" s="12"/>
      <c r="H55" s="12"/>
      <c r="I55" s="12"/>
      <c r="J55" s="12"/>
      <c r="K55" s="12"/>
      <c r="L55" s="12"/>
      <c r="M55" s="12"/>
      <c r="N55" s="13"/>
    </row>
    <row r="56" spans="2:14" x14ac:dyDescent="0.25">
      <c r="B56" s="7"/>
      <c r="C56" s="20" t="s">
        <v>33</v>
      </c>
      <c r="D56" s="264">
        <f>D40*0.045</f>
        <v>27000</v>
      </c>
      <c r="E56" s="12"/>
      <c r="F56" s="12"/>
      <c r="G56" s="12"/>
      <c r="H56" s="12"/>
      <c r="I56" s="12"/>
      <c r="J56" s="12"/>
      <c r="K56" s="12"/>
      <c r="L56" s="12"/>
      <c r="M56" s="12"/>
      <c r="N56" s="13"/>
    </row>
    <row r="57" spans="2:14" x14ac:dyDescent="0.25">
      <c r="B57" s="7"/>
      <c r="C57" s="20" t="s">
        <v>34</v>
      </c>
      <c r="D57" s="266">
        <v>15000</v>
      </c>
      <c r="E57" s="12"/>
      <c r="F57" s="12"/>
      <c r="G57" s="12"/>
      <c r="H57" s="12"/>
      <c r="I57" s="12"/>
      <c r="J57" s="12"/>
      <c r="K57" s="12"/>
      <c r="L57" s="12"/>
      <c r="M57" s="12"/>
      <c r="N57" s="13"/>
    </row>
    <row r="58" spans="2:14" x14ac:dyDescent="0.25">
      <c r="B58" s="19"/>
      <c r="C58" s="20" t="s">
        <v>35</v>
      </c>
      <c r="D58" s="266">
        <v>250</v>
      </c>
      <c r="E58" s="20" t="s">
        <v>221</v>
      </c>
      <c r="F58" s="12"/>
      <c r="G58" s="12"/>
      <c r="H58" s="12"/>
      <c r="I58" s="12"/>
      <c r="J58" s="12"/>
      <c r="K58" s="12"/>
      <c r="L58" s="12"/>
      <c r="M58" s="12"/>
      <c r="N58" s="13"/>
    </row>
    <row r="59" spans="2:14" x14ac:dyDescent="0.25">
      <c r="B59" s="7"/>
      <c r="C59" s="20" t="s">
        <v>36</v>
      </c>
      <c r="D59" s="264">
        <v>0</v>
      </c>
      <c r="E59" s="20"/>
      <c r="F59" s="12"/>
      <c r="G59" s="12"/>
      <c r="H59" s="12"/>
      <c r="I59" s="12"/>
      <c r="J59" s="12"/>
      <c r="K59" s="12"/>
      <c r="L59" s="12"/>
      <c r="M59" s="12"/>
      <c r="N59" s="13"/>
    </row>
    <row r="60" spans="2:14" x14ac:dyDescent="0.25">
      <c r="B60" s="7"/>
      <c r="C60" s="20" t="s">
        <v>37</v>
      </c>
      <c r="D60" s="264">
        <v>75000</v>
      </c>
      <c r="E60" s="20"/>
      <c r="F60" s="12"/>
      <c r="G60" s="12"/>
      <c r="H60" s="12"/>
      <c r="I60" s="12"/>
      <c r="J60" s="12"/>
      <c r="K60" s="12"/>
      <c r="L60" s="12"/>
      <c r="M60" s="12"/>
      <c r="N60" s="13"/>
    </row>
    <row r="61" spans="2:14" x14ac:dyDescent="0.25">
      <c r="B61" s="7"/>
      <c r="C61" s="21" t="s">
        <v>38</v>
      </c>
      <c r="D61" s="264">
        <v>225000</v>
      </c>
      <c r="E61" s="21"/>
      <c r="F61" s="8"/>
      <c r="G61" s="12"/>
      <c r="H61" s="12"/>
      <c r="I61" s="12"/>
      <c r="J61" s="12"/>
      <c r="K61" s="12"/>
      <c r="L61" s="12"/>
      <c r="M61" s="12"/>
      <c r="N61" s="13"/>
    </row>
    <row r="62" spans="2:14" x14ac:dyDescent="0.25">
      <c r="B62" s="11"/>
      <c r="C62" s="20" t="s">
        <v>39</v>
      </c>
      <c r="D62" s="267">
        <v>0.1</v>
      </c>
      <c r="E62" s="12" t="s">
        <v>44</v>
      </c>
      <c r="F62" s="12"/>
      <c r="G62" s="12"/>
      <c r="H62" s="12"/>
      <c r="I62" s="12"/>
      <c r="J62" s="12"/>
      <c r="K62" s="12"/>
      <c r="L62" s="12"/>
      <c r="M62" s="12"/>
      <c r="N62" s="13"/>
    </row>
    <row r="63" spans="2:14" ht="15.75" thickBot="1" x14ac:dyDescent="0.3">
      <c r="B63" s="12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37"/>
    </row>
    <row r="64" spans="2:14" ht="15.75" thickTop="1" x14ac:dyDescent="0.25">
      <c r="J64" s="12"/>
      <c r="K64" s="12"/>
      <c r="L64" s="12"/>
      <c r="M64" s="12"/>
      <c r="N64" s="12"/>
    </row>
    <row r="65" spans="10:14" x14ac:dyDescent="0.25">
      <c r="J65" s="12"/>
      <c r="K65" s="12"/>
      <c r="L65" s="12"/>
      <c r="M65" s="12"/>
      <c r="N65" s="12"/>
    </row>
    <row r="66" spans="10:14" x14ac:dyDescent="0.25">
      <c r="J66" s="12"/>
      <c r="K66" s="12"/>
      <c r="L66" s="12"/>
      <c r="M66" s="12"/>
      <c r="N66" s="12"/>
    </row>
    <row r="90" spans="1:3" x14ac:dyDescent="0.25">
      <c r="C90" s="2"/>
    </row>
    <row r="91" spans="1:3" x14ac:dyDescent="0.25">
      <c r="B91" s="2"/>
    </row>
    <row r="92" spans="1:3" x14ac:dyDescent="0.25">
      <c r="C92" s="9" t="s">
        <v>99</v>
      </c>
    </row>
    <row r="93" spans="1:3" x14ac:dyDescent="0.25">
      <c r="A93" s="2" t="s">
        <v>98</v>
      </c>
      <c r="C93" s="9" t="s">
        <v>120</v>
      </c>
    </row>
    <row r="94" spans="1:3" x14ac:dyDescent="0.25">
      <c r="C94" s="9" t="s">
        <v>100</v>
      </c>
    </row>
    <row r="95" spans="1:3" x14ac:dyDescent="0.25">
      <c r="C95" s="9" t="s">
        <v>101</v>
      </c>
    </row>
    <row r="96" spans="1:3" x14ac:dyDescent="0.25">
      <c r="C96" s="9" t="s">
        <v>122</v>
      </c>
    </row>
    <row r="97" spans="3:3" x14ac:dyDescent="0.25">
      <c r="C97" s="9" t="s">
        <v>121</v>
      </c>
    </row>
    <row r="99" spans="3:3" x14ac:dyDescent="0.25">
      <c r="C99" s="9" t="s">
        <v>109</v>
      </c>
    </row>
    <row r="100" spans="3:3" x14ac:dyDescent="0.25">
      <c r="C100" s="9" t="s">
        <v>110</v>
      </c>
    </row>
    <row r="101" spans="3:3" x14ac:dyDescent="0.25">
      <c r="C101" s="9" t="s">
        <v>111</v>
      </c>
    </row>
    <row r="102" spans="3:3" x14ac:dyDescent="0.25">
      <c r="C102" s="9" t="s">
        <v>112</v>
      </c>
    </row>
    <row r="104" spans="3:3" x14ac:dyDescent="0.25">
      <c r="C104" s="9" t="s">
        <v>135</v>
      </c>
    </row>
    <row r="105" spans="3:3" x14ac:dyDescent="0.25">
      <c r="C105" s="9" t="s">
        <v>100</v>
      </c>
    </row>
    <row r="106" spans="3:3" x14ac:dyDescent="0.25">
      <c r="C106" s="9" t="s">
        <v>102</v>
      </c>
    </row>
  </sheetData>
  <mergeCells count="18">
    <mergeCell ref="I2:K2"/>
    <mergeCell ref="I3:K3"/>
    <mergeCell ref="I4:K4"/>
    <mergeCell ref="I5:K5"/>
    <mergeCell ref="B2:D2"/>
    <mergeCell ref="B4:D4"/>
    <mergeCell ref="B5:D5"/>
    <mergeCell ref="B3:D3"/>
    <mergeCell ref="G4:H4"/>
    <mergeCell ref="G2:H2"/>
    <mergeCell ref="G3:H3"/>
    <mergeCell ref="G5:H5"/>
    <mergeCell ref="E2:F2"/>
    <mergeCell ref="M42:N42"/>
    <mergeCell ref="M43:N43"/>
    <mergeCell ref="M44:N44"/>
    <mergeCell ref="M45:N45"/>
    <mergeCell ref="M46:N46"/>
  </mergeCells>
  <dataValidations count="3">
    <dataValidation type="list" allowBlank="1" showInputMessage="1" showErrorMessage="1" sqref="M46">
      <formula1>$C$93:$C$97</formula1>
    </dataValidation>
    <dataValidation type="list" allowBlank="1" showInputMessage="1" showErrorMessage="1" sqref="D7">
      <formula1>$C$100:$C$102</formula1>
    </dataValidation>
    <dataValidation type="list" allowBlank="1" showInputMessage="1" showErrorMessage="1" sqref="M35">
      <formula1>$C$105:$C$106</formula1>
    </dataValidation>
  </dataValidations>
  <pageMargins left="0.7" right="0.7" top="0.75" bottom="0.75" header="0.3" footer="0.3"/>
  <pageSetup scale="6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I45"/>
  <sheetViews>
    <sheetView showGridLines="0" zoomScale="85" zoomScaleNormal="85" workbookViewId="0"/>
  </sheetViews>
  <sheetFormatPr defaultRowHeight="15" x14ac:dyDescent="0.25"/>
  <cols>
    <col min="1" max="1" width="2.85546875" style="9" customWidth="1"/>
    <col min="2" max="2" width="3.28515625" style="9" customWidth="1"/>
    <col min="3" max="3" width="45.28515625" style="9" customWidth="1"/>
    <col min="4" max="4" width="11.28515625" style="9" customWidth="1"/>
    <col min="5" max="5" width="16.5703125" style="9" customWidth="1"/>
    <col min="6" max="6" width="13.42578125" style="9" customWidth="1"/>
    <col min="7" max="7" width="14.85546875" style="9" customWidth="1"/>
    <col min="8" max="8" width="11.140625" style="9" customWidth="1"/>
    <col min="9" max="9" width="9.140625" style="9"/>
    <col min="10" max="10" width="12.5703125" style="9" customWidth="1"/>
    <col min="11" max="16384" width="9.140625" style="9"/>
  </cols>
  <sheetData>
    <row r="1" spans="1:9" ht="15.75" thickBot="1" x14ac:dyDescent="0.3"/>
    <row r="2" spans="1:9" ht="15.75" thickTop="1" x14ac:dyDescent="0.25">
      <c r="B2" s="288" t="str">
        <f>Assumptions!B2</f>
        <v>TRANSIT ORIENTED DEVELOPMENT</v>
      </c>
      <c r="C2" s="289"/>
      <c r="D2" s="277" t="s">
        <v>10</v>
      </c>
      <c r="E2" s="277"/>
      <c r="F2" s="277" t="s">
        <v>15</v>
      </c>
      <c r="G2" s="278"/>
    </row>
    <row r="3" spans="1:9" x14ac:dyDescent="0.25">
      <c r="B3" s="291" t="str">
        <f>Assumptions!B4</f>
        <v>50 Condos</v>
      </c>
      <c r="C3" s="292"/>
      <c r="D3" s="81" t="s">
        <v>13</v>
      </c>
      <c r="E3" s="81" t="s">
        <v>14</v>
      </c>
      <c r="F3" s="304">
        <f>Assumptions!G3</f>
        <v>50</v>
      </c>
      <c r="G3" s="305"/>
    </row>
    <row r="4" spans="1:9" x14ac:dyDescent="0.25">
      <c r="B4" s="300" t="str">
        <f>Assumptions!B5</f>
        <v>Development Costs</v>
      </c>
      <c r="C4" s="301"/>
      <c r="D4" s="85">
        <f>Assumptions!E4</f>
        <v>60000</v>
      </c>
      <c r="E4" s="85">
        <f>Assumptions!F4</f>
        <v>49500</v>
      </c>
      <c r="F4" s="86"/>
      <c r="G4" s="87"/>
      <c r="I4" s="5"/>
    </row>
    <row r="5" spans="1:9" x14ac:dyDescent="0.25">
      <c r="B5" s="7"/>
      <c r="C5" s="12"/>
      <c r="D5" s="12"/>
      <c r="E5" s="283"/>
      <c r="F5" s="283"/>
      <c r="G5" s="284"/>
    </row>
    <row r="6" spans="1:9" ht="15.75" thickBot="1" x14ac:dyDescent="0.3">
      <c r="B6" s="302" t="s">
        <v>26</v>
      </c>
      <c r="C6" s="303"/>
      <c r="D6" s="83"/>
      <c r="E6" s="83" t="s">
        <v>8</v>
      </c>
      <c r="F6" s="83" t="s">
        <v>12</v>
      </c>
      <c r="G6" s="84" t="s">
        <v>7</v>
      </c>
    </row>
    <row r="7" spans="1:9" ht="15.75" thickTop="1" x14ac:dyDescent="0.25">
      <c r="B7" s="7"/>
      <c r="C7" s="12"/>
      <c r="D7" s="12"/>
      <c r="E7" s="40"/>
      <c r="F7" s="40"/>
      <c r="G7" s="74"/>
    </row>
    <row r="8" spans="1:9" x14ac:dyDescent="0.25">
      <c r="B8" s="19" t="s">
        <v>24</v>
      </c>
      <c r="C8" s="17"/>
      <c r="D8" s="12"/>
      <c r="E8" s="40"/>
      <c r="F8" s="40"/>
      <c r="G8" s="74"/>
    </row>
    <row r="9" spans="1:9" x14ac:dyDescent="0.25">
      <c r="B9" s="7"/>
      <c r="C9" s="12" t="s">
        <v>21</v>
      </c>
      <c r="D9" s="12"/>
      <c r="E9" s="54">
        <f>Assumptions!D40</f>
        <v>600000</v>
      </c>
      <c r="F9" s="53">
        <f>E9/E4</f>
        <v>12.121212121212121</v>
      </c>
      <c r="G9" s="70">
        <f>E9/F3</f>
        <v>12000</v>
      </c>
    </row>
    <row r="10" spans="1:9" x14ac:dyDescent="0.25">
      <c r="B10" s="7"/>
      <c r="C10" s="12" t="s">
        <v>22</v>
      </c>
      <c r="D10" s="12"/>
      <c r="E10" s="56">
        <f>Assumptions!D40*Assumptions!D41</f>
        <v>9000</v>
      </c>
      <c r="F10" s="55">
        <f>E10/E4</f>
        <v>0.18181818181818182</v>
      </c>
      <c r="G10" s="71">
        <f>E10/F3</f>
        <v>180</v>
      </c>
    </row>
    <row r="11" spans="1:9" x14ac:dyDescent="0.25">
      <c r="B11" s="7" t="s">
        <v>41</v>
      </c>
      <c r="C11" s="12"/>
      <c r="D11" s="12"/>
      <c r="E11" s="54">
        <f>SUM(E9:E10)</f>
        <v>609000</v>
      </c>
      <c r="F11" s="53">
        <f>SUM(F9:F10)</f>
        <v>12.303030303030303</v>
      </c>
      <c r="G11" s="70">
        <f>SUM(G9:G10)</f>
        <v>12180</v>
      </c>
    </row>
    <row r="12" spans="1:9" x14ac:dyDescent="0.25">
      <c r="B12" s="19"/>
      <c r="C12" s="12"/>
      <c r="D12" s="12"/>
      <c r="E12" s="40"/>
      <c r="F12" s="40"/>
      <c r="G12" s="74"/>
    </row>
    <row r="13" spans="1:9" x14ac:dyDescent="0.25">
      <c r="A13" s="12"/>
      <c r="B13" s="19" t="s">
        <v>25</v>
      </c>
      <c r="C13" s="12"/>
      <c r="D13" s="40"/>
      <c r="E13" s="54"/>
      <c r="F13" s="53"/>
      <c r="G13" s="70"/>
    </row>
    <row r="14" spans="1:9" x14ac:dyDescent="0.25">
      <c r="A14" s="12"/>
      <c r="B14" s="7"/>
      <c r="C14" s="12" t="s">
        <v>9</v>
      </c>
      <c r="D14" s="12"/>
      <c r="E14" s="67">
        <f>Assumptions!D44*Assumptions!$E$4</f>
        <v>30000</v>
      </c>
      <c r="F14" s="65">
        <f>E14/$E$4</f>
        <v>0.60606060606060608</v>
      </c>
      <c r="G14" s="177">
        <f>E14/$F$3</f>
        <v>600</v>
      </c>
    </row>
    <row r="15" spans="1:9" x14ac:dyDescent="0.25">
      <c r="A15" s="12"/>
      <c r="B15" s="7"/>
      <c r="C15" s="12" t="s">
        <v>16</v>
      </c>
      <c r="D15" s="12"/>
      <c r="E15" s="67">
        <f>Assumptions!D45*Assumptions!D22</f>
        <v>150000</v>
      </c>
      <c r="F15" s="65">
        <f t="shared" ref="F15:F18" si="0">E15/$E$4</f>
        <v>3.0303030303030303</v>
      </c>
      <c r="G15" s="177">
        <f t="shared" ref="G15:G18" si="1">E15/$F$3</f>
        <v>3000</v>
      </c>
    </row>
    <row r="16" spans="1:9" x14ac:dyDescent="0.25">
      <c r="A16" s="12"/>
      <c r="B16" s="19"/>
      <c r="C16" s="12" t="s">
        <v>17</v>
      </c>
      <c r="D16" s="12"/>
      <c r="E16" s="67">
        <f>Assumptions!D46*Assumptions!$E$4</f>
        <v>3300000</v>
      </c>
      <c r="F16" s="65">
        <f t="shared" si="0"/>
        <v>66.666666666666671</v>
      </c>
      <c r="G16" s="177">
        <f t="shared" si="1"/>
        <v>66000</v>
      </c>
    </row>
    <row r="17" spans="1:7" x14ac:dyDescent="0.25">
      <c r="A17" s="12"/>
      <c r="B17" s="7"/>
      <c r="C17" s="20" t="s">
        <v>5</v>
      </c>
      <c r="D17" s="12"/>
      <c r="E17" s="67">
        <f>(E16+E15+E14)*Assumptions!D47</f>
        <v>104400</v>
      </c>
      <c r="F17" s="65">
        <f t="shared" si="0"/>
        <v>2.1090909090909089</v>
      </c>
      <c r="G17" s="177">
        <f t="shared" si="1"/>
        <v>2088</v>
      </c>
    </row>
    <row r="18" spans="1:7" x14ac:dyDescent="0.25">
      <c r="A18" s="12"/>
      <c r="B18" s="7"/>
      <c r="C18" s="20" t="s">
        <v>19</v>
      </c>
      <c r="D18" s="12"/>
      <c r="E18" s="68">
        <f>SUM(E14:E17)*Assumptions!D48</f>
        <v>179220</v>
      </c>
      <c r="F18" s="66">
        <f t="shared" si="0"/>
        <v>3.6206060606060606</v>
      </c>
      <c r="G18" s="178">
        <f t="shared" si="1"/>
        <v>3584.4</v>
      </c>
    </row>
    <row r="19" spans="1:7" x14ac:dyDescent="0.25">
      <c r="A19" s="12"/>
      <c r="B19" s="7" t="s">
        <v>40</v>
      </c>
      <c r="C19" s="12"/>
      <c r="D19" s="12"/>
      <c r="E19" s="67">
        <f>SUM(E14:E18)</f>
        <v>3763620</v>
      </c>
      <c r="F19" s="65">
        <f>SUM(F14:F18)</f>
        <v>76.032727272727286</v>
      </c>
      <c r="G19" s="79">
        <f>SUM(G14:G18)</f>
        <v>75272.399999999994</v>
      </c>
    </row>
    <row r="20" spans="1:7" x14ac:dyDescent="0.25">
      <c r="A20" s="12"/>
      <c r="B20" s="19"/>
      <c r="C20" s="12"/>
      <c r="D20" s="12"/>
      <c r="E20" s="40"/>
      <c r="F20" s="40"/>
      <c r="G20" s="74"/>
    </row>
    <row r="21" spans="1:7" x14ac:dyDescent="0.25">
      <c r="A21" s="12"/>
      <c r="B21" s="19" t="s">
        <v>27</v>
      </c>
      <c r="C21" s="12"/>
      <c r="D21" s="12"/>
      <c r="E21" s="54"/>
      <c r="F21" s="53"/>
      <c r="G21" s="70"/>
    </row>
    <row r="22" spans="1:7" x14ac:dyDescent="0.25">
      <c r="A22" s="12"/>
      <c r="B22" s="7"/>
      <c r="C22" s="12" t="s">
        <v>28</v>
      </c>
      <c r="D22" s="12"/>
      <c r="E22" s="54">
        <f>Assumptions!D51*'Development Costs'!E19</f>
        <v>150544.80000000002</v>
      </c>
      <c r="F22" s="53">
        <f>E22/E4</f>
        <v>3.0413090909090914</v>
      </c>
      <c r="G22" s="70">
        <f>E22/F3</f>
        <v>3010.8960000000002</v>
      </c>
    </row>
    <row r="23" spans="1:7" x14ac:dyDescent="0.25">
      <c r="A23" s="12"/>
      <c r="B23" s="7"/>
      <c r="C23" s="12" t="s">
        <v>29</v>
      </c>
      <c r="D23" s="12"/>
      <c r="E23" s="54">
        <f>Assumptions!D52</f>
        <v>20000</v>
      </c>
      <c r="F23" s="53">
        <f>E23/E4</f>
        <v>0.40404040404040403</v>
      </c>
      <c r="G23" s="70">
        <f>E23/F3</f>
        <v>400</v>
      </c>
    </row>
    <row r="24" spans="1:7" x14ac:dyDescent="0.25">
      <c r="A24" s="12"/>
      <c r="B24" s="19"/>
      <c r="C24" s="12" t="s">
        <v>30</v>
      </c>
      <c r="D24" s="12"/>
      <c r="E24" s="54">
        <f>Assumptions!D53</f>
        <v>50000</v>
      </c>
      <c r="F24" s="53">
        <f>E24/E4</f>
        <v>1.0101010101010102</v>
      </c>
      <c r="G24" s="70">
        <f>E24/F3</f>
        <v>1000</v>
      </c>
    </row>
    <row r="25" spans="1:7" x14ac:dyDescent="0.25">
      <c r="A25" s="12"/>
      <c r="B25" s="7"/>
      <c r="C25" s="20" t="s">
        <v>31</v>
      </c>
      <c r="D25" s="12"/>
      <c r="E25" s="54">
        <f>Assumptions!D54</f>
        <v>12000</v>
      </c>
      <c r="F25" s="53">
        <f>E25/E4</f>
        <v>0.24242424242424243</v>
      </c>
      <c r="G25" s="70">
        <f>E25/F3</f>
        <v>240</v>
      </c>
    </row>
    <row r="26" spans="1:7" x14ac:dyDescent="0.25">
      <c r="A26" s="12"/>
      <c r="B26" s="7"/>
      <c r="C26" s="20" t="s">
        <v>32</v>
      </c>
      <c r="D26" s="12"/>
      <c r="E26" s="54">
        <f>Assumptions!D55*Assumptions!D40</f>
        <v>6000</v>
      </c>
      <c r="F26" s="53">
        <f>E26/E4</f>
        <v>0.12121212121212122</v>
      </c>
      <c r="G26" s="70">
        <f>E26/F3</f>
        <v>120</v>
      </c>
    </row>
    <row r="27" spans="1:7" x14ac:dyDescent="0.25">
      <c r="A27" s="12"/>
      <c r="B27" s="7"/>
      <c r="C27" s="20" t="s">
        <v>33</v>
      </c>
      <c r="D27" s="12"/>
      <c r="E27" s="54">
        <f>Assumptions!D56</f>
        <v>27000</v>
      </c>
      <c r="F27" s="53">
        <f>E27/E4</f>
        <v>0.54545454545454541</v>
      </c>
      <c r="G27" s="70">
        <f>E27/F3</f>
        <v>540</v>
      </c>
    </row>
    <row r="28" spans="1:7" x14ac:dyDescent="0.25">
      <c r="A28" s="12"/>
      <c r="B28" s="19"/>
      <c r="C28" s="20" t="s">
        <v>34</v>
      </c>
      <c r="D28" s="12"/>
      <c r="E28" s="54">
        <f>Assumptions!D57</f>
        <v>15000</v>
      </c>
      <c r="F28" s="53">
        <f>E28/E4</f>
        <v>0.30303030303030304</v>
      </c>
      <c r="G28" s="70">
        <f>E28/F3</f>
        <v>300</v>
      </c>
    </row>
    <row r="29" spans="1:7" x14ac:dyDescent="0.25">
      <c r="A29" s="12"/>
      <c r="B29" s="7"/>
      <c r="C29" s="20" t="s">
        <v>35</v>
      </c>
      <c r="D29" s="12"/>
      <c r="E29" s="54">
        <f>Assumptions!D58*Assumptions!G3</f>
        <v>12500</v>
      </c>
      <c r="F29" s="53">
        <f>E29/E4</f>
        <v>0.25252525252525254</v>
      </c>
      <c r="G29" s="70">
        <f>E29/F3</f>
        <v>250</v>
      </c>
    </row>
    <row r="30" spans="1:7" x14ac:dyDescent="0.25">
      <c r="A30" s="12"/>
      <c r="B30" s="7"/>
      <c r="C30" s="20" t="s">
        <v>36</v>
      </c>
      <c r="D30" s="12"/>
      <c r="E30" s="54">
        <f>Assumptions!D59</f>
        <v>0</v>
      </c>
      <c r="F30" s="53">
        <v>0</v>
      </c>
      <c r="G30" s="70">
        <v>0</v>
      </c>
    </row>
    <row r="31" spans="1:7" x14ac:dyDescent="0.25">
      <c r="A31" s="12"/>
      <c r="B31" s="7"/>
      <c r="C31" s="20" t="s">
        <v>37</v>
      </c>
      <c r="D31" s="12"/>
      <c r="E31" s="54">
        <f>Assumptions!D60</f>
        <v>75000</v>
      </c>
      <c r="F31" s="53">
        <f>E31/E4</f>
        <v>1.5151515151515151</v>
      </c>
      <c r="G31" s="70">
        <f>E31/F3</f>
        <v>1500</v>
      </c>
    </row>
    <row r="32" spans="1:7" x14ac:dyDescent="0.25">
      <c r="A32" s="12"/>
      <c r="B32" s="11"/>
      <c r="C32" s="21" t="s">
        <v>38</v>
      </c>
      <c r="D32" s="8"/>
      <c r="E32" s="58">
        <f>Assumptions!D61</f>
        <v>225000</v>
      </c>
      <c r="F32" s="57">
        <f>E32/E4</f>
        <v>4.5454545454545459</v>
      </c>
      <c r="G32" s="72">
        <f>E32/F3</f>
        <v>4500</v>
      </c>
    </row>
    <row r="33" spans="1:7" x14ac:dyDescent="0.25">
      <c r="A33" s="12"/>
      <c r="B33" s="7"/>
      <c r="C33" s="20" t="s">
        <v>39</v>
      </c>
      <c r="D33" s="12"/>
      <c r="E33" s="59">
        <f>SUM(E22:E31)*Assumptions!D62</f>
        <v>36804.480000000003</v>
      </c>
      <c r="F33" s="59">
        <f>E33/E4</f>
        <v>0.74352484848484857</v>
      </c>
      <c r="G33" s="73">
        <f>E33/F3</f>
        <v>736.08960000000002</v>
      </c>
    </row>
    <row r="34" spans="1:7" x14ac:dyDescent="0.25">
      <c r="B34" s="7" t="s">
        <v>42</v>
      </c>
      <c r="C34" s="12"/>
      <c r="D34" s="12"/>
      <c r="E34" s="54">
        <f>SUM(E22:E33)</f>
        <v>629849.28</v>
      </c>
      <c r="F34" s="53">
        <f t="shared" ref="F34:G34" si="2">SUM(F22:F33)</f>
        <v>12.724227878787879</v>
      </c>
      <c r="G34" s="70">
        <f t="shared" si="2"/>
        <v>12596.9856</v>
      </c>
    </row>
    <row r="35" spans="1:7" x14ac:dyDescent="0.25">
      <c r="B35" s="7"/>
      <c r="C35" s="12"/>
      <c r="D35" s="12"/>
      <c r="E35" s="40"/>
      <c r="F35" s="40"/>
      <c r="G35" s="74"/>
    </row>
    <row r="36" spans="1:7" x14ac:dyDescent="0.25">
      <c r="B36" s="11" t="s">
        <v>43</v>
      </c>
      <c r="C36" s="8"/>
      <c r="D36" s="8"/>
      <c r="E36" s="75">
        <f>SUM(E11,E19,E34)</f>
        <v>5002469.28</v>
      </c>
      <c r="F36" s="76">
        <f>SUM(F11,F19,F34)</f>
        <v>101.05998545454545</v>
      </c>
      <c r="G36" s="77">
        <f>SUM(G11,G19,G34)</f>
        <v>100049.38559999999</v>
      </c>
    </row>
    <row r="37" spans="1:7" x14ac:dyDescent="0.25">
      <c r="B37" s="7"/>
      <c r="C37" s="12"/>
      <c r="D37" s="12"/>
      <c r="E37" s="40"/>
      <c r="F37" s="40"/>
      <c r="G37" s="74"/>
    </row>
    <row r="38" spans="1:7" x14ac:dyDescent="0.25">
      <c r="B38" s="19" t="s">
        <v>46</v>
      </c>
      <c r="C38" s="12"/>
      <c r="D38" s="12"/>
      <c r="E38" s="40"/>
      <c r="F38" s="40"/>
      <c r="G38" s="74"/>
    </row>
    <row r="39" spans="1:7" x14ac:dyDescent="0.25">
      <c r="B39" s="7"/>
      <c r="C39" s="12" t="s">
        <v>45</v>
      </c>
      <c r="D39" s="12"/>
      <c r="E39" s="61">
        <f>E36*Assumptions!M43*Assumptions!M45</f>
        <v>0</v>
      </c>
      <c r="F39" s="60">
        <f>E39/E4</f>
        <v>0</v>
      </c>
      <c r="G39" s="80">
        <f>E39/F3</f>
        <v>0</v>
      </c>
    </row>
    <row r="40" spans="1:7" x14ac:dyDescent="0.25">
      <c r="B40" s="7"/>
      <c r="C40" s="12" t="s">
        <v>118</v>
      </c>
      <c r="D40" s="12"/>
      <c r="E40" s="63">
        <f>((E36*Assumptions!M43)*(Assumptions!M44))*(Assumptions!D13/12)</f>
        <v>400197.54240000003</v>
      </c>
      <c r="F40" s="62">
        <f>E40/E4</f>
        <v>8.0847988363636372</v>
      </c>
      <c r="G40" s="103">
        <f>E40/F3</f>
        <v>8003.9508480000004</v>
      </c>
    </row>
    <row r="41" spans="1:7" x14ac:dyDescent="0.25">
      <c r="B41" s="7" t="s">
        <v>47</v>
      </c>
      <c r="C41" s="12"/>
      <c r="D41" s="12"/>
      <c r="E41" s="61">
        <f>SUM(E39:E40)</f>
        <v>400197.54240000003</v>
      </c>
      <c r="F41" s="60">
        <f>SUM(F39:F40)</f>
        <v>8.0847988363636372</v>
      </c>
      <c r="G41" s="80">
        <f>SUM(G39:G40)</f>
        <v>8003.9508480000004</v>
      </c>
    </row>
    <row r="42" spans="1:7" x14ac:dyDescent="0.25">
      <c r="B42" s="7"/>
      <c r="C42" s="12"/>
      <c r="D42" s="12"/>
      <c r="E42" s="40"/>
      <c r="F42" s="40"/>
      <c r="G42" s="74"/>
    </row>
    <row r="43" spans="1:7" x14ac:dyDescent="0.25">
      <c r="B43" s="11" t="s">
        <v>48</v>
      </c>
      <c r="C43" s="8"/>
      <c r="D43" s="8"/>
      <c r="E43" s="75">
        <f>SUM(E36,E41)</f>
        <v>5402666.8223999999</v>
      </c>
      <c r="F43" s="76">
        <f>SUM(F36,F41)</f>
        <v>109.14478429090909</v>
      </c>
      <c r="G43" s="77">
        <f>SUM(G36,G41)</f>
        <v>108053.33644799999</v>
      </c>
    </row>
    <row r="44" spans="1:7" ht="15.75" thickBot="1" x14ac:dyDescent="0.3">
      <c r="B44" s="42"/>
      <c r="C44" s="14"/>
      <c r="D44" s="14"/>
      <c r="E44" s="112"/>
      <c r="F44" s="112"/>
      <c r="G44" s="113"/>
    </row>
    <row r="45" spans="1:7" ht="15.75" thickTop="1" x14ac:dyDescent="0.25"/>
  </sheetData>
  <mergeCells count="8">
    <mergeCell ref="E5:G5"/>
    <mergeCell ref="B2:C2"/>
    <mergeCell ref="B3:C3"/>
    <mergeCell ref="B4:C4"/>
    <mergeCell ref="B6:C6"/>
    <mergeCell ref="F3:G3"/>
    <mergeCell ref="F2:G2"/>
    <mergeCell ref="D2:E2"/>
  </mergeCells>
  <pageMargins left="0.7" right="0.7" top="0.75" bottom="0.75" header="0.3" footer="0.3"/>
  <pageSetup scale="7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M56"/>
  <sheetViews>
    <sheetView showGridLines="0" tabSelected="1" zoomScale="85" zoomScaleNormal="85" workbookViewId="0">
      <selection activeCell="C14" sqref="C14"/>
    </sheetView>
  </sheetViews>
  <sheetFormatPr defaultRowHeight="15" x14ac:dyDescent="0.25"/>
  <cols>
    <col min="1" max="1" width="2.85546875" style="9" customWidth="1"/>
    <col min="2" max="2" width="28" style="9" customWidth="1"/>
    <col min="3" max="3" width="14.85546875" style="1" customWidth="1"/>
    <col min="4" max="4" width="4" style="1" customWidth="1"/>
    <col min="5" max="5" width="9" style="1" customWidth="1"/>
    <col min="6" max="6" width="14.5703125" style="1" customWidth="1"/>
    <col min="7" max="7" width="12.5703125" style="1" customWidth="1"/>
    <col min="8" max="8" width="11.28515625" style="1" customWidth="1"/>
    <col min="9" max="9" width="12.85546875" style="9" customWidth="1"/>
    <col min="10" max="10" width="11" style="9" bestFit="1" customWidth="1"/>
    <col min="11" max="11" width="7.42578125" style="9" bestFit="1" customWidth="1"/>
    <col min="12" max="12" width="7.7109375" style="9" bestFit="1" customWidth="1"/>
    <col min="13" max="13" width="16.5703125" style="9" bestFit="1" customWidth="1"/>
    <col min="14" max="14" width="9.140625" style="9"/>
    <col min="15" max="15" width="10.140625" style="9" bestFit="1" customWidth="1"/>
    <col min="16" max="16384" width="9.140625" style="9"/>
  </cols>
  <sheetData>
    <row r="1" spans="2:13" ht="15.75" thickBot="1" x14ac:dyDescent="0.3"/>
    <row r="2" spans="2:13" ht="15.75" thickTop="1" x14ac:dyDescent="0.25">
      <c r="B2" s="288" t="str">
        <f>Assumptions!B2</f>
        <v>TRANSIT ORIENTED DEVELOPMENT</v>
      </c>
      <c r="C2" s="289"/>
      <c r="D2" s="277" t="s">
        <v>10</v>
      </c>
      <c r="E2" s="277"/>
      <c r="F2" s="277"/>
      <c r="G2" s="277" t="s">
        <v>123</v>
      </c>
      <c r="H2" s="277"/>
      <c r="I2" s="278"/>
    </row>
    <row r="3" spans="2:13" x14ac:dyDescent="0.25">
      <c r="B3" s="291" t="str">
        <f>Assumptions!B4</f>
        <v>50 Condos</v>
      </c>
      <c r="C3" s="292"/>
      <c r="D3" s="280" t="s">
        <v>13</v>
      </c>
      <c r="E3" s="280"/>
      <c r="F3" s="81" t="s">
        <v>14</v>
      </c>
      <c r="G3" s="304">
        <f>Assumptions!G3</f>
        <v>50</v>
      </c>
      <c r="H3" s="304"/>
      <c r="I3" s="305"/>
    </row>
    <row r="4" spans="2:13" ht="15.75" thickBot="1" x14ac:dyDescent="0.3">
      <c r="B4" s="306" t="str">
        <f>Assumptions!B5</f>
        <v>Development Costs</v>
      </c>
      <c r="C4" s="307"/>
      <c r="D4" s="308">
        <f>Assumptions!E4</f>
        <v>60000</v>
      </c>
      <c r="E4" s="308"/>
      <c r="F4" s="101">
        <f>Assumptions!F4</f>
        <v>49500</v>
      </c>
      <c r="G4" s="141"/>
      <c r="H4" s="112"/>
      <c r="I4" s="37"/>
    </row>
    <row r="5" spans="2:13" ht="15.75" thickTop="1" x14ac:dyDescent="0.25">
      <c r="B5" s="176"/>
      <c r="C5" s="176"/>
      <c r="D5" s="175"/>
      <c r="E5" s="165"/>
      <c r="F5" s="165"/>
      <c r="G5" s="166"/>
      <c r="H5" s="78"/>
      <c r="I5" s="69"/>
    </row>
    <row r="6" spans="2:13" x14ac:dyDescent="0.25">
      <c r="B6" s="292" t="s">
        <v>165</v>
      </c>
      <c r="C6" s="292"/>
      <c r="D6" s="52"/>
      <c r="E6" s="138" t="s">
        <v>88</v>
      </c>
      <c r="F6" s="25"/>
      <c r="G6" s="25" t="s">
        <v>86</v>
      </c>
      <c r="H6" s="25" t="s">
        <v>12</v>
      </c>
      <c r="I6" s="25" t="s">
        <v>7</v>
      </c>
    </row>
    <row r="7" spans="2:13" x14ac:dyDescent="0.25">
      <c r="B7" s="142" t="s">
        <v>141</v>
      </c>
      <c r="C7" s="132">
        <f>Assumptions!M15</f>
        <v>582000</v>
      </c>
      <c r="D7" s="143"/>
      <c r="E7" s="20" t="s">
        <v>89</v>
      </c>
      <c r="G7" s="130">
        <f>'Development Costs'!E11</f>
        <v>609000</v>
      </c>
      <c r="H7" s="104">
        <f>'Development Costs'!F11</f>
        <v>12.303030303030303</v>
      </c>
      <c r="I7" s="130">
        <f>'Development Costs'!G11</f>
        <v>12180</v>
      </c>
      <c r="J7" s="12"/>
      <c r="M7" s="12"/>
    </row>
    <row r="8" spans="2:13" x14ac:dyDescent="0.25">
      <c r="B8" s="142" t="s">
        <v>142</v>
      </c>
      <c r="C8" s="132">
        <f>Assumptions!N20*12*Assumptions!M20</f>
        <v>0</v>
      </c>
      <c r="D8" s="143"/>
      <c r="E8" s="20" t="s">
        <v>3</v>
      </c>
      <c r="G8" s="130">
        <f>'Development Costs'!E19</f>
        <v>3763620</v>
      </c>
      <c r="H8" s="104">
        <f>'Development Costs'!F19</f>
        <v>76.032727272727286</v>
      </c>
      <c r="I8" s="130">
        <f>'Development Costs'!G19</f>
        <v>75272.399999999994</v>
      </c>
      <c r="J8" s="12"/>
      <c r="M8" s="12"/>
    </row>
    <row r="9" spans="2:13" x14ac:dyDescent="0.25">
      <c r="B9" s="150" t="s">
        <v>143</v>
      </c>
      <c r="C9" s="154">
        <f>Assumptions!M22*12</f>
        <v>4200</v>
      </c>
      <c r="D9" s="143"/>
      <c r="E9" s="20" t="s">
        <v>4</v>
      </c>
      <c r="G9" s="130">
        <f>'Development Costs'!E34</f>
        <v>629849.28</v>
      </c>
      <c r="H9" s="104">
        <f>'Development Costs'!F34</f>
        <v>12.724227878787879</v>
      </c>
      <c r="I9" s="130">
        <f>'Development Costs'!G34</f>
        <v>12596.9856</v>
      </c>
      <c r="J9" s="12"/>
      <c r="M9" s="12"/>
    </row>
    <row r="10" spans="2:13" x14ac:dyDescent="0.25">
      <c r="B10" s="109" t="s">
        <v>144</v>
      </c>
      <c r="C10" s="153">
        <f>SUM(C7:C9)</f>
        <v>586200</v>
      </c>
      <c r="D10" s="143"/>
      <c r="E10" s="136" t="s">
        <v>85</v>
      </c>
      <c r="F10" s="82"/>
      <c r="G10" s="129">
        <f>'Development Costs'!E41</f>
        <v>400197.54240000003</v>
      </c>
      <c r="H10" s="135">
        <f>'Development Costs'!F41</f>
        <v>8.0847988363636372</v>
      </c>
      <c r="I10" s="129">
        <f>'Development Costs'!G41</f>
        <v>8003.9508480000004</v>
      </c>
      <c r="J10" s="12"/>
      <c r="M10" s="12"/>
    </row>
    <row r="11" spans="2:13" x14ac:dyDescent="0.25">
      <c r="B11" s="150" t="s">
        <v>148</v>
      </c>
      <c r="C11" s="154">
        <f>-C10*Assumptions!M16</f>
        <v>-29310</v>
      </c>
      <c r="D11" s="143"/>
      <c r="E11" s="20"/>
      <c r="F11" s="167" t="s">
        <v>90</v>
      </c>
      <c r="G11" s="130">
        <f>SUM(G7:G10)</f>
        <v>5402666.8223999999</v>
      </c>
      <c r="H11" s="104">
        <f t="shared" ref="H11:I11" si="0">SUM(H7:H10)</f>
        <v>109.14478429090909</v>
      </c>
      <c r="I11" s="130">
        <f t="shared" si="0"/>
        <v>108053.33644799999</v>
      </c>
      <c r="J11" s="12"/>
      <c r="M11" s="12"/>
    </row>
    <row r="12" spans="2:13" x14ac:dyDescent="0.25">
      <c r="B12" s="109" t="s">
        <v>149</v>
      </c>
      <c r="C12" s="153">
        <f>SUM(C10:C11)</f>
        <v>556890</v>
      </c>
      <c r="D12" s="143"/>
      <c r="E12" s="24"/>
      <c r="F12" s="16"/>
      <c r="G12" s="82"/>
      <c r="H12" s="82"/>
      <c r="I12" s="82"/>
      <c r="J12" s="12"/>
      <c r="M12" s="12"/>
    </row>
    <row r="13" spans="2:13" x14ac:dyDescent="0.25">
      <c r="B13" s="148"/>
      <c r="C13" s="155"/>
      <c r="D13" s="143"/>
      <c r="E13" s="31" t="s">
        <v>91</v>
      </c>
      <c r="F13" s="32"/>
      <c r="G13" s="130"/>
      <c r="H13" s="130"/>
      <c r="I13" s="130"/>
      <c r="J13" s="12"/>
      <c r="M13" s="12"/>
    </row>
    <row r="14" spans="2:13" x14ac:dyDescent="0.25">
      <c r="B14" s="151" t="s">
        <v>87</v>
      </c>
      <c r="C14" s="132">
        <f>-((Assumptions!D25)+(Assumptions!G3*Assumptions!D26*(1-Assumptions!M16)))</f>
        <v>-95875</v>
      </c>
      <c r="D14" s="143"/>
      <c r="E14" s="20" t="s">
        <v>219</v>
      </c>
      <c r="G14" s="128">
        <f>Assumptions!M30*Assumptions!M31</f>
        <v>4384326.8961230787</v>
      </c>
      <c r="H14" s="130"/>
      <c r="I14" s="128"/>
      <c r="J14" s="12"/>
      <c r="M14" s="12"/>
    </row>
    <row r="15" spans="2:13" x14ac:dyDescent="0.25">
      <c r="B15" s="151" t="s">
        <v>66</v>
      </c>
      <c r="C15" s="132">
        <f>-(IF(Assumptions!D7=Assumptions!C100,Assumptions!D28*Assumptions!D9,Assumptions!D28*Assumptions!D8))</f>
        <v>-81040.00233599999</v>
      </c>
      <c r="D15" s="99"/>
      <c r="E15" s="136" t="s">
        <v>137</v>
      </c>
      <c r="F15" s="82"/>
      <c r="G15" s="129">
        <f>G11-G14</f>
        <v>1018339.9262769213</v>
      </c>
      <c r="H15" s="129"/>
      <c r="I15" s="164"/>
      <c r="J15" s="12"/>
    </row>
    <row r="16" spans="2:13" x14ac:dyDescent="0.25">
      <c r="B16" s="158" t="s">
        <v>150</v>
      </c>
      <c r="C16" s="159">
        <f>C12+C14+C15</f>
        <v>379974.99766400002</v>
      </c>
      <c r="D16" s="139"/>
      <c r="E16" s="168"/>
      <c r="F16" s="169" t="s">
        <v>92</v>
      </c>
      <c r="G16" s="170">
        <f>SUM(G14:G15)</f>
        <v>5402666.8223999999</v>
      </c>
      <c r="H16" s="170"/>
      <c r="I16" s="171"/>
      <c r="J16" s="12"/>
    </row>
    <row r="17" spans="2:10" x14ac:dyDescent="0.25">
      <c r="B17" s="33"/>
      <c r="C17" s="156"/>
      <c r="D17" s="35"/>
      <c r="E17" s="134"/>
      <c r="F17" s="134"/>
      <c r="G17" s="172"/>
      <c r="H17" s="172"/>
      <c r="I17" s="82"/>
      <c r="J17" s="12"/>
    </row>
    <row r="18" spans="2:10" x14ac:dyDescent="0.25">
      <c r="B18" s="33" t="s">
        <v>209</v>
      </c>
      <c r="C18" s="156">
        <f>-Assumptions!D27*Assumptions!G3</f>
        <v>-17500</v>
      </c>
      <c r="D18" s="35"/>
      <c r="E18" s="30" t="s">
        <v>172</v>
      </c>
      <c r="F18" s="156"/>
      <c r="G18" s="144"/>
      <c r="H18" s="144"/>
      <c r="I18" s="1"/>
      <c r="J18" s="12"/>
    </row>
    <row r="19" spans="2:10" x14ac:dyDescent="0.25">
      <c r="B19" s="152" t="s">
        <v>138</v>
      </c>
      <c r="C19" s="157">
        <f>-(IF(Assumptions!M35=Assumptions!C106,(Assumptions!M31*Assumptions!M30)*Assumptions!M36,(Assumptions!M31*Assumptions!M30)*Assumptions!M36*12))</f>
        <v>-298724.71079142333</v>
      </c>
      <c r="D19" s="139"/>
      <c r="E19" s="21" t="s">
        <v>173</v>
      </c>
      <c r="F19" s="155"/>
      <c r="G19" s="205">
        <f>1-Assumptions!M16</f>
        <v>0.95</v>
      </c>
      <c r="H19" s="144"/>
      <c r="I19" s="1"/>
      <c r="J19" s="12"/>
    </row>
    <row r="20" spans="2:10" x14ac:dyDescent="0.25">
      <c r="B20" s="158" t="s">
        <v>151</v>
      </c>
      <c r="C20" s="159">
        <f>C16+C18+C19</f>
        <v>63750.286872576689</v>
      </c>
      <c r="E20" s="33" t="s">
        <v>211</v>
      </c>
      <c r="F20" s="99"/>
      <c r="G20" s="209">
        <f>C20/C7</f>
        <v>0.10953657538243418</v>
      </c>
      <c r="H20" s="133"/>
      <c r="I20" s="1"/>
    </row>
    <row r="21" spans="2:10" x14ac:dyDescent="0.25">
      <c r="B21" s="33"/>
      <c r="C21" s="156"/>
      <c r="E21" s="33" t="s">
        <v>174</v>
      </c>
      <c r="F21" s="99"/>
      <c r="G21" s="205">
        <f>G19-G20</f>
        <v>0.84046342461756574</v>
      </c>
      <c r="H21" s="144"/>
      <c r="I21" s="1"/>
    </row>
    <row r="22" spans="2:10" x14ac:dyDescent="0.25">
      <c r="B22" s="33" t="s">
        <v>152</v>
      </c>
      <c r="C22" s="156">
        <f>IF(Assumptions!M35=Assumptions!C106,Amortization!D4,SUM(Amortization!D4:D15))</f>
        <v>59060.805650433365</v>
      </c>
      <c r="D22" s="133"/>
      <c r="E22" s="33" t="s">
        <v>175</v>
      </c>
      <c r="F22" s="99"/>
      <c r="G22" s="208">
        <f>Assumptions!M31</f>
        <v>0.75</v>
      </c>
      <c r="H22" s="133"/>
      <c r="I22" s="1"/>
    </row>
    <row r="23" spans="2:10" x14ac:dyDescent="0.25">
      <c r="B23" s="33" t="s">
        <v>153</v>
      </c>
      <c r="C23" s="156">
        <f>Assumptions!D27*Assumptions!G3</f>
        <v>17500</v>
      </c>
      <c r="D23" s="133"/>
      <c r="E23" s="173" t="s">
        <v>176</v>
      </c>
      <c r="F23" s="173"/>
      <c r="G23" s="210">
        <f>-C16/C19</f>
        <v>1.2719905114555707</v>
      </c>
      <c r="H23" s="133"/>
      <c r="I23" s="1"/>
    </row>
    <row r="24" spans="2:10" x14ac:dyDescent="0.25">
      <c r="B24" s="160" t="s">
        <v>154</v>
      </c>
      <c r="C24" s="161">
        <f>-IF(Assumptions!D7=Assumptions!C100,Assumptions!D9/27.5*0.75,Assumptions!D8/27.5*0.75)</f>
        <v>-147345.45879272727</v>
      </c>
      <c r="D24" s="145"/>
      <c r="E24" s="134"/>
      <c r="F24" s="134"/>
      <c r="G24" s="172"/>
      <c r="H24" s="172"/>
      <c r="I24" s="82"/>
    </row>
    <row r="25" spans="2:10" x14ac:dyDescent="0.25">
      <c r="B25" s="158" t="s">
        <v>161</v>
      </c>
      <c r="C25" s="159">
        <f>SUM(C20:C24)</f>
        <v>-7034.3662697172258</v>
      </c>
      <c r="D25" s="140"/>
      <c r="E25" s="30" t="s">
        <v>177</v>
      </c>
      <c r="F25" s="156"/>
      <c r="G25" s="144"/>
      <c r="H25" s="144"/>
      <c r="I25" s="1"/>
    </row>
    <row r="26" spans="2:10" x14ac:dyDescent="0.25">
      <c r="B26" s="160" t="s">
        <v>162</v>
      </c>
      <c r="C26" s="162">
        <f>-C25*Assumptions!D31</f>
        <v>1406.8732539434452</v>
      </c>
      <c r="D26" s="9"/>
      <c r="E26" s="21" t="s">
        <v>218</v>
      </c>
      <c r="F26" s="155"/>
      <c r="G26" s="218">
        <f>Annual!M48*1000</f>
        <v>3770457.2538581514</v>
      </c>
      <c r="H26" s="215" t="s">
        <v>217</v>
      </c>
      <c r="I26" s="1"/>
    </row>
    <row r="27" spans="2:10" x14ac:dyDescent="0.25">
      <c r="B27" s="158" t="s">
        <v>164</v>
      </c>
      <c r="C27" s="163">
        <f>C26+C20</f>
        <v>65157.160126520132</v>
      </c>
      <c r="D27" s="9"/>
      <c r="E27" s="33" t="s">
        <v>178</v>
      </c>
      <c r="F27" s="99"/>
      <c r="G27" s="133">
        <f>SUM(Annual!E14:N14)</f>
        <v>765.46002434482477</v>
      </c>
      <c r="H27" s="133"/>
      <c r="I27" s="1"/>
    </row>
    <row r="28" spans="2:10" x14ac:dyDescent="0.25">
      <c r="B28" s="160"/>
      <c r="C28" s="162"/>
      <c r="D28" s="9"/>
      <c r="E28" s="33" t="s">
        <v>179</v>
      </c>
      <c r="F28" s="99"/>
      <c r="G28" s="216">
        <f>(Annual!H25-Annual!C25)*1000</f>
        <v>1347957.3970737639</v>
      </c>
      <c r="H28" s="144"/>
      <c r="I28" s="1"/>
    </row>
    <row r="29" spans="2:10" x14ac:dyDescent="0.25">
      <c r="B29" s="30" t="s">
        <v>166</v>
      </c>
      <c r="C29" s="156"/>
      <c r="D29" s="146"/>
      <c r="E29" s="33" t="s">
        <v>180</v>
      </c>
      <c r="F29" s="99"/>
      <c r="G29" s="131">
        <f>Annual!H30*1000</f>
        <v>294690.91758545453</v>
      </c>
      <c r="H29" s="133"/>
      <c r="I29" s="1"/>
    </row>
    <row r="30" spans="2:10" x14ac:dyDescent="0.25">
      <c r="B30" s="21" t="s">
        <v>167</v>
      </c>
      <c r="C30" s="204">
        <f>C16/(Annual!C25*1000)</f>
        <v>7.0331006918395458E-2</v>
      </c>
      <c r="D30" s="133"/>
      <c r="E30" s="173" t="s">
        <v>181</v>
      </c>
      <c r="F30" s="173"/>
      <c r="G30" s="131">
        <f>Annual!H32*1000</f>
        <v>175943.6095610646</v>
      </c>
      <c r="H30" s="133"/>
      <c r="I30" s="1"/>
    </row>
    <row r="31" spans="2:10" x14ac:dyDescent="0.25">
      <c r="B31" s="33" t="s">
        <v>168</v>
      </c>
      <c r="C31" s="205">
        <f>C20/G15</f>
        <v>6.2602167731603611E-2</v>
      </c>
      <c r="D31" s="147"/>
      <c r="E31" s="173" t="s">
        <v>182</v>
      </c>
      <c r="F31" s="173"/>
      <c r="G31" s="217">
        <f>Annual!M28*1000</f>
        <v>2669430.0732859597</v>
      </c>
      <c r="H31" s="174"/>
      <c r="I31" s="1"/>
    </row>
    <row r="32" spans="2:10" x14ac:dyDescent="0.25">
      <c r="B32" s="33" t="s">
        <v>169</v>
      </c>
      <c r="C32" s="205">
        <f>(Annual!H25-Annual!C25)/Annual!C25</f>
        <v>0.24949852385584781</v>
      </c>
      <c r="D32" s="173"/>
      <c r="E32" s="134"/>
      <c r="F32" s="134"/>
      <c r="G32" s="172"/>
      <c r="H32" s="172"/>
      <c r="I32" s="82"/>
    </row>
    <row r="33" spans="2:9" x14ac:dyDescent="0.25">
      <c r="B33" s="33" t="s">
        <v>229</v>
      </c>
      <c r="C33" s="205">
        <f>Annual!M33</f>
        <v>0.17838741474953723</v>
      </c>
      <c r="D33" s="94"/>
      <c r="E33" s="30" t="s">
        <v>183</v>
      </c>
      <c r="F33" s="156"/>
      <c r="G33" s="144"/>
      <c r="H33" s="144"/>
      <c r="I33" s="1"/>
    </row>
    <row r="34" spans="2:9" x14ac:dyDescent="0.25">
      <c r="B34" s="173" t="str">
        <f>"Levered NPV at "&amp;TEXT(Assumptions!D32,"0.00%")</f>
        <v>Levered NPV at 15.00%</v>
      </c>
      <c r="C34" s="206">
        <f>Annual!M32*1000</f>
        <v>175523.74971048173</v>
      </c>
      <c r="D34" s="173"/>
      <c r="E34" s="21" t="s">
        <v>184</v>
      </c>
      <c r="F34" s="155"/>
      <c r="G34" s="205">
        <f>Annual!H49</f>
        <v>0.5033113795124512</v>
      </c>
      <c r="H34" s="144"/>
      <c r="I34" s="1"/>
    </row>
    <row r="35" spans="2:9" x14ac:dyDescent="0.25">
      <c r="B35" s="173" t="s">
        <v>171</v>
      </c>
      <c r="C35" s="207">
        <f>C34/G15</f>
        <v>0.17236263175126734</v>
      </c>
      <c r="D35" s="173"/>
      <c r="E35" s="33" t="s">
        <v>185</v>
      </c>
      <c r="F35" s="99"/>
      <c r="G35" s="209">
        <f>Annual!J49</f>
        <v>-4.5113372777977501E-2</v>
      </c>
      <c r="H35" s="133"/>
      <c r="I35" s="1"/>
    </row>
    <row r="36" spans="2:9" x14ac:dyDescent="0.25">
      <c r="B36" s="173"/>
      <c r="C36" s="173"/>
      <c r="D36" s="173"/>
      <c r="E36" s="33" t="s">
        <v>186</v>
      </c>
      <c r="F36" s="99"/>
      <c r="G36" s="205">
        <f>Annual!L49</f>
        <v>0.54180199326552636</v>
      </c>
      <c r="H36" s="144"/>
      <c r="I36" s="1"/>
    </row>
    <row r="37" spans="2:9" x14ac:dyDescent="0.25">
      <c r="B37" s="173"/>
      <c r="C37" s="173"/>
      <c r="D37" s="173"/>
      <c r="E37" s="173"/>
      <c r="F37" s="173"/>
      <c r="G37" s="207"/>
      <c r="H37" s="173"/>
    </row>
    <row r="38" spans="2:9" x14ac:dyDescent="0.25">
      <c r="B38" s="173"/>
      <c r="C38" s="173"/>
      <c r="D38" s="173"/>
      <c r="E38" s="173"/>
      <c r="F38" s="173"/>
      <c r="G38" s="173"/>
      <c r="H38" s="173"/>
    </row>
    <row r="39" spans="2:9" x14ac:dyDescent="0.25">
      <c r="B39" s="173"/>
      <c r="C39" s="173"/>
      <c r="D39" s="173"/>
      <c r="E39" s="173"/>
      <c r="F39" s="173"/>
      <c r="G39" s="173"/>
      <c r="H39" s="173"/>
    </row>
    <row r="40" spans="2:9" x14ac:dyDescent="0.25">
      <c r="B40" s="173"/>
      <c r="C40" s="173"/>
      <c r="D40" s="173"/>
      <c r="E40" s="173"/>
      <c r="F40" s="173"/>
      <c r="G40" s="173"/>
      <c r="H40" s="173"/>
    </row>
    <row r="41" spans="2:9" x14ac:dyDescent="0.25">
      <c r="B41" s="173"/>
      <c r="C41" s="173"/>
      <c r="D41" s="173"/>
      <c r="E41" s="173"/>
      <c r="F41" s="173"/>
      <c r="G41" s="173"/>
      <c r="H41" s="173"/>
    </row>
    <row r="42" spans="2:9" x14ac:dyDescent="0.25">
      <c r="B42" s="173"/>
      <c r="C42" s="173"/>
      <c r="D42" s="173"/>
      <c r="E42" s="173"/>
      <c r="F42" s="173"/>
      <c r="G42" s="173"/>
      <c r="H42" s="173"/>
    </row>
    <row r="43" spans="2:9" x14ac:dyDescent="0.25">
      <c r="B43" s="173"/>
      <c r="C43" s="173"/>
      <c r="D43" s="173"/>
      <c r="E43" s="173"/>
      <c r="F43" s="173"/>
      <c r="G43" s="173"/>
      <c r="H43" s="173"/>
    </row>
    <row r="44" spans="2:9" x14ac:dyDescent="0.25">
      <c r="B44" s="173"/>
      <c r="C44" s="173"/>
      <c r="D44" s="173"/>
      <c r="E44" s="173"/>
      <c r="F44" s="173"/>
      <c r="G44" s="173"/>
      <c r="H44" s="173"/>
    </row>
    <row r="45" spans="2:9" x14ac:dyDescent="0.25">
      <c r="B45" s="173"/>
      <c r="C45" s="173"/>
      <c r="D45" s="173"/>
      <c r="E45" s="173"/>
      <c r="F45" s="173"/>
      <c r="G45" s="173"/>
      <c r="H45" s="173"/>
    </row>
    <row r="46" spans="2:9" x14ac:dyDescent="0.25">
      <c r="B46" s="173"/>
      <c r="C46" s="173"/>
      <c r="D46" s="173"/>
      <c r="E46" s="173"/>
      <c r="F46" s="173"/>
      <c r="G46" s="173"/>
      <c r="H46" s="173"/>
    </row>
    <row r="47" spans="2:9" x14ac:dyDescent="0.25">
      <c r="B47" s="173"/>
      <c r="C47" s="173"/>
      <c r="D47" s="173"/>
      <c r="E47" s="173"/>
      <c r="F47" s="173"/>
      <c r="G47" s="173"/>
      <c r="H47" s="173"/>
    </row>
    <row r="48" spans="2:9" x14ac:dyDescent="0.25">
      <c r="B48" s="173"/>
      <c r="C48" s="173"/>
      <c r="D48" s="173"/>
      <c r="E48" s="173"/>
      <c r="F48" s="173"/>
      <c r="G48" s="173"/>
      <c r="H48" s="173"/>
    </row>
    <row r="49" spans="2:8" x14ac:dyDescent="0.25">
      <c r="B49" s="173"/>
      <c r="C49" s="173"/>
      <c r="D49" s="173"/>
      <c r="E49" s="173"/>
      <c r="F49" s="173"/>
      <c r="G49" s="173"/>
      <c r="H49" s="173"/>
    </row>
    <row r="50" spans="2:8" x14ac:dyDescent="0.25">
      <c r="B50" s="173"/>
      <c r="C50" s="173"/>
      <c r="D50" s="173"/>
      <c r="E50" s="173"/>
      <c r="F50" s="173"/>
      <c r="G50" s="173"/>
      <c r="H50" s="173"/>
    </row>
    <row r="51" spans="2:8" x14ac:dyDescent="0.25">
      <c r="B51" s="173"/>
      <c r="C51" s="173"/>
      <c r="D51" s="173"/>
      <c r="E51" s="174"/>
      <c r="F51" s="174"/>
      <c r="G51" s="174"/>
      <c r="H51" s="174"/>
    </row>
    <row r="52" spans="2:8" x14ac:dyDescent="0.25">
      <c r="B52" s="173"/>
      <c r="C52" s="173"/>
      <c r="D52" s="173"/>
      <c r="E52" s="174"/>
      <c r="F52" s="174"/>
      <c r="G52" s="174"/>
      <c r="H52" s="174"/>
    </row>
    <row r="53" spans="2:8" x14ac:dyDescent="0.25">
      <c r="B53" s="173"/>
      <c r="C53" s="173"/>
      <c r="D53" s="173"/>
      <c r="E53" s="174"/>
      <c r="F53" s="174"/>
      <c r="G53" s="174"/>
      <c r="H53" s="174"/>
    </row>
    <row r="54" spans="2:8" x14ac:dyDescent="0.25">
      <c r="B54" s="173"/>
      <c r="C54" s="174"/>
      <c r="D54" s="174"/>
      <c r="E54" s="174"/>
      <c r="F54" s="174"/>
      <c r="G54" s="174"/>
      <c r="H54" s="174"/>
    </row>
    <row r="55" spans="2:8" x14ac:dyDescent="0.25">
      <c r="B55" s="173"/>
      <c r="C55" s="174"/>
      <c r="D55" s="174"/>
    </row>
    <row r="56" spans="2:8" x14ac:dyDescent="0.25">
      <c r="B56" s="173"/>
      <c r="C56" s="174"/>
      <c r="D56" s="174"/>
    </row>
  </sheetData>
  <mergeCells count="9">
    <mergeCell ref="G2:I2"/>
    <mergeCell ref="G3:I3"/>
    <mergeCell ref="B4:C4"/>
    <mergeCell ref="B6:C6"/>
    <mergeCell ref="D2:F2"/>
    <mergeCell ref="B2:C2"/>
    <mergeCell ref="B3:C3"/>
    <mergeCell ref="D3:E3"/>
    <mergeCell ref="D4:E4"/>
  </mergeCells>
  <pageMargins left="0.7" right="0.7" top="0.75" bottom="0.75" header="0.3" footer="0.3"/>
  <pageSetup scale="6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N50"/>
  <sheetViews>
    <sheetView showGridLines="0" zoomScale="85" zoomScaleNormal="85" workbookViewId="0">
      <selection activeCell="M32" sqref="M32"/>
    </sheetView>
  </sheetViews>
  <sheetFormatPr defaultRowHeight="15" x14ac:dyDescent="0.25"/>
  <cols>
    <col min="1" max="1" width="2.85546875" style="9" customWidth="1"/>
    <col min="2" max="2" width="32.7109375" style="9" bestFit="1" customWidth="1"/>
    <col min="3" max="3" width="12.42578125" style="9" bestFit="1" customWidth="1"/>
    <col min="4" max="4" width="9.5703125" style="4" bestFit="1" customWidth="1"/>
    <col min="5" max="5" width="9.140625" style="4"/>
    <col min="6" max="6" width="9.85546875" style="4" bestFit="1" customWidth="1"/>
    <col min="7" max="7" width="9.140625" style="4"/>
    <col min="8" max="8" width="9.85546875" style="4" bestFit="1" customWidth="1"/>
    <col min="9" max="12" width="9.140625" style="4"/>
    <col min="13" max="13" width="9.5703125" style="4" bestFit="1" customWidth="1"/>
    <col min="14" max="14" width="9.140625" style="4"/>
    <col min="15" max="16384" width="9.140625" style="9"/>
  </cols>
  <sheetData>
    <row r="2" spans="2:14" x14ac:dyDescent="0.25">
      <c r="B2" s="182" t="str">
        <f>Assumptions!B2</f>
        <v>TRANSIT ORIENTED DEVELOPMENT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4"/>
    </row>
    <row r="3" spans="2:14" x14ac:dyDescent="0.25">
      <c r="B3" s="185" t="s">
        <v>208</v>
      </c>
      <c r="C3" s="186" t="s">
        <v>187</v>
      </c>
      <c r="D3" s="186">
        <v>0</v>
      </c>
      <c r="E3" s="186">
        <v>1</v>
      </c>
      <c r="F3" s="186">
        <v>2</v>
      </c>
      <c r="G3" s="186">
        <v>3</v>
      </c>
      <c r="H3" s="186">
        <v>4</v>
      </c>
      <c r="I3" s="186">
        <v>5</v>
      </c>
      <c r="J3" s="186">
        <v>6</v>
      </c>
      <c r="K3" s="186">
        <v>7</v>
      </c>
      <c r="L3" s="186">
        <v>8</v>
      </c>
      <c r="M3" s="186">
        <v>9</v>
      </c>
      <c r="N3" s="187">
        <v>10</v>
      </c>
    </row>
    <row r="4" spans="2:14" x14ac:dyDescent="0.25">
      <c r="B4" s="225" t="s">
        <v>222</v>
      </c>
      <c r="C4" s="226"/>
      <c r="D4" s="228"/>
      <c r="E4" s="228">
        <f>'Stabilized Pro-Forma'!C10/1000</f>
        <v>586.20000000000005</v>
      </c>
      <c r="F4" s="229">
        <f>E4*(1+Assumptions!$M$17)</f>
        <v>603.78600000000006</v>
      </c>
      <c r="G4" s="229">
        <f>F4*(1+Assumptions!$M$17)</f>
        <v>621.89958000000013</v>
      </c>
      <c r="H4" s="229">
        <f>G4*(1+Assumptions!$M$17)</f>
        <v>640.55656740000018</v>
      </c>
      <c r="I4" s="229">
        <f>H4*(1+Assumptions!$M$17)</f>
        <v>659.77326442200024</v>
      </c>
      <c r="J4" s="229">
        <f>I4*(1+Assumptions!$M$17)</f>
        <v>679.5664623546603</v>
      </c>
      <c r="K4" s="229">
        <f>J4*(1+Assumptions!$M$17)</f>
        <v>699.9534562253001</v>
      </c>
      <c r="L4" s="229">
        <f>K4*(1+Assumptions!$M$17)</f>
        <v>720.9520599120591</v>
      </c>
      <c r="M4" s="229">
        <f>L4*(1+Assumptions!$M$17)</f>
        <v>742.58062170942094</v>
      </c>
      <c r="N4" s="239">
        <f>M4*(1+Assumptions!$M$17)</f>
        <v>764.85804036070363</v>
      </c>
    </row>
    <row r="5" spans="2:14" x14ac:dyDescent="0.25">
      <c r="B5" s="230" t="str">
        <f>"- Vacancy/Credit Loss"</f>
        <v>- Vacancy/Credit Loss</v>
      </c>
      <c r="C5" s="231"/>
      <c r="D5" s="234"/>
      <c r="E5" s="234">
        <f>'Stabilized Pro-Forma'!C11/1000</f>
        <v>-29.31</v>
      </c>
      <c r="F5" s="234">
        <f>-F4*0.05</f>
        <v>-30.189300000000003</v>
      </c>
      <c r="G5" s="234">
        <f t="shared" ref="G5:N5" si="0">-G4*0.05</f>
        <v>-31.094979000000009</v>
      </c>
      <c r="H5" s="234">
        <f t="shared" si="0"/>
        <v>-32.027828370000009</v>
      </c>
      <c r="I5" s="234">
        <f t="shared" si="0"/>
        <v>-32.988663221100012</v>
      </c>
      <c r="J5" s="234">
        <f t="shared" si="0"/>
        <v>-33.978323117733019</v>
      </c>
      <c r="K5" s="234">
        <f t="shared" si="0"/>
        <v>-34.997672811265005</v>
      </c>
      <c r="L5" s="234">
        <f t="shared" si="0"/>
        <v>-36.047602995602958</v>
      </c>
      <c r="M5" s="234">
        <f t="shared" si="0"/>
        <v>-37.129031085471048</v>
      </c>
      <c r="N5" s="240">
        <f t="shared" si="0"/>
        <v>-38.242902018035181</v>
      </c>
    </row>
    <row r="6" spans="2:14" x14ac:dyDescent="0.25">
      <c r="B6" s="233" t="s">
        <v>223</v>
      </c>
      <c r="C6" s="231"/>
      <c r="D6" s="231"/>
      <c r="E6" s="231">
        <f>SUM(E4:E5)</f>
        <v>556.8900000000001</v>
      </c>
      <c r="F6" s="231">
        <f t="shared" ref="F6:N6" si="1">SUM(F4:F5)</f>
        <v>573.59670000000006</v>
      </c>
      <c r="G6" s="231">
        <f t="shared" si="1"/>
        <v>590.80460100000016</v>
      </c>
      <c r="H6" s="231">
        <f t="shared" si="1"/>
        <v>608.52873903000022</v>
      </c>
      <c r="I6" s="231">
        <f t="shared" si="1"/>
        <v>626.78460120090017</v>
      </c>
      <c r="J6" s="231">
        <f t="shared" si="1"/>
        <v>645.5881392369273</v>
      </c>
      <c r="K6" s="231">
        <f t="shared" si="1"/>
        <v>664.95578341403507</v>
      </c>
      <c r="L6" s="231">
        <f t="shared" si="1"/>
        <v>684.90445691645618</v>
      </c>
      <c r="M6" s="231">
        <f t="shared" si="1"/>
        <v>705.45159062394987</v>
      </c>
      <c r="N6" s="232">
        <f t="shared" si="1"/>
        <v>726.61513834266839</v>
      </c>
    </row>
    <row r="7" spans="2:14" x14ac:dyDescent="0.25">
      <c r="B7" s="230" t="str">
        <f>"- Operating Expenses"</f>
        <v>- Operating Expenses</v>
      </c>
      <c r="C7" s="231"/>
      <c r="D7" s="231"/>
      <c r="E7" s="231">
        <f>'Stabilized Pro-Forma'!C14/1000</f>
        <v>-95.875</v>
      </c>
      <c r="F7" s="231">
        <f>E7*(1+Assumptions!$D$29)</f>
        <v>-97.792500000000004</v>
      </c>
      <c r="G7" s="231">
        <f>F7*(1+Assumptions!$D$29)</f>
        <v>-99.748350000000002</v>
      </c>
      <c r="H7" s="231">
        <f>G7*(1+Assumptions!$D$29)</f>
        <v>-101.743317</v>
      </c>
      <c r="I7" s="231">
        <f>H7*(1+Assumptions!$D$29)</f>
        <v>-103.77818334000001</v>
      </c>
      <c r="J7" s="231">
        <f>I7*(1+Assumptions!$D$29)</f>
        <v>-105.85374700680002</v>
      </c>
      <c r="K7" s="231">
        <f>J7*(1+Assumptions!$D$29)</f>
        <v>-107.97082194693603</v>
      </c>
      <c r="L7" s="231">
        <f>K7*(1+Assumptions!$D$29)</f>
        <v>-110.13023838587475</v>
      </c>
      <c r="M7" s="231">
        <f>L7*(1+Assumptions!$D$29)</f>
        <v>-112.33284315359225</v>
      </c>
      <c r="N7" s="232">
        <f>M7*(1+Assumptions!$D$29)</f>
        <v>-114.5795000166641</v>
      </c>
    </row>
    <row r="8" spans="2:14" x14ac:dyDescent="0.25">
      <c r="B8" s="230" t="str">
        <f>"- Real Estate Taxes"</f>
        <v>- Real Estate Taxes</v>
      </c>
      <c r="C8" s="231"/>
      <c r="D8" s="231"/>
      <c r="E8" s="231">
        <f>'Stabilized Pro-Forma'!C15/1000</f>
        <v>-81.040002335999986</v>
      </c>
      <c r="F8" s="231">
        <f>E8*(1+Assumptions!$D$30)</f>
        <v>-83.471202406079982</v>
      </c>
      <c r="G8" s="231">
        <f>F8*(1+Assumptions!$D$30)</f>
        <v>-85.975338478262387</v>
      </c>
      <c r="H8" s="231">
        <f>G8*(1+Assumptions!$D$30)</f>
        <v>-88.554598632610265</v>
      </c>
      <c r="I8" s="231">
        <f>H8*(1+Assumptions!$D$30)</f>
        <v>-91.211236591588573</v>
      </c>
      <c r="J8" s="231">
        <f>I8*(1+Assumptions!$D$30)</f>
        <v>-93.947573689336238</v>
      </c>
      <c r="K8" s="231">
        <f>J8*(1+Assumptions!$D$30)</f>
        <v>-96.766000900016323</v>
      </c>
      <c r="L8" s="231">
        <f>K8*(1+Assumptions!$D$30)</f>
        <v>-99.668980927016818</v>
      </c>
      <c r="M8" s="231">
        <f>L8*(1+Assumptions!$D$30)</f>
        <v>-102.65905035482733</v>
      </c>
      <c r="N8" s="232">
        <f>M8*(1+Assumptions!$D$30)</f>
        <v>-105.73882186547215</v>
      </c>
    </row>
    <row r="9" spans="2:14" x14ac:dyDescent="0.25">
      <c r="B9" s="236" t="s">
        <v>0</v>
      </c>
      <c r="C9" s="237"/>
      <c r="D9" s="237"/>
      <c r="E9" s="237">
        <f t="shared" ref="E9:N9" si="2">SUM(E6:E8)</f>
        <v>379.97499766400011</v>
      </c>
      <c r="F9" s="237">
        <f t="shared" si="2"/>
        <v>392.33299759392003</v>
      </c>
      <c r="G9" s="237">
        <f t="shared" si="2"/>
        <v>405.08091252173779</v>
      </c>
      <c r="H9" s="237">
        <f t="shared" si="2"/>
        <v>418.23082339738994</v>
      </c>
      <c r="I9" s="237">
        <f t="shared" si="2"/>
        <v>431.79518126931157</v>
      </c>
      <c r="J9" s="237">
        <f t="shared" si="2"/>
        <v>445.78681854079099</v>
      </c>
      <c r="K9" s="237">
        <f t="shared" si="2"/>
        <v>460.21896056708277</v>
      </c>
      <c r="L9" s="237">
        <f t="shared" si="2"/>
        <v>475.10523760356466</v>
      </c>
      <c r="M9" s="237">
        <f t="shared" si="2"/>
        <v>490.45969711553033</v>
      </c>
      <c r="N9" s="238">
        <f t="shared" si="2"/>
        <v>506.29681646053223</v>
      </c>
    </row>
    <row r="10" spans="2:14" x14ac:dyDescent="0.25">
      <c r="B10" s="241" t="str">
        <f>"- Capital Reserve"</f>
        <v>- Capital Reserve</v>
      </c>
      <c r="C10" s="189"/>
      <c r="D10" s="189"/>
      <c r="E10" s="189">
        <f>'Stabilized Pro-Forma'!$C$18/1000</f>
        <v>-17.5</v>
      </c>
      <c r="F10" s="189">
        <f>'Stabilized Pro-Forma'!$C$18/1000</f>
        <v>-17.5</v>
      </c>
      <c r="G10" s="189">
        <f>'Stabilized Pro-Forma'!$C$18/1000</f>
        <v>-17.5</v>
      </c>
      <c r="H10" s="189">
        <f>'Stabilized Pro-Forma'!$C$18/1000</f>
        <v>-17.5</v>
      </c>
      <c r="I10" s="189">
        <f>'Stabilized Pro-Forma'!$C$18/1000</f>
        <v>-17.5</v>
      </c>
      <c r="J10" s="189">
        <f>'Stabilized Pro-Forma'!$C$18/1000</f>
        <v>-17.5</v>
      </c>
      <c r="K10" s="189">
        <f>'Stabilized Pro-Forma'!$C$18/1000</f>
        <v>-17.5</v>
      </c>
      <c r="L10" s="189">
        <f>'Stabilized Pro-Forma'!$C$18/1000</f>
        <v>-17.5</v>
      </c>
      <c r="M10" s="189">
        <f>'Stabilized Pro-Forma'!$C$18/1000</f>
        <v>-17.5</v>
      </c>
      <c r="N10" s="190">
        <f>'Stabilized Pro-Forma'!$C$18/1000</f>
        <v>-17.5</v>
      </c>
    </row>
    <row r="11" spans="2:14" x14ac:dyDescent="0.25">
      <c r="B11" s="241" t="str">
        <f>"- Debt Service"</f>
        <v>- Debt Service</v>
      </c>
      <c r="C11" s="189"/>
      <c r="D11" s="189"/>
      <c r="E11" s="189">
        <f>'Stabilized Pro-Forma'!$C$19/1000</f>
        <v>-298.72471079142332</v>
      </c>
      <c r="F11" s="189">
        <f>'Stabilized Pro-Forma'!$C$19/1000</f>
        <v>-298.72471079142332</v>
      </c>
      <c r="G11" s="189">
        <f>'Stabilized Pro-Forma'!$C$19/1000</f>
        <v>-298.72471079142332</v>
      </c>
      <c r="H11" s="189">
        <f>'Stabilized Pro-Forma'!$C$19/1000</f>
        <v>-298.72471079142332</v>
      </c>
      <c r="I11" s="189">
        <f>'Stabilized Pro-Forma'!$C$19/1000</f>
        <v>-298.72471079142332</v>
      </c>
      <c r="J11" s="189">
        <f>'Stabilized Pro-Forma'!$C$19/1000</f>
        <v>-298.72471079142332</v>
      </c>
      <c r="K11" s="189">
        <f>'Stabilized Pro-Forma'!$C$19/1000</f>
        <v>-298.72471079142332</v>
      </c>
      <c r="L11" s="189">
        <f>'Stabilized Pro-Forma'!$C$19/1000</f>
        <v>-298.72471079142332</v>
      </c>
      <c r="M11" s="189">
        <f>'Stabilized Pro-Forma'!$C$19/1000</f>
        <v>-298.72471079142332</v>
      </c>
      <c r="N11" s="190">
        <f>'Stabilized Pro-Forma'!$C$19/1000</f>
        <v>-298.72471079142332</v>
      </c>
    </row>
    <row r="12" spans="2:14" x14ac:dyDescent="0.25">
      <c r="B12" s="185" t="s">
        <v>184</v>
      </c>
      <c r="C12" s="237"/>
      <c r="D12" s="237"/>
      <c r="E12" s="237">
        <f>SUM(E9:E11)</f>
        <v>63.750286872576794</v>
      </c>
      <c r="F12" s="237">
        <f t="shared" ref="F12:N12" si="3">SUM(F9:F11)</f>
        <v>76.108286802496707</v>
      </c>
      <c r="G12" s="237">
        <f t="shared" si="3"/>
        <v>88.856201730314467</v>
      </c>
      <c r="H12" s="237">
        <f t="shared" si="3"/>
        <v>102.00611260596662</v>
      </c>
      <c r="I12" s="237">
        <f t="shared" si="3"/>
        <v>115.57047047788825</v>
      </c>
      <c r="J12" s="237">
        <f t="shared" si="3"/>
        <v>129.56210774936767</v>
      </c>
      <c r="K12" s="237">
        <f t="shared" si="3"/>
        <v>143.99424977565945</v>
      </c>
      <c r="L12" s="237">
        <f t="shared" si="3"/>
        <v>158.88052681214134</v>
      </c>
      <c r="M12" s="237">
        <f t="shared" si="3"/>
        <v>174.23498632410701</v>
      </c>
      <c r="N12" s="238">
        <f t="shared" si="3"/>
        <v>190.07210566910891</v>
      </c>
    </row>
    <row r="13" spans="2:14" x14ac:dyDescent="0.25">
      <c r="B13" s="235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90"/>
    </row>
    <row r="14" spans="2:14" x14ac:dyDescent="0.25">
      <c r="B14" s="241" t="s">
        <v>202</v>
      </c>
      <c r="C14" s="189"/>
      <c r="D14" s="189"/>
      <c r="E14" s="189">
        <f>'Stabilized Pro-Forma'!C22/1000</f>
        <v>59.060805650433366</v>
      </c>
      <c r="F14" s="189">
        <f>(IF(Assumptions!M35=Assumptions!C106,Amortization!D5,SUM(Amortization!D16:D27)))/1000</f>
        <v>62.392299329820212</v>
      </c>
      <c r="G14" s="189">
        <f>(IF(Assumptions!M35=Assumptions!C106,Amortization!D6,SUM(Amortization!D28:D39)))/1000</f>
        <v>65.911715439549212</v>
      </c>
      <c r="H14" s="189">
        <f>(IF(Assumptions!M35=Assumptions!C106,Amortization!D7,SUM(Amortization!D40:D51)))/1000</f>
        <v>69.629654281834448</v>
      </c>
      <c r="I14" s="189">
        <f>(IF(Assumptions!M35=Assumptions!C106,Amortization!D8,SUM(Amortization!D52:D63)))/1000</f>
        <v>73.557314099257297</v>
      </c>
      <c r="J14" s="189">
        <f>(IF(Assumptions!M35=Assumptions!C106,Amortization!D9,SUM(Amortization!D64:D75)))/1000</f>
        <v>77.706524803303182</v>
      </c>
      <c r="K14" s="189">
        <f>(IF(Assumptions!M35=Assumptions!C106,Amortization!D10,SUM(Amortization!D76:D87)))/1000</f>
        <v>82.089783605453022</v>
      </c>
      <c r="L14" s="189">
        <f>(IF(Assumptions!M35=Assumptions!C106,Amortization!D11,SUM(Amortization!D88:D99)))/1000</f>
        <v>86.720292658148253</v>
      </c>
      <c r="M14" s="189">
        <f>(IF(Assumptions!M35=Assumptions!C106,Amortization!D12,SUM(Amortization!D100:D111)))/1000</f>
        <v>91.611998819001826</v>
      </c>
      <c r="N14" s="190">
        <f>(IF(Assumptions!M35=Assumptions!C106,Amortization!D13,SUM(Amortization!D112:D123)))/1000</f>
        <v>96.779635658023906</v>
      </c>
    </row>
    <row r="15" spans="2:14" x14ac:dyDescent="0.25">
      <c r="B15" s="241" t="str">
        <f>"+ Capital Reserve"</f>
        <v>+ Capital Reserve</v>
      </c>
      <c r="C15" s="189"/>
      <c r="D15" s="189"/>
      <c r="E15" s="189">
        <f>'Stabilized Pro-Forma'!$C$23/1000</f>
        <v>17.5</v>
      </c>
      <c r="F15" s="189">
        <f>'Stabilized Pro-Forma'!$C$23/1000</f>
        <v>17.5</v>
      </c>
      <c r="G15" s="189">
        <f>'Stabilized Pro-Forma'!$C$23/1000</f>
        <v>17.5</v>
      </c>
      <c r="H15" s="189">
        <f>'Stabilized Pro-Forma'!$C$23/1000</f>
        <v>17.5</v>
      </c>
      <c r="I15" s="189">
        <f>'Stabilized Pro-Forma'!$C$23/1000</f>
        <v>17.5</v>
      </c>
      <c r="J15" s="189">
        <f>'Stabilized Pro-Forma'!$C$23/1000</f>
        <v>17.5</v>
      </c>
      <c r="K15" s="189">
        <f>'Stabilized Pro-Forma'!$C$23/1000</f>
        <v>17.5</v>
      </c>
      <c r="L15" s="189">
        <f>'Stabilized Pro-Forma'!$C$23/1000</f>
        <v>17.5</v>
      </c>
      <c r="M15" s="189">
        <f>'Stabilized Pro-Forma'!$C$23/1000</f>
        <v>17.5</v>
      </c>
      <c r="N15" s="190">
        <f>'Stabilized Pro-Forma'!$C$23/1000</f>
        <v>17.5</v>
      </c>
    </row>
    <row r="16" spans="2:14" x14ac:dyDescent="0.25">
      <c r="B16" s="241" t="s">
        <v>203</v>
      </c>
      <c r="C16" s="189"/>
      <c r="D16" s="191"/>
      <c r="E16" s="191">
        <f>'Stabilized Pro-Forma'!$C$24/1000</f>
        <v>-147.34545879272727</v>
      </c>
      <c r="F16" s="191">
        <f>'Stabilized Pro-Forma'!$C$24/1000</f>
        <v>-147.34545879272727</v>
      </c>
      <c r="G16" s="191">
        <f>'Stabilized Pro-Forma'!$C$24/1000</f>
        <v>-147.34545879272727</v>
      </c>
      <c r="H16" s="191">
        <f>'Stabilized Pro-Forma'!$C$24/1000</f>
        <v>-147.34545879272727</v>
      </c>
      <c r="I16" s="191">
        <f>'Stabilized Pro-Forma'!$C$24/1000</f>
        <v>-147.34545879272727</v>
      </c>
      <c r="J16" s="191">
        <f>'Stabilized Pro-Forma'!$C$24/1000</f>
        <v>-147.34545879272727</v>
      </c>
      <c r="K16" s="191">
        <f>'Stabilized Pro-Forma'!$C$24/1000</f>
        <v>-147.34545879272727</v>
      </c>
      <c r="L16" s="191">
        <f>'Stabilized Pro-Forma'!$C$24/1000</f>
        <v>-147.34545879272727</v>
      </c>
      <c r="M16" s="191">
        <f>'Stabilized Pro-Forma'!$C$24/1000</f>
        <v>-147.34545879272727</v>
      </c>
      <c r="N16" s="192">
        <f>'Stabilized Pro-Forma'!$C$24/1000</f>
        <v>-147.34545879272727</v>
      </c>
    </row>
    <row r="17" spans="2:14" x14ac:dyDescent="0.25">
      <c r="B17" s="227" t="s">
        <v>188</v>
      </c>
      <c r="C17" s="189"/>
      <c r="D17" s="189"/>
      <c r="E17" s="189">
        <f>SUM(E12:E16)</f>
        <v>-7.0343662697171112</v>
      </c>
      <c r="F17" s="189">
        <f t="shared" ref="F17:N17" si="4">SUM(F12:F16)</f>
        <v>8.6551273395896544</v>
      </c>
      <c r="G17" s="189">
        <f t="shared" si="4"/>
        <v>24.922458377136394</v>
      </c>
      <c r="H17" s="189">
        <f t="shared" si="4"/>
        <v>41.790308095073812</v>
      </c>
      <c r="I17" s="189">
        <f t="shared" si="4"/>
        <v>59.282325784418276</v>
      </c>
      <c r="J17" s="189">
        <f t="shared" si="4"/>
        <v>77.42317375994358</v>
      </c>
      <c r="K17" s="189">
        <f t="shared" si="4"/>
        <v>96.238574588385205</v>
      </c>
      <c r="L17" s="189">
        <f t="shared" si="4"/>
        <v>115.75536067756232</v>
      </c>
      <c r="M17" s="189">
        <f t="shared" si="4"/>
        <v>136.00152635038157</v>
      </c>
      <c r="N17" s="190">
        <f t="shared" si="4"/>
        <v>157.00628253440553</v>
      </c>
    </row>
    <row r="18" spans="2:14" x14ac:dyDescent="0.25">
      <c r="B18" s="235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90"/>
    </row>
    <row r="19" spans="2:14" x14ac:dyDescent="0.25">
      <c r="B19" s="241" t="str">
        <f>"- Tax Payable @ " &amp;TEXT(Assumptions!D31,"0.00%")</f>
        <v>- Tax Payable @ 20.00%</v>
      </c>
      <c r="C19" s="189"/>
      <c r="D19" s="191"/>
      <c r="E19" s="191">
        <f>-E17*Assumptions!$D$31</f>
        <v>1.4068732539434223</v>
      </c>
      <c r="F19" s="191">
        <f>-F17*Assumptions!$D$31</f>
        <v>-1.7310254679179309</v>
      </c>
      <c r="G19" s="191">
        <f>-G17*Assumptions!$D$31</f>
        <v>-4.9844916754272788</v>
      </c>
      <c r="H19" s="191">
        <f>-H17*Assumptions!$D$31</f>
        <v>-8.3580616190147623</v>
      </c>
      <c r="I19" s="191">
        <f>-I17*Assumptions!$D$31</f>
        <v>-11.856465156883656</v>
      </c>
      <c r="J19" s="191">
        <f>-J17*Assumptions!$D$31</f>
        <v>-15.484634751988716</v>
      </c>
      <c r="K19" s="191">
        <f>-K17*Assumptions!$D$31</f>
        <v>-19.247714917677044</v>
      </c>
      <c r="L19" s="191">
        <f>-L17*Assumptions!$D$31</f>
        <v>-23.151072135512464</v>
      </c>
      <c r="M19" s="191">
        <f>-M17*Assumptions!$D$31</f>
        <v>-27.200305270076313</v>
      </c>
      <c r="N19" s="192">
        <f>-N17*Assumptions!$D$31</f>
        <v>-31.401256506881108</v>
      </c>
    </row>
    <row r="20" spans="2:14" x14ac:dyDescent="0.25">
      <c r="B20" s="227" t="s">
        <v>189</v>
      </c>
      <c r="C20" s="189"/>
      <c r="D20" s="189"/>
      <c r="E20" s="189">
        <f>E19+E12</f>
        <v>65.15716012652021</v>
      </c>
      <c r="F20" s="189">
        <f t="shared" ref="F20:N20" si="5">F19+F12</f>
        <v>74.377261334578776</v>
      </c>
      <c r="G20" s="189">
        <f t="shared" si="5"/>
        <v>83.871710054887188</v>
      </c>
      <c r="H20" s="189">
        <f t="shared" si="5"/>
        <v>93.648050986951858</v>
      </c>
      <c r="I20" s="189">
        <f t="shared" si="5"/>
        <v>103.71400532100459</v>
      </c>
      <c r="J20" s="189">
        <f t="shared" si="5"/>
        <v>114.07747299737895</v>
      </c>
      <c r="K20" s="189">
        <f t="shared" si="5"/>
        <v>124.74653485798241</v>
      </c>
      <c r="L20" s="189">
        <f t="shared" si="5"/>
        <v>135.72945467662888</v>
      </c>
      <c r="M20" s="189">
        <f t="shared" si="5"/>
        <v>147.0346810540307</v>
      </c>
      <c r="N20" s="190">
        <f t="shared" si="5"/>
        <v>158.6708491622278</v>
      </c>
    </row>
    <row r="21" spans="2:14" x14ac:dyDescent="0.25">
      <c r="B21" s="241" t="s">
        <v>204</v>
      </c>
      <c r="C21" s="189"/>
      <c r="D21" s="189">
        <f>'Stabilized Pro-Forma'!G15/-1000</f>
        <v>-1018.3399262769213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90"/>
    </row>
    <row r="22" spans="2:14" ht="15.75" thickBot="1" x14ac:dyDescent="0.3">
      <c r="B22" s="241" t="str">
        <f>"+ Net Cash from Constr. &amp; Sale"</f>
        <v>+ Net Cash from Constr. &amp; Sale</v>
      </c>
      <c r="C22" s="189"/>
      <c r="D22" s="194"/>
      <c r="E22" s="194">
        <f>(('Stabilized Pro-Forma'!G15/'Stabilized Pro-Forma'!G11)*'Development Costs'!E41)/1000</f>
        <v>75.432587131623805</v>
      </c>
      <c r="F22" s="194"/>
      <c r="G22" s="194"/>
      <c r="H22" s="194"/>
      <c r="I22" s="194"/>
      <c r="J22" s="194"/>
      <c r="K22" s="194"/>
      <c r="L22" s="194"/>
      <c r="M22" s="194"/>
      <c r="N22" s="195">
        <f>M28</f>
        <v>2669.4300732859597</v>
      </c>
    </row>
    <row r="23" spans="2:14" ht="15.75" thickTop="1" x14ac:dyDescent="0.25">
      <c r="B23" s="227" t="s">
        <v>190</v>
      </c>
      <c r="C23" s="189"/>
      <c r="D23" s="189">
        <f>SUM(D20:D22)</f>
        <v>-1018.3399262769213</v>
      </c>
      <c r="E23" s="189">
        <f t="shared" ref="E23:N23" si="6">SUM(E20:E22)</f>
        <v>140.58974725814403</v>
      </c>
      <c r="F23" s="189">
        <f t="shared" si="6"/>
        <v>74.377261334578776</v>
      </c>
      <c r="G23" s="189">
        <f t="shared" si="6"/>
        <v>83.871710054887188</v>
      </c>
      <c r="H23" s="189">
        <f t="shared" si="6"/>
        <v>93.648050986951858</v>
      </c>
      <c r="I23" s="189">
        <f t="shared" si="6"/>
        <v>103.71400532100459</v>
      </c>
      <c r="J23" s="189">
        <f t="shared" si="6"/>
        <v>114.07747299737895</v>
      </c>
      <c r="K23" s="189">
        <f t="shared" si="6"/>
        <v>124.74653485798241</v>
      </c>
      <c r="L23" s="189">
        <f t="shared" si="6"/>
        <v>135.72945467662888</v>
      </c>
      <c r="M23" s="189">
        <f t="shared" si="6"/>
        <v>147.0346810540307</v>
      </c>
      <c r="N23" s="190">
        <f t="shared" si="6"/>
        <v>2828.1009224481877</v>
      </c>
    </row>
    <row r="24" spans="2:14" x14ac:dyDescent="0.25">
      <c r="B24" s="196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8"/>
    </row>
    <row r="25" spans="2:14" x14ac:dyDescent="0.25">
      <c r="B25" s="193" t="s">
        <v>191</v>
      </c>
      <c r="C25" s="189">
        <f>IF(Assumptions!D7=Assumptions!C100,Assumptions!D9/1000,Assumptions!D8/1000)</f>
        <v>5402.6668223999995</v>
      </c>
      <c r="D25" s="199"/>
      <c r="E25" s="200" t="s">
        <v>192</v>
      </c>
      <c r="F25" s="199"/>
      <c r="G25" s="199"/>
      <c r="H25" s="189">
        <f>M25</f>
        <v>6750.6242194737633</v>
      </c>
      <c r="I25" s="199"/>
      <c r="J25" s="200" t="s">
        <v>192</v>
      </c>
      <c r="K25" s="199"/>
      <c r="L25" s="199"/>
      <c r="M25" s="189">
        <f>N9/Assumptions!M25</f>
        <v>6750.6242194737633</v>
      </c>
      <c r="N25" s="201"/>
    </row>
    <row r="26" spans="2:14" x14ac:dyDescent="0.25">
      <c r="B26" s="188" t="s">
        <v>205</v>
      </c>
      <c r="C26" s="189">
        <f>SUM(E15:N15)</f>
        <v>175</v>
      </c>
      <c r="D26" s="199"/>
      <c r="E26" s="202" t="str">
        <f xml:space="preserve"> "- Net Book Value"</f>
        <v>- Net Book Value</v>
      </c>
      <c r="F26" s="199"/>
      <c r="G26" s="199"/>
      <c r="H26" s="191">
        <f>-C28</f>
        <v>-4104.2122344727268</v>
      </c>
      <c r="I26" s="199"/>
      <c r="J26" s="202" t="s">
        <v>206</v>
      </c>
      <c r="K26" s="199"/>
      <c r="L26" s="199"/>
      <c r="M26" s="189">
        <f>-H33</f>
        <v>-470.63452714651913</v>
      </c>
      <c r="N26" s="201"/>
    </row>
    <row r="27" spans="2:14" x14ac:dyDescent="0.25">
      <c r="B27" s="188" t="s">
        <v>203</v>
      </c>
      <c r="C27" s="191">
        <f>SUM(E16:N16)</f>
        <v>-1473.4545879272725</v>
      </c>
      <c r="D27" s="199"/>
      <c r="E27" s="200" t="s">
        <v>194</v>
      </c>
      <c r="F27" s="199"/>
      <c r="G27" s="199"/>
      <c r="H27" s="189">
        <f>SUM(H25:H26)</f>
        <v>2646.4119850010366</v>
      </c>
      <c r="I27" s="199"/>
      <c r="J27" s="202" t="s">
        <v>207</v>
      </c>
      <c r="K27" s="199"/>
      <c r="L27" s="199"/>
      <c r="M27" s="191">
        <f>-IF(Assumptions!M35=Assumptions!C105,Amortization!F124/1000,Amortization!F13/1000)</f>
        <v>-3610.5596190412848</v>
      </c>
      <c r="N27" s="201"/>
    </row>
    <row r="28" spans="2:14" x14ac:dyDescent="0.25">
      <c r="B28" s="193" t="s">
        <v>193</v>
      </c>
      <c r="C28" s="189">
        <f>SUM(C25:C27)</f>
        <v>4104.2122344727268</v>
      </c>
      <c r="D28" s="199"/>
      <c r="E28" s="200"/>
      <c r="F28" s="199"/>
      <c r="G28" s="199"/>
      <c r="H28" s="189"/>
      <c r="I28" s="199"/>
      <c r="J28" s="200" t="s">
        <v>182</v>
      </c>
      <c r="K28" s="199"/>
      <c r="L28" s="199"/>
      <c r="M28" s="189">
        <f>SUM(M25:M27)</f>
        <v>2669.4300732859597</v>
      </c>
      <c r="N28" s="201"/>
    </row>
    <row r="29" spans="2:14" x14ac:dyDescent="0.25">
      <c r="B29" s="193"/>
      <c r="C29" s="189"/>
      <c r="D29" s="199"/>
      <c r="E29" s="200" t="s">
        <v>195</v>
      </c>
      <c r="F29" s="199"/>
      <c r="G29" s="199"/>
      <c r="H29" s="189">
        <f>-C27</f>
        <v>1473.4545879272725</v>
      </c>
      <c r="I29" s="199"/>
      <c r="J29" s="200"/>
      <c r="K29" s="199"/>
      <c r="L29" s="199"/>
      <c r="M29" s="189"/>
      <c r="N29" s="201"/>
    </row>
    <row r="30" spans="2:14" x14ac:dyDescent="0.25">
      <c r="B30" s="193" t="s">
        <v>196</v>
      </c>
      <c r="C30" s="189">
        <f>C25*0.25</f>
        <v>1350.6667055999999</v>
      </c>
      <c r="D30" s="199"/>
      <c r="E30" s="200" t="str">
        <f>"Taxes @ " &amp;TEXT(Assumptions!D31,"0.00%")</f>
        <v>Taxes @ 20.00%</v>
      </c>
      <c r="F30" s="199"/>
      <c r="G30" s="199"/>
      <c r="H30" s="189">
        <f>H29*Assumptions!D31</f>
        <v>294.69091758545454</v>
      </c>
      <c r="I30" s="199"/>
      <c r="J30" s="200"/>
      <c r="K30" s="199"/>
      <c r="L30" s="199"/>
      <c r="M30" s="189"/>
      <c r="N30" s="201"/>
    </row>
    <row r="31" spans="2:14" x14ac:dyDescent="0.25">
      <c r="B31" s="193" t="s">
        <v>197</v>
      </c>
      <c r="C31" s="189">
        <f>C25-C30</f>
        <v>4052.0001167999999</v>
      </c>
      <c r="D31" s="199"/>
      <c r="E31" s="200" t="s">
        <v>198</v>
      </c>
      <c r="F31" s="199"/>
      <c r="G31" s="199"/>
      <c r="H31" s="189">
        <f>H27-H29</f>
        <v>1172.957397073764</v>
      </c>
      <c r="I31" s="199"/>
      <c r="J31" s="200"/>
      <c r="K31" s="199"/>
      <c r="L31" s="199"/>
      <c r="M31" s="189"/>
      <c r="N31" s="201"/>
    </row>
    <row r="32" spans="2:14" x14ac:dyDescent="0.25">
      <c r="B32" s="193"/>
      <c r="C32" s="199"/>
      <c r="D32" s="199"/>
      <c r="E32" s="200" t="s">
        <v>210</v>
      </c>
      <c r="F32" s="199"/>
      <c r="G32" s="199"/>
      <c r="H32" s="191">
        <f>H31*0.15</f>
        <v>175.94360956106459</v>
      </c>
      <c r="I32" s="199"/>
      <c r="J32" s="200" t="s">
        <v>199</v>
      </c>
      <c r="K32" s="199"/>
      <c r="L32" s="199"/>
      <c r="M32" s="189">
        <f>NPV(Assumptions!D32,Annual!D23:N23)</f>
        <v>175.52374971048172</v>
      </c>
      <c r="N32" s="201"/>
    </row>
    <row r="33" spans="2:14" x14ac:dyDescent="0.25">
      <c r="B33" s="193"/>
      <c r="C33" s="199"/>
      <c r="D33" s="199"/>
      <c r="E33" s="200" t="s">
        <v>200</v>
      </c>
      <c r="F33" s="199"/>
      <c r="G33" s="199"/>
      <c r="H33" s="189">
        <f>H30+H32</f>
        <v>470.63452714651913</v>
      </c>
      <c r="I33" s="199"/>
      <c r="J33" s="200" t="s">
        <v>201</v>
      </c>
      <c r="K33" s="199"/>
      <c r="L33" s="199"/>
      <c r="M33" s="203">
        <f>IRR(D23:N23)</f>
        <v>0.17838741474953723</v>
      </c>
      <c r="N33" s="201"/>
    </row>
    <row r="34" spans="2:14" x14ac:dyDescent="0.25">
      <c r="B34" s="196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8"/>
    </row>
    <row r="35" spans="2:14" x14ac:dyDescent="0.25">
      <c r="F35" s="311" t="str">
        <f>"Breakdown of "&amp;TEXT(M33,"0.00%")&amp;" Internal Rate of Return $000s (Exhibit 8)"</f>
        <v>Breakdown of 17.84% Internal Rate of Return $000s (Exhibit 8)</v>
      </c>
      <c r="G35" s="312"/>
      <c r="H35" s="312"/>
      <c r="I35" s="312"/>
      <c r="J35" s="312"/>
      <c r="K35" s="312"/>
      <c r="L35" s="312"/>
      <c r="M35" s="312"/>
      <c r="N35" s="313"/>
    </row>
    <row r="36" spans="2:14" x14ac:dyDescent="0.25">
      <c r="F36" s="39"/>
      <c r="G36" s="309" t="s">
        <v>140</v>
      </c>
      <c r="H36" s="309"/>
      <c r="I36" s="309" t="s">
        <v>212</v>
      </c>
      <c r="J36" s="309"/>
      <c r="K36" s="309" t="s">
        <v>213</v>
      </c>
      <c r="L36" s="309"/>
      <c r="M36" s="309" t="s">
        <v>6</v>
      </c>
      <c r="N36" s="310"/>
    </row>
    <row r="37" spans="2:14" x14ac:dyDescent="0.25">
      <c r="F37" s="211" t="s">
        <v>155</v>
      </c>
      <c r="G37" s="82" t="s">
        <v>214</v>
      </c>
      <c r="H37" s="82" t="s">
        <v>215</v>
      </c>
      <c r="I37" s="82" t="s">
        <v>214</v>
      </c>
      <c r="J37" s="82" t="s">
        <v>215</v>
      </c>
      <c r="K37" s="82" t="s">
        <v>214</v>
      </c>
      <c r="L37" s="82" t="s">
        <v>215</v>
      </c>
      <c r="M37" s="82" t="s">
        <v>214</v>
      </c>
      <c r="N37" s="64" t="s">
        <v>215</v>
      </c>
    </row>
    <row r="38" spans="2:14" x14ac:dyDescent="0.25">
      <c r="F38" s="39">
        <v>1</v>
      </c>
      <c r="G38" s="179">
        <f>E12</f>
        <v>63.750286872576794</v>
      </c>
      <c r="H38" s="179">
        <f>-PV($M$33,F38,0,G38)</f>
        <v>54.099599227412597</v>
      </c>
      <c r="I38" s="179">
        <f>E19</f>
        <v>1.4068732539434223</v>
      </c>
      <c r="J38" s="179">
        <f>-PV($M$33,F38,0,I38)</f>
        <v>1.1938970463652221</v>
      </c>
      <c r="K38" s="179">
        <v>0</v>
      </c>
      <c r="L38" s="179">
        <v>0</v>
      </c>
      <c r="M38" s="179">
        <f>G38+I38+K38</f>
        <v>65.15716012652021</v>
      </c>
      <c r="N38" s="180">
        <f>-PV($M$33,F38,0,M38)</f>
        <v>55.293496273777819</v>
      </c>
    </row>
    <row r="39" spans="2:14" x14ac:dyDescent="0.25">
      <c r="F39" s="39">
        <v>2</v>
      </c>
      <c r="G39" s="179">
        <f>F12</f>
        <v>76.108286802496707</v>
      </c>
      <c r="H39" s="179">
        <f t="shared" ref="H39:H47" si="7">-PV($M$33,F39,0,G39)</f>
        <v>54.809489236326648</v>
      </c>
      <c r="I39" s="179">
        <f>F19</f>
        <v>-1.7310254679179309</v>
      </c>
      <c r="J39" s="179">
        <f t="shared" ref="J39:J47" si="8">-PV($M$33,F39,0,I39)</f>
        <v>-1.2466004128809629</v>
      </c>
      <c r="K39" s="179">
        <v>0</v>
      </c>
      <c r="L39" s="179">
        <v>0</v>
      </c>
      <c r="M39" s="179">
        <f t="shared" ref="M39:M47" si="9">G39+I39+K39</f>
        <v>74.377261334578776</v>
      </c>
      <c r="N39" s="180">
        <f t="shared" ref="N39:N47" si="10">-PV($M$33,F39,0,M39)</f>
        <v>53.562888823445689</v>
      </c>
    </row>
    <row r="40" spans="2:14" x14ac:dyDescent="0.25">
      <c r="F40" s="39">
        <v>3</v>
      </c>
      <c r="G40" s="179">
        <f>G12</f>
        <v>88.856201730314467</v>
      </c>
      <c r="H40" s="179">
        <f t="shared" si="7"/>
        <v>54.302954366566269</v>
      </c>
      <c r="I40" s="179">
        <f>G19</f>
        <v>-4.9844916754272788</v>
      </c>
      <c r="J40" s="179">
        <f t="shared" si="8"/>
        <v>-3.0461871959457549</v>
      </c>
      <c r="K40" s="179">
        <v>0</v>
      </c>
      <c r="L40" s="179">
        <v>0</v>
      </c>
      <c r="M40" s="179">
        <f t="shared" si="9"/>
        <v>83.871710054887188</v>
      </c>
      <c r="N40" s="180">
        <f t="shared" si="10"/>
        <v>51.256767170620513</v>
      </c>
    </row>
    <row r="41" spans="2:14" x14ac:dyDescent="0.25">
      <c r="F41" s="39">
        <v>4</v>
      </c>
      <c r="G41" s="179">
        <f>H12</f>
        <v>102.00611260596662</v>
      </c>
      <c r="H41" s="179">
        <f t="shared" si="7"/>
        <v>52.902209969477155</v>
      </c>
      <c r="I41" s="179">
        <f>H19</f>
        <v>-8.3580616190147623</v>
      </c>
      <c r="J41" s="179">
        <f t="shared" si="8"/>
        <v>-4.3346415171700601</v>
      </c>
      <c r="K41" s="179">
        <v>0</v>
      </c>
      <c r="L41" s="179">
        <v>0</v>
      </c>
      <c r="M41" s="179">
        <f t="shared" si="9"/>
        <v>93.648050986951858</v>
      </c>
      <c r="N41" s="180">
        <f t="shared" si="10"/>
        <v>48.567568452307093</v>
      </c>
    </row>
    <row r="42" spans="2:14" x14ac:dyDescent="0.25">
      <c r="F42" s="39">
        <v>5</v>
      </c>
      <c r="G42" s="179">
        <f>I12</f>
        <v>115.57047047788825</v>
      </c>
      <c r="H42" s="179">
        <f t="shared" si="7"/>
        <v>50.863518978254987</v>
      </c>
      <c r="I42" s="179">
        <f>I19</f>
        <v>-11.856465156883656</v>
      </c>
      <c r="J42" s="179">
        <f t="shared" si="8"/>
        <v>-5.2181282816318788</v>
      </c>
      <c r="K42" s="179">
        <v>0</v>
      </c>
      <c r="L42" s="179">
        <v>0</v>
      </c>
      <c r="M42" s="179">
        <f t="shared" si="9"/>
        <v>103.71400532100459</v>
      </c>
      <c r="N42" s="180">
        <f t="shared" si="10"/>
        <v>45.645390696623103</v>
      </c>
    </row>
    <row r="43" spans="2:14" x14ac:dyDescent="0.25">
      <c r="F43" s="39">
        <v>6</v>
      </c>
      <c r="G43" s="179">
        <f>J12</f>
        <v>129.56210774936767</v>
      </c>
      <c r="H43" s="179">
        <f t="shared" si="7"/>
        <v>48.389310201405941</v>
      </c>
      <c r="I43" s="179">
        <f>J19</f>
        <v>-15.484634751988716</v>
      </c>
      <c r="J43" s="179">
        <f t="shared" si="8"/>
        <v>-5.7832556708549649</v>
      </c>
      <c r="K43" s="179">
        <v>0</v>
      </c>
      <c r="L43" s="179">
        <v>0</v>
      </c>
      <c r="M43" s="179">
        <f t="shared" si="9"/>
        <v>114.07747299737895</v>
      </c>
      <c r="N43" s="180">
        <f t="shared" si="10"/>
        <v>42.606054530550978</v>
      </c>
    </row>
    <row r="44" spans="2:14" x14ac:dyDescent="0.25">
      <c r="F44" s="39">
        <v>7</v>
      </c>
      <c r="G44" s="179">
        <f>K12</f>
        <v>143.99424977565945</v>
      </c>
      <c r="H44" s="179">
        <f t="shared" si="7"/>
        <v>45.638197189019571</v>
      </c>
      <c r="I44" s="179">
        <f>K19</f>
        <v>-19.247714917677044</v>
      </c>
      <c r="J44" s="179">
        <f t="shared" si="8"/>
        <v>-6.1004589434616925</v>
      </c>
      <c r="K44" s="179">
        <v>0</v>
      </c>
      <c r="L44" s="179">
        <v>0</v>
      </c>
      <c r="M44" s="179">
        <f t="shared" si="9"/>
        <v>124.74653485798241</v>
      </c>
      <c r="N44" s="180">
        <f t="shared" si="10"/>
        <v>39.537738245557883</v>
      </c>
    </row>
    <row r="45" spans="2:14" x14ac:dyDescent="0.25">
      <c r="F45" s="39">
        <v>8</v>
      </c>
      <c r="G45" s="179">
        <f>L12</f>
        <v>158.88052681214134</v>
      </c>
      <c r="H45" s="179">
        <f t="shared" si="7"/>
        <v>42.733248335429288</v>
      </c>
      <c r="I45" s="179">
        <f>L19</f>
        <v>-23.151072135512464</v>
      </c>
      <c r="J45" s="179">
        <f t="shared" si="8"/>
        <v>-6.2268204584193851</v>
      </c>
      <c r="K45" s="179">
        <v>0</v>
      </c>
      <c r="L45" s="179">
        <v>0</v>
      </c>
      <c r="M45" s="179">
        <f t="shared" si="9"/>
        <v>135.72945467662888</v>
      </c>
      <c r="N45" s="180">
        <f t="shared" si="10"/>
        <v>36.506427877009898</v>
      </c>
    </row>
    <row r="46" spans="2:14" x14ac:dyDescent="0.25">
      <c r="F46" s="39">
        <v>9</v>
      </c>
      <c r="G46" s="179">
        <f>M12</f>
        <v>174.23498632410701</v>
      </c>
      <c r="H46" s="179">
        <f t="shared" si="7"/>
        <v>39.768801730355904</v>
      </c>
      <c r="I46" s="179">
        <f>M19</f>
        <v>-27.200305270076313</v>
      </c>
      <c r="J46" s="179">
        <f t="shared" si="8"/>
        <v>-6.2084175521363312</v>
      </c>
      <c r="K46" s="179">
        <v>0</v>
      </c>
      <c r="L46" s="179">
        <v>0</v>
      </c>
      <c r="M46" s="179">
        <f t="shared" si="9"/>
        <v>147.0346810540307</v>
      </c>
      <c r="N46" s="180">
        <f t="shared" si="10"/>
        <v>33.560384178219572</v>
      </c>
    </row>
    <row r="47" spans="2:14" x14ac:dyDescent="0.25">
      <c r="F47" s="211">
        <v>10</v>
      </c>
      <c r="G47" s="162">
        <f>N12</f>
        <v>190.07210566910891</v>
      </c>
      <c r="H47" s="162">
        <f t="shared" si="7"/>
        <v>36.816070273752786</v>
      </c>
      <c r="I47" s="162">
        <f>N19</f>
        <v>-31.401256506881108</v>
      </c>
      <c r="J47" s="162">
        <f t="shared" si="8"/>
        <v>-6.0822752616527671</v>
      </c>
      <c r="K47" s="162">
        <f>M28</f>
        <v>2669.4300732859597</v>
      </c>
      <c r="L47" s="162">
        <f>-PV(M33,F47,0,K47)</f>
        <v>517.05601315352487</v>
      </c>
      <c r="M47" s="162">
        <f t="shared" si="9"/>
        <v>2828.1009224481877</v>
      </c>
      <c r="N47" s="181">
        <f t="shared" si="10"/>
        <v>547.78980816562489</v>
      </c>
    </row>
    <row r="48" spans="2:14" x14ac:dyDescent="0.25">
      <c r="F48" s="39" t="s">
        <v>6</v>
      </c>
      <c r="G48" s="179">
        <f t="shared" ref="G48:M48" si="11">SUM(G38:G47)</f>
        <v>1243.0353348196272</v>
      </c>
      <c r="H48" s="179">
        <f t="shared" si="11"/>
        <v>480.3233995080011</v>
      </c>
      <c r="I48" s="179">
        <f t="shared" si="11"/>
        <v>-142.00815424743584</v>
      </c>
      <c r="J48" s="179">
        <f t="shared" si="11"/>
        <v>-43.05288824778858</v>
      </c>
      <c r="K48" s="179">
        <f t="shared" si="11"/>
        <v>2669.4300732859597</v>
      </c>
      <c r="L48" s="179">
        <f t="shared" si="11"/>
        <v>517.05601315352487</v>
      </c>
      <c r="M48" s="179">
        <f t="shared" si="11"/>
        <v>3770.4572538581515</v>
      </c>
      <c r="N48" s="180">
        <f>SUM(N38:N47)</f>
        <v>954.32652441373739</v>
      </c>
    </row>
    <row r="49" spans="6:14" x14ac:dyDescent="0.25">
      <c r="F49" s="212" t="s">
        <v>216</v>
      </c>
      <c r="G49" s="213"/>
      <c r="H49" s="213">
        <f>H48/N48</f>
        <v>0.5033113795124512</v>
      </c>
      <c r="I49" s="213"/>
      <c r="J49" s="213">
        <f>J48/N48</f>
        <v>-4.5113372777977501E-2</v>
      </c>
      <c r="K49" s="213"/>
      <c r="L49" s="213">
        <f>L48/N48</f>
        <v>0.54180199326552636</v>
      </c>
      <c r="M49" s="213"/>
      <c r="N49" s="214">
        <f>SUM(G49:M49)</f>
        <v>1</v>
      </c>
    </row>
    <row r="50" spans="6:14" x14ac:dyDescent="0.25">
      <c r="F50" s="211"/>
      <c r="G50" s="82"/>
      <c r="H50" s="82"/>
      <c r="I50" s="82"/>
      <c r="J50" s="82"/>
      <c r="K50" s="82"/>
      <c r="L50" s="82"/>
      <c r="M50" s="82"/>
      <c r="N50" s="64"/>
    </row>
  </sheetData>
  <mergeCells count="5">
    <mergeCell ref="I36:J36"/>
    <mergeCell ref="K36:L36"/>
    <mergeCell ref="M36:N36"/>
    <mergeCell ref="F35:N35"/>
    <mergeCell ref="G36:H36"/>
  </mergeCells>
  <pageMargins left="0.7" right="0.7" top="0.75" bottom="0.75" header="0.3" footer="0.3"/>
  <pageSetup scale="6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3"/>
  <sheetViews>
    <sheetView zoomScale="85" zoomScaleNormal="85" workbookViewId="0"/>
  </sheetViews>
  <sheetFormatPr defaultRowHeight="15" x14ac:dyDescent="0.25"/>
  <cols>
    <col min="1" max="1" width="9.140625" style="1"/>
    <col min="2" max="2" width="18.5703125" style="1" bestFit="1" customWidth="1"/>
    <col min="3" max="4" width="11.85546875" style="1" bestFit="1" customWidth="1"/>
    <col min="5" max="5" width="13.5703125" style="1" bestFit="1" customWidth="1"/>
    <col min="6" max="6" width="15.42578125" style="1" bestFit="1" customWidth="1"/>
    <col min="7" max="16384" width="9.140625" style="9"/>
  </cols>
  <sheetData>
    <row r="3" spans="1:6" x14ac:dyDescent="0.25">
      <c r="A3" s="1" t="s">
        <v>158</v>
      </c>
      <c r="B3" s="1" t="s">
        <v>156</v>
      </c>
      <c r="C3" s="1" t="s">
        <v>157</v>
      </c>
      <c r="D3" s="1" t="s">
        <v>159</v>
      </c>
      <c r="E3" s="1" t="s">
        <v>2</v>
      </c>
      <c r="F3" s="1" t="s">
        <v>160</v>
      </c>
    </row>
    <row r="4" spans="1:6" x14ac:dyDescent="0.25">
      <c r="A4" s="1">
        <v>1</v>
      </c>
      <c r="B4" s="111">
        <f>Assumptions!M30*Assumptions!M31</f>
        <v>4384326.8961230787</v>
      </c>
      <c r="C4" s="111">
        <f>IF(B4="-","",Assumptions!$M$36*Assumptions!$M$31*Assumptions!$M$30)</f>
        <v>24893.725899285277</v>
      </c>
      <c r="D4" s="111">
        <f>IF(C4="","",C4-E4)</f>
        <v>4798.8942920545014</v>
      </c>
      <c r="E4" s="111">
        <f>IF(C4="","",IF(Assumptions!$M$35=Assumptions!$C$106,B4*Assumptions!$M$33,B4*Assumptions!$M$33/12))</f>
        <v>20094.831607230775</v>
      </c>
      <c r="F4" s="111">
        <f>IF(C4="","",B4-D4)</f>
        <v>4379528.001831024</v>
      </c>
    </row>
    <row r="5" spans="1:6" x14ac:dyDescent="0.25">
      <c r="A5" s="1">
        <v>2</v>
      </c>
      <c r="B5" s="111">
        <f>IF(F4&lt;1,"",F4)</f>
        <v>4379528.001831024</v>
      </c>
      <c r="C5" s="111">
        <f>IF(B5="-","",Assumptions!$M$36*Assumptions!$M$31*Assumptions!$M$30)</f>
        <v>24893.725899285277</v>
      </c>
      <c r="D5" s="111">
        <f t="shared" ref="D5:D68" si="0">IF(C5="","",C5-E5)</f>
        <v>4820.8892242264192</v>
      </c>
      <c r="E5" s="111">
        <f>IF(C5="","",IF(Assumptions!$M$35=Assumptions!$C$106,B5*Assumptions!$M$33,B5*Assumptions!$M$33/12))</f>
        <v>20072.836675058858</v>
      </c>
      <c r="F5" s="111">
        <f t="shared" ref="F5:F68" si="1">IF(C5="","",B5-D5)</f>
        <v>4374707.1126067974</v>
      </c>
    </row>
    <row r="6" spans="1:6" x14ac:dyDescent="0.25">
      <c r="A6" s="1">
        <v>3</v>
      </c>
      <c r="B6" s="111">
        <f t="shared" ref="B6:B69" si="2">IF(F5&lt;1,"",F5)</f>
        <v>4374707.1126067974</v>
      </c>
      <c r="C6" s="111">
        <f>IF(B6="-","",Assumptions!$M$36*Assumptions!$M$31*Assumptions!$M$30)</f>
        <v>24893.725899285277</v>
      </c>
      <c r="D6" s="111">
        <f t="shared" si="0"/>
        <v>4842.984966504122</v>
      </c>
      <c r="E6" s="111">
        <f>IF(C6="","",IF(Assumptions!$M$35=Assumptions!$C$106,B6*Assumptions!$M$33,B6*Assumptions!$M$33/12))</f>
        <v>20050.740932781155</v>
      </c>
      <c r="F6" s="111">
        <f t="shared" si="1"/>
        <v>4369864.127640293</v>
      </c>
    </row>
    <row r="7" spans="1:6" x14ac:dyDescent="0.25">
      <c r="A7" s="1">
        <v>4</v>
      </c>
      <c r="B7" s="111">
        <f t="shared" si="2"/>
        <v>4369864.127640293</v>
      </c>
      <c r="C7" s="111">
        <f>IF(B7="-","",Assumptions!$M$36*Assumptions!$M$31*Assumptions!$M$30)</f>
        <v>24893.725899285277</v>
      </c>
      <c r="D7" s="111">
        <f t="shared" si="0"/>
        <v>4865.1819809339358</v>
      </c>
      <c r="E7" s="111">
        <f>IF(C7="","",IF(Assumptions!$M$35=Assumptions!$C$106,B7*Assumptions!$M$33,B7*Assumptions!$M$33/12))</f>
        <v>20028.543918351341</v>
      </c>
      <c r="F7" s="111">
        <f t="shared" si="1"/>
        <v>4364998.945659359</v>
      </c>
    </row>
    <row r="8" spans="1:6" x14ac:dyDescent="0.25">
      <c r="A8" s="1">
        <v>5</v>
      </c>
      <c r="B8" s="111">
        <f t="shared" si="2"/>
        <v>4364998.945659359</v>
      </c>
      <c r="C8" s="111">
        <f>IF(B8="-","",Assumptions!$M$36*Assumptions!$M$31*Assumptions!$M$30)</f>
        <v>24893.725899285277</v>
      </c>
      <c r="D8" s="111">
        <f t="shared" si="0"/>
        <v>4887.4807316798833</v>
      </c>
      <c r="E8" s="111">
        <f>IF(C8="","",IF(Assumptions!$M$35=Assumptions!$C$106,B8*Assumptions!$M$33,B8*Assumptions!$M$33/12))</f>
        <v>20006.245167605393</v>
      </c>
      <c r="F8" s="111">
        <f t="shared" si="1"/>
        <v>4360111.4649276789</v>
      </c>
    </row>
    <row r="9" spans="1:6" x14ac:dyDescent="0.25">
      <c r="A9" s="1">
        <v>6</v>
      </c>
      <c r="B9" s="111">
        <f t="shared" si="2"/>
        <v>4360111.4649276789</v>
      </c>
      <c r="C9" s="111">
        <f>IF(B9="-","",Assumptions!$M$36*Assumptions!$M$31*Assumptions!$M$30)</f>
        <v>24893.725899285277</v>
      </c>
      <c r="D9" s="111">
        <f t="shared" si="0"/>
        <v>4909.8816850334151</v>
      </c>
      <c r="E9" s="111">
        <f>IF(C9="","",IF(Assumptions!$M$35=Assumptions!$C$106,B9*Assumptions!$M$33,B9*Assumptions!$M$33/12))</f>
        <v>19983.844214251862</v>
      </c>
      <c r="F9" s="111">
        <f t="shared" si="1"/>
        <v>4355201.5832426455</v>
      </c>
    </row>
    <row r="10" spans="1:6" x14ac:dyDescent="0.25">
      <c r="A10" s="1">
        <v>7</v>
      </c>
      <c r="B10" s="111">
        <f t="shared" si="2"/>
        <v>4355201.5832426455</v>
      </c>
      <c r="C10" s="111">
        <f>IF(B10="-","",Assumptions!$M$36*Assumptions!$M$31*Assumptions!$M$30)</f>
        <v>24893.725899285277</v>
      </c>
      <c r="D10" s="111">
        <f t="shared" si="0"/>
        <v>4932.3853094231526</v>
      </c>
      <c r="E10" s="111">
        <f>IF(C10="","",IF(Assumptions!$M$35=Assumptions!$C$106,B10*Assumptions!$M$33,B10*Assumptions!$M$33/12))</f>
        <v>19961.340589862124</v>
      </c>
      <c r="F10" s="111">
        <f t="shared" si="1"/>
        <v>4350269.1979332222</v>
      </c>
    </row>
    <row r="11" spans="1:6" x14ac:dyDescent="0.25">
      <c r="A11" s="1">
        <v>8</v>
      </c>
      <c r="B11" s="111">
        <f t="shared" si="2"/>
        <v>4350269.1979332222</v>
      </c>
      <c r="C11" s="111">
        <f>IF(B11="-","",Assumptions!$M$36*Assumptions!$M$31*Assumptions!$M$30)</f>
        <v>24893.725899285277</v>
      </c>
      <c r="D11" s="111">
        <f t="shared" si="0"/>
        <v>4954.9920754246741</v>
      </c>
      <c r="E11" s="111">
        <f>IF(C11="","",IF(Assumptions!$M$35=Assumptions!$C$106,B11*Assumptions!$M$33,B11*Assumptions!$M$33/12))</f>
        <v>19938.733823860603</v>
      </c>
      <c r="F11" s="111">
        <f t="shared" si="1"/>
        <v>4345314.2058577975</v>
      </c>
    </row>
    <row r="12" spans="1:6" x14ac:dyDescent="0.25">
      <c r="A12" s="1">
        <v>9</v>
      </c>
      <c r="B12" s="111">
        <f t="shared" si="2"/>
        <v>4345314.2058577975</v>
      </c>
      <c r="C12" s="111">
        <f>IF(B12="-","",Assumptions!$M$36*Assumptions!$M$31*Assumptions!$M$30)</f>
        <v>24893.725899285277</v>
      </c>
      <c r="D12" s="111">
        <f t="shared" si="0"/>
        <v>4977.7024557703699</v>
      </c>
      <c r="E12" s="111">
        <f>IF(C12="","",IF(Assumptions!$M$35=Assumptions!$C$106,B12*Assumptions!$M$33,B12*Assumptions!$M$33/12))</f>
        <v>19916.023443514907</v>
      </c>
      <c r="F12" s="111">
        <f t="shared" si="1"/>
        <v>4340336.5034020273</v>
      </c>
    </row>
    <row r="13" spans="1:6" x14ac:dyDescent="0.25">
      <c r="A13" s="1">
        <v>10</v>
      </c>
      <c r="B13" s="111">
        <f t="shared" si="2"/>
        <v>4340336.5034020273</v>
      </c>
      <c r="C13" s="111">
        <f>IF(B13="-","",Assumptions!$M$36*Assumptions!$M$31*Assumptions!$M$30)</f>
        <v>24893.725899285277</v>
      </c>
      <c r="D13" s="111">
        <f t="shared" si="0"/>
        <v>5000.5169253593194</v>
      </c>
      <c r="E13" s="111">
        <f>IF(C13="","",IF(Assumptions!$M$35=Assumptions!$C$106,B13*Assumptions!$M$33,B13*Assumptions!$M$33/12))</f>
        <v>19893.208973925957</v>
      </c>
      <c r="F13" s="111">
        <f t="shared" si="1"/>
        <v>4335335.9864766682</v>
      </c>
    </row>
    <row r="14" spans="1:6" x14ac:dyDescent="0.25">
      <c r="A14" s="1">
        <v>11</v>
      </c>
      <c r="B14" s="111">
        <f t="shared" si="2"/>
        <v>4335335.9864766682</v>
      </c>
      <c r="C14" s="111">
        <f>IF(B14="-","",Assumptions!$M$36*Assumptions!$M$31*Assumptions!$M$30)</f>
        <v>24893.725899285277</v>
      </c>
      <c r="D14" s="111">
        <f t="shared" si="0"/>
        <v>5023.4359612672124</v>
      </c>
      <c r="E14" s="111">
        <f>IF(C14="","",IF(Assumptions!$M$35=Assumptions!$C$106,B14*Assumptions!$M$33,B14*Assumptions!$M$33/12))</f>
        <v>19870.289938018064</v>
      </c>
      <c r="F14" s="111">
        <f t="shared" si="1"/>
        <v>4330312.5505154012</v>
      </c>
    </row>
    <row r="15" spans="1:6" x14ac:dyDescent="0.25">
      <c r="A15" s="1">
        <v>12</v>
      </c>
      <c r="B15" s="111">
        <f t="shared" si="2"/>
        <v>4330312.5505154012</v>
      </c>
      <c r="C15" s="111">
        <f>IF(B15="-","",Assumptions!$M$36*Assumptions!$M$31*Assumptions!$M$30)</f>
        <v>24893.725899285277</v>
      </c>
      <c r="D15" s="111">
        <f t="shared" si="0"/>
        <v>5046.4600427563564</v>
      </c>
      <c r="E15" s="111">
        <f>IF(C15="","",IF(Assumptions!$M$35=Assumptions!$C$106,B15*Assumptions!$M$33,B15*Assumptions!$M$33/12))</f>
        <v>19847.26585652892</v>
      </c>
      <c r="F15" s="111">
        <f t="shared" si="1"/>
        <v>4325266.0904726451</v>
      </c>
    </row>
    <row r="16" spans="1:6" x14ac:dyDescent="0.25">
      <c r="A16" s="1">
        <v>13</v>
      </c>
      <c r="B16" s="111">
        <f t="shared" si="2"/>
        <v>4325266.0904726451</v>
      </c>
      <c r="C16" s="111">
        <f>IF(B16="-","",Assumptions!$M$36*Assumptions!$M$31*Assumptions!$M$30)</f>
        <v>24893.725899285277</v>
      </c>
      <c r="D16" s="111">
        <f t="shared" si="0"/>
        <v>5069.5896512856525</v>
      </c>
      <c r="E16" s="111">
        <f>IF(C16="","",IF(Assumptions!$M$35=Assumptions!$C$106,B16*Assumptions!$M$33,B16*Assumptions!$M$33/12))</f>
        <v>19824.136247999624</v>
      </c>
      <c r="F16" s="111">
        <f t="shared" si="1"/>
        <v>4320196.5008213595</v>
      </c>
    </row>
    <row r="17" spans="1:6" x14ac:dyDescent="0.25">
      <c r="A17" s="1">
        <v>14</v>
      </c>
      <c r="B17" s="111">
        <f t="shared" si="2"/>
        <v>4320196.5008213595</v>
      </c>
      <c r="C17" s="111">
        <f>IF(B17="-","",Assumptions!$M$36*Assumptions!$M$31*Assumptions!$M$30)</f>
        <v>24893.725899285277</v>
      </c>
      <c r="D17" s="111">
        <f t="shared" si="0"/>
        <v>5092.8252705207124</v>
      </c>
      <c r="E17" s="111">
        <f>IF(C17="","",IF(Assumptions!$M$35=Assumptions!$C$106,B17*Assumptions!$M$33,B17*Assumptions!$M$33/12))</f>
        <v>19800.900628764564</v>
      </c>
      <c r="F17" s="111">
        <f t="shared" si="1"/>
        <v>4315103.6755508389</v>
      </c>
    </row>
    <row r="18" spans="1:6" x14ac:dyDescent="0.25">
      <c r="A18" s="1">
        <v>15</v>
      </c>
      <c r="B18" s="111">
        <f t="shared" si="2"/>
        <v>4315103.6755508389</v>
      </c>
      <c r="C18" s="111">
        <f>IF(B18="-","",Assumptions!$M$36*Assumptions!$M$31*Assumptions!$M$30)</f>
        <v>24893.725899285277</v>
      </c>
      <c r="D18" s="111">
        <f t="shared" si="0"/>
        <v>5116.1673863439319</v>
      </c>
      <c r="E18" s="111">
        <f>IF(C18="","",IF(Assumptions!$M$35=Assumptions!$C$106,B18*Assumptions!$M$33,B18*Assumptions!$M$33/12))</f>
        <v>19777.558512941345</v>
      </c>
      <c r="F18" s="111">
        <f t="shared" si="1"/>
        <v>4309987.5081644952</v>
      </c>
    </row>
    <row r="19" spans="1:6" x14ac:dyDescent="0.25">
      <c r="A19" s="1">
        <v>16</v>
      </c>
      <c r="B19" s="111">
        <f t="shared" si="2"/>
        <v>4309987.5081644952</v>
      </c>
      <c r="C19" s="111">
        <f>IF(B19="-","",Assumptions!$M$36*Assumptions!$M$31*Assumptions!$M$30)</f>
        <v>24893.725899285277</v>
      </c>
      <c r="D19" s="111">
        <f t="shared" si="0"/>
        <v>5139.6164868646738</v>
      </c>
      <c r="E19" s="111">
        <f>IF(C19="","",IF(Assumptions!$M$35=Assumptions!$C$106,B19*Assumptions!$M$33,B19*Assumptions!$M$33/12))</f>
        <v>19754.109412420603</v>
      </c>
      <c r="F19" s="111">
        <f t="shared" si="1"/>
        <v>4304847.8916776301</v>
      </c>
    </row>
    <row r="20" spans="1:6" x14ac:dyDescent="0.25">
      <c r="A20" s="1">
        <v>17</v>
      </c>
      <c r="B20" s="111">
        <f t="shared" si="2"/>
        <v>4304847.8916776301</v>
      </c>
      <c r="C20" s="111">
        <f>IF(B20="-","",Assumptions!$M$36*Assumptions!$M$31*Assumptions!$M$30)</f>
        <v>24893.725899285277</v>
      </c>
      <c r="D20" s="111">
        <f t="shared" si="0"/>
        <v>5163.1730624294723</v>
      </c>
      <c r="E20" s="111">
        <f>IF(C20="","",IF(Assumptions!$M$35=Assumptions!$C$106,B20*Assumptions!$M$33,B20*Assumptions!$M$33/12))</f>
        <v>19730.552836855804</v>
      </c>
      <c r="F20" s="111">
        <f t="shared" si="1"/>
        <v>4299684.7186152004</v>
      </c>
    </row>
    <row r="21" spans="1:6" x14ac:dyDescent="0.25">
      <c r="A21" s="1">
        <v>18</v>
      </c>
      <c r="B21" s="111">
        <f t="shared" si="2"/>
        <v>4299684.7186152004</v>
      </c>
      <c r="C21" s="111">
        <f>IF(B21="-","",Assumptions!$M$36*Assumptions!$M$31*Assumptions!$M$30)</f>
        <v>24893.725899285277</v>
      </c>
      <c r="D21" s="111">
        <f t="shared" si="0"/>
        <v>5186.8376056322741</v>
      </c>
      <c r="E21" s="111">
        <f>IF(C21="","",IF(Assumptions!$M$35=Assumptions!$C$106,B21*Assumptions!$M$33,B21*Assumptions!$M$33/12))</f>
        <v>19706.888293653003</v>
      </c>
      <c r="F21" s="111">
        <f t="shared" si="1"/>
        <v>4294497.8810095685</v>
      </c>
    </row>
    <row r="22" spans="1:6" x14ac:dyDescent="0.25">
      <c r="A22" s="1">
        <v>19</v>
      </c>
      <c r="B22" s="111">
        <f t="shared" si="2"/>
        <v>4294497.8810095685</v>
      </c>
      <c r="C22" s="111">
        <f>IF(B22="-","",Assumptions!$M$36*Assumptions!$M$31*Assumptions!$M$30)</f>
        <v>24893.725899285277</v>
      </c>
      <c r="D22" s="111">
        <f t="shared" si="0"/>
        <v>5210.6106113247552</v>
      </c>
      <c r="E22" s="111">
        <f>IF(C22="","",IF(Assumptions!$M$35=Assumptions!$C$106,B22*Assumptions!$M$33,B22*Assumptions!$M$33/12))</f>
        <v>19683.115287960522</v>
      </c>
      <c r="F22" s="111">
        <f t="shared" si="1"/>
        <v>4289287.2703982433</v>
      </c>
    </row>
    <row r="23" spans="1:6" x14ac:dyDescent="0.25">
      <c r="A23" s="1">
        <v>20</v>
      </c>
      <c r="B23" s="111">
        <f t="shared" si="2"/>
        <v>4289287.2703982433</v>
      </c>
      <c r="C23" s="111">
        <f>IF(B23="-","",Assumptions!$M$36*Assumptions!$M$31*Assumptions!$M$30)</f>
        <v>24893.725899285277</v>
      </c>
      <c r="D23" s="111">
        <f t="shared" si="0"/>
        <v>5234.4925766266606</v>
      </c>
      <c r="E23" s="111">
        <f>IF(C23="","",IF(Assumptions!$M$35=Assumptions!$C$106,B23*Assumptions!$M$33,B23*Assumptions!$M$33/12))</f>
        <v>19659.233322658616</v>
      </c>
      <c r="F23" s="111">
        <f t="shared" si="1"/>
        <v>4284052.7778216163</v>
      </c>
    </row>
    <row r="24" spans="1:6" x14ac:dyDescent="0.25">
      <c r="A24" s="1">
        <v>21</v>
      </c>
      <c r="B24" s="111">
        <f t="shared" si="2"/>
        <v>4284052.7778216163</v>
      </c>
      <c r="C24" s="111">
        <f>IF(B24="-","",Assumptions!$M$36*Assumptions!$M$31*Assumptions!$M$30)</f>
        <v>24893.725899285277</v>
      </c>
      <c r="D24" s="111">
        <f t="shared" si="0"/>
        <v>5258.4840009362015</v>
      </c>
      <c r="E24" s="111">
        <f>IF(C24="","",IF(Assumptions!$M$35=Assumptions!$C$106,B24*Assumptions!$M$33,B24*Assumptions!$M$33/12))</f>
        <v>19635.241898349075</v>
      </c>
      <c r="F24" s="111">
        <f t="shared" si="1"/>
        <v>4278794.2938206801</v>
      </c>
    </row>
    <row r="25" spans="1:6" x14ac:dyDescent="0.25">
      <c r="A25" s="1">
        <v>22</v>
      </c>
      <c r="B25" s="111">
        <f t="shared" si="2"/>
        <v>4278794.2938206801</v>
      </c>
      <c r="C25" s="111">
        <f>IF(B25="-","",Assumptions!$M$36*Assumptions!$M$31*Assumptions!$M$30)</f>
        <v>24893.725899285277</v>
      </c>
      <c r="D25" s="111">
        <f t="shared" si="0"/>
        <v>5282.5853859404924</v>
      </c>
      <c r="E25" s="111">
        <f>IF(C25="","",IF(Assumptions!$M$35=Assumptions!$C$106,B25*Assumptions!$M$33,B25*Assumptions!$M$33/12))</f>
        <v>19611.140513344784</v>
      </c>
      <c r="F25" s="111">
        <f t="shared" si="1"/>
        <v>4273511.7084347401</v>
      </c>
    </row>
    <row r="26" spans="1:6" x14ac:dyDescent="0.25">
      <c r="A26" s="1">
        <v>23</v>
      </c>
      <c r="B26" s="111">
        <f t="shared" si="2"/>
        <v>4273511.7084347401</v>
      </c>
      <c r="C26" s="111">
        <f>IF(B26="-","",Assumptions!$M$36*Assumptions!$M$31*Assumptions!$M$30)</f>
        <v>24893.725899285277</v>
      </c>
      <c r="D26" s="111">
        <f t="shared" si="0"/>
        <v>5306.7972356260507</v>
      </c>
      <c r="E26" s="111">
        <f>IF(C26="","",IF(Assumptions!$M$35=Assumptions!$C$106,B26*Assumptions!$M$33,B26*Assumptions!$M$33/12))</f>
        <v>19586.928663659226</v>
      </c>
      <c r="F26" s="111">
        <f t="shared" si="1"/>
        <v>4268204.9111991143</v>
      </c>
    </row>
    <row r="27" spans="1:6" x14ac:dyDescent="0.25">
      <c r="A27" s="1">
        <v>24</v>
      </c>
      <c r="B27" s="111">
        <f t="shared" si="2"/>
        <v>4268204.9111991143</v>
      </c>
      <c r="C27" s="111">
        <f>IF(B27="-","",Assumptions!$M$36*Assumptions!$M$31*Assumptions!$M$30)</f>
        <v>24893.725899285277</v>
      </c>
      <c r="D27" s="111">
        <f t="shared" si="0"/>
        <v>5331.1200562893355</v>
      </c>
      <c r="E27" s="111">
        <f>IF(C27="","",IF(Assumptions!$M$35=Assumptions!$C$106,B27*Assumptions!$M$33,B27*Assumptions!$M$33/12))</f>
        <v>19562.605842995941</v>
      </c>
      <c r="F27" s="111">
        <f t="shared" si="1"/>
        <v>4262873.791142825</v>
      </c>
    </row>
    <row r="28" spans="1:6" x14ac:dyDescent="0.25">
      <c r="A28" s="1">
        <v>25</v>
      </c>
      <c r="B28" s="111">
        <f t="shared" si="2"/>
        <v>4262873.791142825</v>
      </c>
      <c r="C28" s="111">
        <f>IF(B28="-","",Assumptions!$M$36*Assumptions!$M$31*Assumptions!$M$30)</f>
        <v>24893.725899285277</v>
      </c>
      <c r="D28" s="111">
        <f t="shared" si="0"/>
        <v>5355.5543565473272</v>
      </c>
      <c r="E28" s="111">
        <f>IF(C28="","",IF(Assumptions!$M$35=Assumptions!$C$106,B28*Assumptions!$M$33,B28*Assumptions!$M$33/12))</f>
        <v>19538.171542737949</v>
      </c>
      <c r="F28" s="111">
        <f t="shared" si="1"/>
        <v>4257518.236786278</v>
      </c>
    </row>
    <row r="29" spans="1:6" x14ac:dyDescent="0.25">
      <c r="A29" s="1">
        <v>26</v>
      </c>
      <c r="B29" s="111">
        <f t="shared" si="2"/>
        <v>4257518.236786278</v>
      </c>
      <c r="C29" s="111">
        <f>IF(B29="-","",Assumptions!$M$36*Assumptions!$M$31*Assumptions!$M$30)</f>
        <v>24893.725899285277</v>
      </c>
      <c r="D29" s="111">
        <f t="shared" si="0"/>
        <v>5380.1006473481684</v>
      </c>
      <c r="E29" s="111">
        <f>IF(C29="","",IF(Assumptions!$M$35=Assumptions!$C$106,B29*Assumptions!$M$33,B29*Assumptions!$M$33/12))</f>
        <v>19513.625251937108</v>
      </c>
      <c r="F29" s="111">
        <f t="shared" si="1"/>
        <v>4252138.13613893</v>
      </c>
    </row>
    <row r="30" spans="1:6" x14ac:dyDescent="0.25">
      <c r="A30" s="1">
        <v>27</v>
      </c>
      <c r="B30" s="111">
        <f t="shared" si="2"/>
        <v>4252138.13613893</v>
      </c>
      <c r="C30" s="111">
        <f>IF(B30="-","",Assumptions!$M$36*Assumptions!$M$31*Assumptions!$M$30)</f>
        <v>24893.725899285277</v>
      </c>
      <c r="D30" s="111">
        <f t="shared" si="0"/>
        <v>5404.7594419818488</v>
      </c>
      <c r="E30" s="111">
        <f>IF(C30="","",IF(Assumptions!$M$35=Assumptions!$C$106,B30*Assumptions!$M$33,B30*Assumptions!$M$33/12))</f>
        <v>19488.966457303428</v>
      </c>
      <c r="F30" s="111">
        <f t="shared" si="1"/>
        <v>4246733.376696948</v>
      </c>
    </row>
    <row r="31" spans="1:6" x14ac:dyDescent="0.25">
      <c r="A31" s="1">
        <v>28</v>
      </c>
      <c r="B31" s="111">
        <f t="shared" si="2"/>
        <v>4246733.376696948</v>
      </c>
      <c r="C31" s="111">
        <f>IF(B31="-","",Assumptions!$M$36*Assumptions!$M$31*Assumptions!$M$30)</f>
        <v>24893.725899285277</v>
      </c>
      <c r="D31" s="111">
        <f t="shared" si="0"/>
        <v>5429.5312560909297</v>
      </c>
      <c r="E31" s="111">
        <f>IF(C31="","",IF(Assumptions!$M$35=Assumptions!$C$106,B31*Assumptions!$M$33,B31*Assumptions!$M$33/12))</f>
        <v>19464.194643194347</v>
      </c>
      <c r="F31" s="111">
        <f t="shared" si="1"/>
        <v>4241303.8454408571</v>
      </c>
    </row>
    <row r="32" spans="1:6" x14ac:dyDescent="0.25">
      <c r="A32" s="1">
        <v>29</v>
      </c>
      <c r="B32" s="111">
        <f t="shared" si="2"/>
        <v>4241303.8454408571</v>
      </c>
      <c r="C32" s="111">
        <f>IF(B32="-","",Assumptions!$M$36*Assumptions!$M$31*Assumptions!$M$30)</f>
        <v>24893.725899285277</v>
      </c>
      <c r="D32" s="111">
        <f t="shared" si="0"/>
        <v>5454.416607681349</v>
      </c>
      <c r="E32" s="111">
        <f>IF(C32="","",IF(Assumptions!$M$35=Assumptions!$C$106,B32*Assumptions!$M$33,B32*Assumptions!$M$33/12))</f>
        <v>19439.309291603928</v>
      </c>
      <c r="F32" s="111">
        <f t="shared" si="1"/>
        <v>4235849.4288331755</v>
      </c>
    </row>
    <row r="33" spans="1:6" x14ac:dyDescent="0.25">
      <c r="A33" s="1">
        <v>30</v>
      </c>
      <c r="B33" s="111">
        <f t="shared" si="2"/>
        <v>4235849.4288331755</v>
      </c>
      <c r="C33" s="111">
        <f>IF(B33="-","",Assumptions!$M$36*Assumptions!$M$31*Assumptions!$M$30)</f>
        <v>24893.725899285277</v>
      </c>
      <c r="D33" s="111">
        <f t="shared" si="0"/>
        <v>5479.4160171332223</v>
      </c>
      <c r="E33" s="111">
        <f>IF(C33="","",IF(Assumptions!$M$35=Assumptions!$C$106,B33*Assumptions!$M$33,B33*Assumptions!$M$33/12))</f>
        <v>19414.309882152054</v>
      </c>
      <c r="F33" s="111">
        <f t="shared" si="1"/>
        <v>4230370.0128160426</v>
      </c>
    </row>
    <row r="34" spans="1:6" x14ac:dyDescent="0.25">
      <c r="A34" s="1">
        <v>31</v>
      </c>
      <c r="B34" s="111">
        <f t="shared" si="2"/>
        <v>4230370.0128160426</v>
      </c>
      <c r="C34" s="111">
        <f>IF(B34="","",Assumptions!$M$36*Assumptions!$M$31*Assumptions!$M$30)</f>
        <v>24893.725899285277</v>
      </c>
      <c r="D34" s="111">
        <f t="shared" si="0"/>
        <v>5504.5300072117461</v>
      </c>
      <c r="E34" s="111">
        <f>IF(C34="","",IF(Assumptions!$M$35=Assumptions!$C$106,B34*Assumptions!$M$33,B34*Assumptions!$M$33/12))</f>
        <v>19389.195892073531</v>
      </c>
      <c r="F34" s="111">
        <f t="shared" si="1"/>
        <v>4224865.4828088311</v>
      </c>
    </row>
    <row r="35" spans="1:6" x14ac:dyDescent="0.25">
      <c r="A35" s="1">
        <v>32</v>
      </c>
      <c r="B35" s="111">
        <f t="shared" si="2"/>
        <v>4224865.4828088311</v>
      </c>
      <c r="C35" s="111">
        <f>IF(B35="","",Assumptions!$M$36*Assumptions!$M$31*Assumptions!$M$30)</f>
        <v>24893.725899285277</v>
      </c>
      <c r="D35" s="111">
        <f t="shared" si="0"/>
        <v>5529.7591030781332</v>
      </c>
      <c r="E35" s="111">
        <f>IF(C35="","",IF(Assumptions!$M$35=Assumptions!$C$106,B35*Assumptions!$M$33,B35*Assumptions!$M$33/12))</f>
        <v>19363.966796207143</v>
      </c>
      <c r="F35" s="111">
        <f t="shared" si="1"/>
        <v>4219335.7237057528</v>
      </c>
    </row>
    <row r="36" spans="1:6" x14ac:dyDescent="0.25">
      <c r="A36" s="1">
        <v>33</v>
      </c>
      <c r="B36" s="111">
        <f t="shared" si="2"/>
        <v>4219335.7237057528</v>
      </c>
      <c r="C36" s="111">
        <f>IF(B36="","",Assumptions!$M$36*Assumptions!$M$31*Assumptions!$M$30)</f>
        <v>24893.725899285277</v>
      </c>
      <c r="D36" s="111">
        <f t="shared" si="0"/>
        <v>5555.1038323005778</v>
      </c>
      <c r="E36" s="111">
        <f>IF(C36="","",IF(Assumptions!$M$35=Assumptions!$C$106,B36*Assumptions!$M$33,B36*Assumptions!$M$33/12))</f>
        <v>19338.622066984699</v>
      </c>
      <c r="F36" s="111">
        <f t="shared" si="1"/>
        <v>4213780.619873452</v>
      </c>
    </row>
    <row r="37" spans="1:6" x14ac:dyDescent="0.25">
      <c r="A37" s="1">
        <v>34</v>
      </c>
      <c r="B37" s="111">
        <f t="shared" si="2"/>
        <v>4213780.619873452</v>
      </c>
      <c r="C37" s="111">
        <f>IF(B37="","",Assumptions!$M$36*Assumptions!$M$31*Assumptions!$M$30)</f>
        <v>24893.725899285277</v>
      </c>
      <c r="D37" s="111">
        <f t="shared" si="0"/>
        <v>5580.5647248652895</v>
      </c>
      <c r="E37" s="111">
        <f>IF(C37="","",IF(Assumptions!$M$35=Assumptions!$C$106,B37*Assumptions!$M$33,B37*Assumptions!$M$33/12))</f>
        <v>19313.161174419987</v>
      </c>
      <c r="F37" s="111">
        <f t="shared" si="1"/>
        <v>4208200.0551485866</v>
      </c>
    </row>
    <row r="38" spans="1:6" x14ac:dyDescent="0.25">
      <c r="A38" s="1">
        <v>35</v>
      </c>
      <c r="B38" s="111">
        <f t="shared" si="2"/>
        <v>4208200.0551485866</v>
      </c>
      <c r="C38" s="111">
        <f>IF(B38="","",Assumptions!$M$36*Assumptions!$M$31*Assumptions!$M$30)</f>
        <v>24893.725899285277</v>
      </c>
      <c r="D38" s="111">
        <f t="shared" si="0"/>
        <v>5606.142313187589</v>
      </c>
      <c r="E38" s="111">
        <f>IF(C38="","",IF(Assumptions!$M$35=Assumptions!$C$106,B38*Assumptions!$M$33,B38*Assumptions!$M$33/12))</f>
        <v>19287.583586097688</v>
      </c>
      <c r="F38" s="111">
        <f t="shared" si="1"/>
        <v>4202593.9128353987</v>
      </c>
    </row>
    <row r="39" spans="1:6" x14ac:dyDescent="0.25">
      <c r="A39" s="1">
        <v>36</v>
      </c>
      <c r="B39" s="111">
        <f t="shared" si="2"/>
        <v>4202593.9128353987</v>
      </c>
      <c r="C39" s="111">
        <f>IF(B39="","",Assumptions!$M$36*Assumptions!$M$31*Assumptions!$M$30)</f>
        <v>24893.725899285277</v>
      </c>
      <c r="D39" s="111">
        <f t="shared" si="0"/>
        <v>5631.8371321230334</v>
      </c>
      <c r="E39" s="111">
        <f>IF(C39="","",IF(Assumptions!$M$35=Assumptions!$C$106,B39*Assumptions!$M$33,B39*Assumptions!$M$33/12))</f>
        <v>19261.888767162243</v>
      </c>
      <c r="F39" s="111">
        <f t="shared" si="1"/>
        <v>4196962.0757032754</v>
      </c>
    </row>
    <row r="40" spans="1:6" x14ac:dyDescent="0.25">
      <c r="A40" s="1">
        <v>37</v>
      </c>
      <c r="B40" s="111">
        <f t="shared" si="2"/>
        <v>4196962.0757032754</v>
      </c>
      <c r="C40" s="111">
        <f>IF(B40="","",Assumptions!$M$36*Assumptions!$M$31*Assumptions!$M$30)</f>
        <v>24893.725899285277</v>
      </c>
      <c r="D40" s="111">
        <f t="shared" si="0"/>
        <v>5657.6497189785987</v>
      </c>
      <c r="E40" s="111">
        <f>IF(C40="","",IF(Assumptions!$M$35=Assumptions!$C$106,B40*Assumptions!$M$33,B40*Assumptions!$M$33/12))</f>
        <v>19236.076180306678</v>
      </c>
      <c r="F40" s="111">
        <f t="shared" si="1"/>
        <v>4191304.4259842969</v>
      </c>
    </row>
    <row r="41" spans="1:6" x14ac:dyDescent="0.25">
      <c r="A41" s="1">
        <v>38</v>
      </c>
      <c r="B41" s="111">
        <f t="shared" si="2"/>
        <v>4191304.4259842969</v>
      </c>
      <c r="C41" s="111">
        <f>IF(B41="","",Assumptions!$M$36*Assumptions!$M$31*Assumptions!$M$30)</f>
        <v>24893.725899285277</v>
      </c>
      <c r="D41" s="111">
        <f t="shared" si="0"/>
        <v>5683.5806135239145</v>
      </c>
      <c r="E41" s="111">
        <f>IF(C41="","",IF(Assumptions!$M$35=Assumptions!$C$106,B41*Assumptions!$M$33,B41*Assumptions!$M$33/12))</f>
        <v>19210.145285761362</v>
      </c>
      <c r="F41" s="111">
        <f t="shared" si="1"/>
        <v>4185620.8453707732</v>
      </c>
    </row>
    <row r="42" spans="1:6" x14ac:dyDescent="0.25">
      <c r="A42" s="1">
        <v>39</v>
      </c>
      <c r="B42" s="111">
        <f t="shared" si="2"/>
        <v>4185620.8453707732</v>
      </c>
      <c r="C42" s="111">
        <f>IF(B42="","",Assumptions!$M$36*Assumptions!$M$31*Assumptions!$M$30)</f>
        <v>24893.725899285277</v>
      </c>
      <c r="D42" s="111">
        <f t="shared" si="0"/>
        <v>5709.6303580025669</v>
      </c>
      <c r="E42" s="111">
        <f>IF(C42="","",IF(Assumptions!$M$35=Assumptions!$C$106,B42*Assumptions!$M$33,B42*Assumptions!$M$33/12))</f>
        <v>19184.09554128271</v>
      </c>
      <c r="F42" s="111">
        <f t="shared" si="1"/>
        <v>4179911.2150127706</v>
      </c>
    </row>
    <row r="43" spans="1:6" x14ac:dyDescent="0.25">
      <c r="A43" s="1">
        <v>40</v>
      </c>
      <c r="B43" s="111">
        <f t="shared" si="2"/>
        <v>4179911.2150127706</v>
      </c>
      <c r="C43" s="111">
        <f>IF(B43="","",Assumptions!$M$36*Assumptions!$M$31*Assumptions!$M$30)</f>
        <v>24893.725899285277</v>
      </c>
      <c r="D43" s="111">
        <f t="shared" si="0"/>
        <v>5735.7994971434091</v>
      </c>
      <c r="E43" s="111">
        <f>IF(C43="","",IF(Assumptions!$M$35=Assumptions!$C$106,B43*Assumptions!$M$33,B43*Assumptions!$M$33/12))</f>
        <v>19157.926402141868</v>
      </c>
      <c r="F43" s="111">
        <f t="shared" si="1"/>
        <v>4174175.4155156272</v>
      </c>
    </row>
    <row r="44" spans="1:6" x14ac:dyDescent="0.25">
      <c r="A44" s="1">
        <v>41</v>
      </c>
      <c r="B44" s="111">
        <f t="shared" si="2"/>
        <v>4174175.4155156272</v>
      </c>
      <c r="C44" s="111">
        <f>IF(B44="","",Assumptions!$M$36*Assumptions!$M$31*Assumptions!$M$30)</f>
        <v>24893.725899285277</v>
      </c>
      <c r="D44" s="111">
        <f t="shared" si="0"/>
        <v>5762.0885781719844</v>
      </c>
      <c r="E44" s="111">
        <f>IF(C44="","",IF(Assumptions!$M$35=Assumptions!$C$106,B44*Assumptions!$M$33,B44*Assumptions!$M$33/12))</f>
        <v>19131.637321113292</v>
      </c>
      <c r="F44" s="111">
        <f t="shared" si="1"/>
        <v>4168413.3269374552</v>
      </c>
    </row>
    <row r="45" spans="1:6" x14ac:dyDescent="0.25">
      <c r="A45" s="1">
        <v>42</v>
      </c>
      <c r="B45" s="111">
        <f t="shared" si="2"/>
        <v>4168413.3269374552</v>
      </c>
      <c r="C45" s="111">
        <f>IF(B45="","",Assumptions!$M$36*Assumptions!$M$31*Assumptions!$M$30)</f>
        <v>24893.725899285277</v>
      </c>
      <c r="D45" s="111">
        <f t="shared" si="0"/>
        <v>5788.4981508219425</v>
      </c>
      <c r="E45" s="111">
        <f>IF(C45="","",IF(Assumptions!$M$35=Assumptions!$C$106,B45*Assumptions!$M$33,B45*Assumptions!$M$33/12))</f>
        <v>19105.227748463334</v>
      </c>
      <c r="F45" s="111">
        <f t="shared" si="1"/>
        <v>4162624.8287866334</v>
      </c>
    </row>
    <row r="46" spans="1:6" x14ac:dyDescent="0.25">
      <c r="A46" s="1">
        <v>43</v>
      </c>
      <c r="B46" s="111">
        <f t="shared" si="2"/>
        <v>4162624.8287866334</v>
      </c>
      <c r="C46" s="111">
        <f>IF(B46="","",Assumptions!$M$36*Assumptions!$M$31*Assumptions!$M$30)</f>
        <v>24893.725899285277</v>
      </c>
      <c r="D46" s="111">
        <f t="shared" si="0"/>
        <v>5815.0287673465391</v>
      </c>
      <c r="E46" s="111">
        <f>IF(C46="","",IF(Assumptions!$M$35=Assumptions!$C$106,B46*Assumptions!$M$33,B46*Assumptions!$M$33/12))</f>
        <v>19078.697131938738</v>
      </c>
      <c r="F46" s="111">
        <f t="shared" si="1"/>
        <v>4156809.800019287</v>
      </c>
    </row>
    <row r="47" spans="1:6" x14ac:dyDescent="0.25">
      <c r="A47" s="1">
        <v>44</v>
      </c>
      <c r="B47" s="111">
        <f t="shared" si="2"/>
        <v>4156809.800019287</v>
      </c>
      <c r="C47" s="111">
        <f>IF(B47="","",Assumptions!$M$36*Assumptions!$M$31*Assumptions!$M$30)</f>
        <v>24893.725899285277</v>
      </c>
      <c r="D47" s="111">
        <f t="shared" si="0"/>
        <v>5841.6809825302116</v>
      </c>
      <c r="E47" s="111">
        <f>IF(C47="","",IF(Assumptions!$M$35=Assumptions!$C$106,B47*Assumptions!$M$33,B47*Assumptions!$M$33/12))</f>
        <v>19052.044916755065</v>
      </c>
      <c r="F47" s="111">
        <f t="shared" si="1"/>
        <v>4150968.1190367569</v>
      </c>
    </row>
    <row r="48" spans="1:6" x14ac:dyDescent="0.25">
      <c r="A48" s="1">
        <v>45</v>
      </c>
      <c r="B48" s="111">
        <f t="shared" si="2"/>
        <v>4150968.1190367569</v>
      </c>
      <c r="C48" s="111">
        <f>IF(B48="","",Assumptions!$M$36*Assumptions!$M$31*Assumptions!$M$30)</f>
        <v>24893.725899285277</v>
      </c>
      <c r="D48" s="111">
        <f t="shared" si="0"/>
        <v>5868.4553537001411</v>
      </c>
      <c r="E48" s="111">
        <f>IF(C48="","",IF(Assumptions!$M$35=Assumptions!$C$106,B48*Assumptions!$M$33,B48*Assumptions!$M$33/12))</f>
        <v>19025.270545585136</v>
      </c>
      <c r="F48" s="111">
        <f t="shared" si="1"/>
        <v>4145099.6636830568</v>
      </c>
    </row>
    <row r="49" spans="1:6" x14ac:dyDescent="0.25">
      <c r="A49" s="1">
        <v>46</v>
      </c>
      <c r="B49" s="111">
        <f t="shared" si="2"/>
        <v>4145099.6636830568</v>
      </c>
      <c r="C49" s="111">
        <f>IF(B49="","",Assumptions!$M$36*Assumptions!$M$31*Assumptions!$M$30)</f>
        <v>24893.725899285277</v>
      </c>
      <c r="D49" s="111">
        <f t="shared" si="0"/>
        <v>5895.3524407379336</v>
      </c>
      <c r="E49" s="111">
        <f>IF(C49="","",IF(Assumptions!$M$35=Assumptions!$C$106,B49*Assumptions!$M$33,B49*Assumptions!$M$33/12))</f>
        <v>18998.373458547343</v>
      </c>
      <c r="F49" s="111">
        <f t="shared" si="1"/>
        <v>4139204.3112423187</v>
      </c>
    </row>
    <row r="50" spans="1:6" x14ac:dyDescent="0.25">
      <c r="A50" s="1">
        <v>47</v>
      </c>
      <c r="B50" s="111">
        <f t="shared" si="2"/>
        <v>4139204.3112423187</v>
      </c>
      <c r="C50" s="111">
        <f>IF(B50="","",Assumptions!$M$36*Assumptions!$M$31*Assumptions!$M$30)</f>
        <v>24893.725899285277</v>
      </c>
      <c r="D50" s="111">
        <f t="shared" si="0"/>
        <v>5922.3728060913163</v>
      </c>
      <c r="E50" s="111">
        <f>IF(C50="","",IF(Assumptions!$M$35=Assumptions!$C$106,B50*Assumptions!$M$33,B50*Assumptions!$M$33/12))</f>
        <v>18971.35309319396</v>
      </c>
      <c r="F50" s="111">
        <f t="shared" si="1"/>
        <v>4133281.9384362274</v>
      </c>
    </row>
    <row r="51" spans="1:6" x14ac:dyDescent="0.25">
      <c r="A51" s="1">
        <v>48</v>
      </c>
      <c r="B51" s="111">
        <f t="shared" si="2"/>
        <v>4133281.9384362274</v>
      </c>
      <c r="C51" s="111">
        <f>IF(B51="","",Assumptions!$M$36*Assumptions!$M$31*Assumptions!$M$30)</f>
        <v>24893.725899285277</v>
      </c>
      <c r="D51" s="111">
        <f t="shared" si="0"/>
        <v>5949.5170147859026</v>
      </c>
      <c r="E51" s="111">
        <f>IF(C51="","",IF(Assumptions!$M$35=Assumptions!$C$106,B51*Assumptions!$M$33,B51*Assumptions!$M$33/12))</f>
        <v>18944.208884499374</v>
      </c>
      <c r="F51" s="111">
        <f t="shared" si="1"/>
        <v>4127332.4214214412</v>
      </c>
    </row>
    <row r="52" spans="1:6" x14ac:dyDescent="0.25">
      <c r="A52" s="1">
        <v>49</v>
      </c>
      <c r="B52" s="111">
        <f t="shared" si="2"/>
        <v>4127332.4214214412</v>
      </c>
      <c r="C52" s="111">
        <f>IF(B52="","",Assumptions!$M$36*Assumptions!$M$31*Assumptions!$M$30)</f>
        <v>24893.725899285277</v>
      </c>
      <c r="D52" s="111">
        <f t="shared" si="0"/>
        <v>5976.7856344370048</v>
      </c>
      <c r="E52" s="111">
        <f>IF(C52="","",IF(Assumptions!$M$35=Assumptions!$C$106,B52*Assumptions!$M$33,B52*Assumptions!$M$33/12))</f>
        <v>18916.940264848272</v>
      </c>
      <c r="F52" s="111">
        <f t="shared" si="1"/>
        <v>4121355.6357870041</v>
      </c>
    </row>
    <row r="53" spans="1:6" x14ac:dyDescent="0.25">
      <c r="A53" s="1">
        <v>50</v>
      </c>
      <c r="B53" s="111">
        <f t="shared" si="2"/>
        <v>4121355.6357870041</v>
      </c>
      <c r="C53" s="111">
        <f>IF(B53="","",Assumptions!$M$36*Assumptions!$M$31*Assumptions!$M$30)</f>
        <v>24893.725899285277</v>
      </c>
      <c r="D53" s="111">
        <f t="shared" si="0"/>
        <v>6004.1792352615084</v>
      </c>
      <c r="E53" s="111">
        <f>IF(C53="","",IF(Assumptions!$M$35=Assumptions!$C$106,B53*Assumptions!$M$33,B53*Assumptions!$M$33/12))</f>
        <v>18889.546664023768</v>
      </c>
      <c r="F53" s="111">
        <f t="shared" si="1"/>
        <v>4115351.4565517427</v>
      </c>
    </row>
    <row r="54" spans="1:6" x14ac:dyDescent="0.25">
      <c r="A54" s="1">
        <v>51</v>
      </c>
      <c r="B54" s="111">
        <f t="shared" si="2"/>
        <v>4115351.4565517427</v>
      </c>
      <c r="C54" s="111">
        <f>IF(B54="","",Assumptions!$M$36*Assumptions!$M$31*Assumptions!$M$30)</f>
        <v>24893.725899285277</v>
      </c>
      <c r="D54" s="111">
        <f t="shared" si="0"/>
        <v>6031.6983900897903</v>
      </c>
      <c r="E54" s="111">
        <f>IF(C54="","",IF(Assumptions!$M$35=Assumptions!$C$106,B54*Assumptions!$M$33,B54*Assumptions!$M$33/12))</f>
        <v>18862.027509195486</v>
      </c>
      <c r="F54" s="111">
        <f t="shared" si="1"/>
        <v>4109319.7581616528</v>
      </c>
    </row>
    <row r="55" spans="1:6" x14ac:dyDescent="0.25">
      <c r="A55" s="1">
        <v>52</v>
      </c>
      <c r="B55" s="111">
        <f t="shared" si="2"/>
        <v>4109319.7581616528</v>
      </c>
      <c r="C55" s="111">
        <f>IF(B55="","",Assumptions!$M$36*Assumptions!$M$31*Assumptions!$M$30)</f>
        <v>24893.725899285277</v>
      </c>
      <c r="D55" s="111">
        <f t="shared" si="0"/>
        <v>6059.343674377702</v>
      </c>
      <c r="E55" s="111">
        <f>IF(C55="","",IF(Assumptions!$M$35=Assumptions!$C$106,B55*Assumptions!$M$33,B55*Assumptions!$M$33/12))</f>
        <v>18834.382224907575</v>
      </c>
      <c r="F55" s="111">
        <f t="shared" si="1"/>
        <v>4103260.4144872753</v>
      </c>
    </row>
    <row r="56" spans="1:6" x14ac:dyDescent="0.25">
      <c r="A56" s="1">
        <v>53</v>
      </c>
      <c r="B56" s="111">
        <f t="shared" si="2"/>
        <v>4103260.4144872753</v>
      </c>
      <c r="C56" s="111">
        <f>IF(B56="","",Assumptions!$M$36*Assumptions!$M$31*Assumptions!$M$30)</f>
        <v>24893.725899285277</v>
      </c>
      <c r="D56" s="111">
        <f t="shared" si="0"/>
        <v>6087.1156662185967</v>
      </c>
      <c r="E56" s="111">
        <f>IF(C56="","",IF(Assumptions!$M$35=Assumptions!$C$106,B56*Assumptions!$M$33,B56*Assumptions!$M$33/12))</f>
        <v>18806.61023306668</v>
      </c>
      <c r="F56" s="111">
        <f t="shared" si="1"/>
        <v>4097173.2988210567</v>
      </c>
    </row>
    <row r="57" spans="1:6" x14ac:dyDescent="0.25">
      <c r="A57" s="1">
        <v>54</v>
      </c>
      <c r="B57" s="111">
        <f t="shared" si="2"/>
        <v>4097173.2988210567</v>
      </c>
      <c r="C57" s="111">
        <f>IF(B57="","",Assumptions!$M$36*Assumptions!$M$31*Assumptions!$M$30)</f>
        <v>24893.725899285277</v>
      </c>
      <c r="D57" s="111">
        <f t="shared" si="0"/>
        <v>6115.0149463554335</v>
      </c>
      <c r="E57" s="111">
        <f>IF(C57="","",IF(Assumptions!$M$35=Assumptions!$C$106,B57*Assumptions!$M$33,B57*Assumptions!$M$33/12))</f>
        <v>18778.710952929843</v>
      </c>
      <c r="F57" s="111">
        <f t="shared" si="1"/>
        <v>4091058.2838747012</v>
      </c>
    </row>
    <row r="58" spans="1:6" x14ac:dyDescent="0.25">
      <c r="A58" s="1">
        <v>55</v>
      </c>
      <c r="B58" s="111">
        <f t="shared" si="2"/>
        <v>4091058.2838747012</v>
      </c>
      <c r="C58" s="111">
        <f>IF(B58="","",Assumptions!$M$36*Assumptions!$M$31*Assumptions!$M$30)</f>
        <v>24893.725899285277</v>
      </c>
      <c r="D58" s="111">
        <f t="shared" si="0"/>
        <v>6143.0420981928983</v>
      </c>
      <c r="E58" s="111">
        <f>IF(C58="","",IF(Assumptions!$M$35=Assumptions!$C$106,B58*Assumptions!$M$33,B58*Assumptions!$M$33/12))</f>
        <v>18750.683801092378</v>
      </c>
      <c r="F58" s="111">
        <f t="shared" si="1"/>
        <v>4084915.2417765083</v>
      </c>
    </row>
    <row r="59" spans="1:6" x14ac:dyDescent="0.25">
      <c r="A59" s="1">
        <v>56</v>
      </c>
      <c r="B59" s="111">
        <f t="shared" si="2"/>
        <v>4084915.2417765083</v>
      </c>
      <c r="C59" s="111">
        <f>IF(B59="","",Assumptions!$M$36*Assumptions!$M$31*Assumptions!$M$30)</f>
        <v>24893.725899285277</v>
      </c>
      <c r="D59" s="111">
        <f t="shared" si="0"/>
        <v>6171.1977078096133</v>
      </c>
      <c r="E59" s="111">
        <f>IF(C59="","",IF(Assumptions!$M$35=Assumptions!$C$106,B59*Assumptions!$M$33,B59*Assumptions!$M$33/12))</f>
        <v>18722.528191475663</v>
      </c>
      <c r="F59" s="111">
        <f t="shared" si="1"/>
        <v>4078744.0440686988</v>
      </c>
    </row>
    <row r="60" spans="1:6" x14ac:dyDescent="0.25">
      <c r="A60" s="1">
        <v>57</v>
      </c>
      <c r="B60" s="111">
        <f t="shared" si="2"/>
        <v>4078744.0440686988</v>
      </c>
      <c r="C60" s="111">
        <f>IF(B60="","",Assumptions!$M$36*Assumptions!$M$31*Assumptions!$M$30)</f>
        <v>24893.725899285277</v>
      </c>
      <c r="D60" s="111">
        <f t="shared" si="0"/>
        <v>6199.4823639704082</v>
      </c>
      <c r="E60" s="111">
        <f>IF(C60="","",IF(Assumptions!$M$35=Assumptions!$C$106,B60*Assumptions!$M$33,B60*Assumptions!$M$33/12))</f>
        <v>18694.243535314868</v>
      </c>
      <c r="F60" s="111">
        <f t="shared" si="1"/>
        <v>4072544.5617047283</v>
      </c>
    </row>
    <row r="61" spans="1:6" x14ac:dyDescent="0.25">
      <c r="A61" s="1">
        <v>58</v>
      </c>
      <c r="B61" s="111">
        <f t="shared" si="2"/>
        <v>4072544.5617047283</v>
      </c>
      <c r="C61" s="111">
        <f>IF(B61="","",Assumptions!$M$36*Assumptions!$M$31*Assumptions!$M$30)</f>
        <v>24893.725899285277</v>
      </c>
      <c r="D61" s="111">
        <f t="shared" si="0"/>
        <v>6227.8966581386048</v>
      </c>
      <c r="E61" s="111">
        <f>IF(C61="","",IF(Assumptions!$M$35=Assumptions!$C$106,B61*Assumptions!$M$33,B61*Assumptions!$M$33/12))</f>
        <v>18665.829241146672</v>
      </c>
      <c r="F61" s="111">
        <f t="shared" si="1"/>
        <v>4066316.6650465894</v>
      </c>
    </row>
    <row r="62" spans="1:6" x14ac:dyDescent="0.25">
      <c r="A62" s="1">
        <v>59</v>
      </c>
      <c r="B62" s="111">
        <f t="shared" si="2"/>
        <v>4066316.6650465894</v>
      </c>
      <c r="C62" s="111">
        <f>IF(B62="","",Assumptions!$M$36*Assumptions!$M$31*Assumptions!$M$30)</f>
        <v>24893.725899285277</v>
      </c>
      <c r="D62" s="111">
        <f t="shared" si="0"/>
        <v>6256.4411844884089</v>
      </c>
      <c r="E62" s="111">
        <f>IF(C62="","",IF(Assumptions!$M$35=Assumptions!$C$106,B62*Assumptions!$M$33,B62*Assumptions!$M$33/12))</f>
        <v>18637.284714796868</v>
      </c>
      <c r="F62" s="111">
        <f t="shared" si="1"/>
        <v>4060060.2238621009</v>
      </c>
    </row>
    <row r="63" spans="1:6" x14ac:dyDescent="0.25">
      <c r="A63" s="1">
        <v>60</v>
      </c>
      <c r="B63" s="111">
        <f t="shared" si="2"/>
        <v>4060060.2238621009</v>
      </c>
      <c r="C63" s="111">
        <f>IF(B63="","",Assumptions!$M$36*Assumptions!$M$31*Assumptions!$M$30)</f>
        <v>24893.725899285277</v>
      </c>
      <c r="D63" s="111">
        <f t="shared" si="0"/>
        <v>6285.1165399173151</v>
      </c>
      <c r="E63" s="111">
        <f>IF(C63="","",IF(Assumptions!$M$35=Assumptions!$C$106,B63*Assumptions!$M$33,B63*Assumptions!$M$33/12))</f>
        <v>18608.609359367962</v>
      </c>
      <c r="F63" s="111">
        <f t="shared" si="1"/>
        <v>4053775.1073221834</v>
      </c>
    </row>
    <row r="64" spans="1:6" x14ac:dyDescent="0.25">
      <c r="A64" s="1">
        <v>61</v>
      </c>
      <c r="B64" s="111">
        <f t="shared" si="2"/>
        <v>4053775.1073221834</v>
      </c>
      <c r="C64" s="111">
        <f>IF(B64="","",Assumptions!$M$36*Assumptions!$M$31*Assumptions!$M$30)</f>
        <v>24893.725899285277</v>
      </c>
      <c r="D64" s="111">
        <f t="shared" si="0"/>
        <v>6313.9233240586036</v>
      </c>
      <c r="E64" s="111">
        <f>IF(C64="","",IF(Assumptions!$M$35=Assumptions!$C$106,B64*Assumptions!$M$33,B64*Assumptions!$M$33/12))</f>
        <v>18579.802575226673</v>
      </c>
      <c r="F64" s="111">
        <f t="shared" si="1"/>
        <v>4047461.1839981247</v>
      </c>
    </row>
    <row r="65" spans="1:6" x14ac:dyDescent="0.25">
      <c r="A65" s="1">
        <v>62</v>
      </c>
      <c r="B65" s="111">
        <f t="shared" si="2"/>
        <v>4047461.1839981247</v>
      </c>
      <c r="C65" s="111">
        <f>IF(B65="","",Assumptions!$M$36*Assumptions!$M$31*Assumptions!$M$30)</f>
        <v>24893.725899285277</v>
      </c>
      <c r="D65" s="111">
        <f t="shared" si="0"/>
        <v>6342.862139293873</v>
      </c>
      <c r="E65" s="111">
        <f>IF(C65="","",IF(Assumptions!$M$35=Assumptions!$C$106,B65*Assumptions!$M$33,B65*Assumptions!$M$33/12))</f>
        <v>18550.863759991404</v>
      </c>
      <c r="F65" s="111">
        <f t="shared" si="1"/>
        <v>4041118.3218588307</v>
      </c>
    </row>
    <row r="66" spans="1:6" x14ac:dyDescent="0.25">
      <c r="A66" s="1">
        <v>63</v>
      </c>
      <c r="B66" s="111">
        <f t="shared" si="2"/>
        <v>4041118.3218588307</v>
      </c>
      <c r="C66" s="111">
        <f>IF(B66="","",Assumptions!$M$36*Assumptions!$M$31*Assumptions!$M$30)</f>
        <v>24893.725899285277</v>
      </c>
      <c r="D66" s="111">
        <f t="shared" si="0"/>
        <v>6371.933590765635</v>
      </c>
      <c r="E66" s="111">
        <f>IF(C66="","",IF(Assumptions!$M$35=Assumptions!$C$106,B66*Assumptions!$M$33,B66*Assumptions!$M$33/12))</f>
        <v>18521.792308519642</v>
      </c>
      <c r="F66" s="111">
        <f t="shared" si="1"/>
        <v>4034746.3882680652</v>
      </c>
    </row>
    <row r="67" spans="1:6" x14ac:dyDescent="0.25">
      <c r="A67" s="1">
        <v>64</v>
      </c>
      <c r="B67" s="111">
        <f t="shared" si="2"/>
        <v>4034746.3882680652</v>
      </c>
      <c r="C67" s="111">
        <f>IF(B67="","",Assumptions!$M$36*Assumptions!$M$31*Assumptions!$M$30)</f>
        <v>24893.725899285277</v>
      </c>
      <c r="D67" s="111">
        <f t="shared" si="0"/>
        <v>6401.138286389978</v>
      </c>
      <c r="E67" s="111">
        <f>IF(C67="","",IF(Assumptions!$M$35=Assumptions!$C$106,B67*Assumptions!$M$33,B67*Assumptions!$M$33/12))</f>
        <v>18492.587612895299</v>
      </c>
      <c r="F67" s="111">
        <f t="shared" si="1"/>
        <v>4028345.2499816753</v>
      </c>
    </row>
    <row r="68" spans="1:6" x14ac:dyDescent="0.25">
      <c r="A68" s="1">
        <v>65</v>
      </c>
      <c r="B68" s="111">
        <f t="shared" si="2"/>
        <v>4028345.2499816753</v>
      </c>
      <c r="C68" s="111">
        <f>IF(B68="","",Assumptions!$M$36*Assumptions!$M$31*Assumptions!$M$30)</f>
        <v>24893.725899285277</v>
      </c>
      <c r="D68" s="111">
        <f t="shared" si="0"/>
        <v>6430.4768368692639</v>
      </c>
      <c r="E68" s="111">
        <f>IF(C68="","",IF(Assumptions!$M$35=Assumptions!$C$106,B68*Assumptions!$M$33,B68*Assumptions!$M$33/12))</f>
        <v>18463.249062416013</v>
      </c>
      <c r="F68" s="111">
        <f t="shared" si="1"/>
        <v>4021914.7731448058</v>
      </c>
    </row>
    <row r="69" spans="1:6" x14ac:dyDescent="0.25">
      <c r="A69" s="1">
        <v>66</v>
      </c>
      <c r="B69" s="111">
        <f t="shared" si="2"/>
        <v>4021914.7731448058</v>
      </c>
      <c r="C69" s="111">
        <f>IF(B69="","",Assumptions!$M$36*Assumptions!$M$31*Assumptions!$M$30)</f>
        <v>24893.725899285277</v>
      </c>
      <c r="D69" s="111">
        <f t="shared" ref="D69:D132" si="3">IF(C69="","",C69-E69)</f>
        <v>6459.9498557049155</v>
      </c>
      <c r="E69" s="111">
        <f>IF(C69="","",IF(Assumptions!$M$35=Assumptions!$C$106,B69*Assumptions!$M$33,B69*Assumptions!$M$33/12))</f>
        <v>18433.776043580361</v>
      </c>
      <c r="F69" s="111">
        <f t="shared" ref="F69:F132" si="4">IF(C69="","",B69-D69)</f>
        <v>4015454.823289101</v>
      </c>
    </row>
    <row r="70" spans="1:6" x14ac:dyDescent="0.25">
      <c r="A70" s="1">
        <v>67</v>
      </c>
      <c r="B70" s="111">
        <f t="shared" ref="B70:B133" si="5">IF(F69&lt;1,"",F69)</f>
        <v>4015454.823289101</v>
      </c>
      <c r="C70" s="111">
        <f>IF(B70="","",Assumptions!$M$36*Assumptions!$M$31*Assumptions!$M$30)</f>
        <v>24893.725899285277</v>
      </c>
      <c r="D70" s="111">
        <f t="shared" si="3"/>
        <v>6489.5579592102295</v>
      </c>
      <c r="E70" s="111">
        <f>IF(C70="","",IF(Assumptions!$M$35=Assumptions!$C$106,B70*Assumptions!$M$33,B70*Assumptions!$M$33/12))</f>
        <v>18404.167940075047</v>
      </c>
      <c r="F70" s="111">
        <f t="shared" si="4"/>
        <v>4008965.2653298909</v>
      </c>
    </row>
    <row r="71" spans="1:6" x14ac:dyDescent="0.25">
      <c r="A71" s="1">
        <v>68</v>
      </c>
      <c r="B71" s="111">
        <f t="shared" si="5"/>
        <v>4008965.2653298909</v>
      </c>
      <c r="C71" s="111">
        <f>IF(B71="","",Assumptions!$M$36*Assumptions!$M$31*Assumptions!$M$30)</f>
        <v>24893.725899285277</v>
      </c>
      <c r="D71" s="111">
        <f t="shared" si="3"/>
        <v>6519.3017665232765</v>
      </c>
      <c r="E71" s="111">
        <f>IF(C71="","",IF(Assumptions!$M$35=Assumptions!$C$106,B71*Assumptions!$M$33,B71*Assumptions!$M$33/12))</f>
        <v>18374.424132762</v>
      </c>
      <c r="F71" s="111">
        <f t="shared" si="4"/>
        <v>4002445.9635633677</v>
      </c>
    </row>
    <row r="72" spans="1:6" x14ac:dyDescent="0.25">
      <c r="A72" s="1">
        <v>69</v>
      </c>
      <c r="B72" s="111">
        <f t="shared" si="5"/>
        <v>4002445.9635633677</v>
      </c>
      <c r="C72" s="111">
        <f>IF(B72="","",Assumptions!$M$36*Assumptions!$M$31*Assumptions!$M$30)</f>
        <v>24893.725899285277</v>
      </c>
      <c r="D72" s="111">
        <f t="shared" si="3"/>
        <v>6549.1818996198417</v>
      </c>
      <c r="E72" s="111">
        <f>IF(C72="","",IF(Assumptions!$M$35=Assumptions!$C$106,B72*Assumptions!$M$33,B72*Assumptions!$M$33/12))</f>
        <v>18344.543999665435</v>
      </c>
      <c r="F72" s="111">
        <f t="shared" si="4"/>
        <v>3995896.781663748</v>
      </c>
    </row>
    <row r="73" spans="1:6" x14ac:dyDescent="0.25">
      <c r="A73" s="1">
        <v>70</v>
      </c>
      <c r="B73" s="111">
        <f t="shared" si="5"/>
        <v>3995896.781663748</v>
      </c>
      <c r="C73" s="111">
        <f>IF(B73="","",Assumptions!$M$36*Assumptions!$M$31*Assumptions!$M$30)</f>
        <v>24893.725899285277</v>
      </c>
      <c r="D73" s="111">
        <f t="shared" si="3"/>
        <v>6579.1989833264306</v>
      </c>
      <c r="E73" s="111">
        <f>IF(C73="","",IF(Assumptions!$M$35=Assumptions!$C$106,B73*Assumptions!$M$33,B73*Assumptions!$M$33/12))</f>
        <v>18314.526915958846</v>
      </c>
      <c r="F73" s="111">
        <f t="shared" si="4"/>
        <v>3989317.5826804214</v>
      </c>
    </row>
    <row r="74" spans="1:6" x14ac:dyDescent="0.25">
      <c r="A74" s="1">
        <v>71</v>
      </c>
      <c r="B74" s="111">
        <f t="shared" si="5"/>
        <v>3989317.5826804214</v>
      </c>
      <c r="C74" s="111">
        <f>IF(B74="","",Assumptions!$M$36*Assumptions!$M$31*Assumptions!$M$30)</f>
        <v>24893.725899285277</v>
      </c>
      <c r="D74" s="111">
        <f t="shared" si="3"/>
        <v>6609.3536453333436</v>
      </c>
      <c r="E74" s="111">
        <f>IF(C74="","",IF(Assumptions!$M$35=Assumptions!$C$106,B74*Assumptions!$M$33,B74*Assumptions!$M$33/12))</f>
        <v>18284.372253951933</v>
      </c>
      <c r="F74" s="111">
        <f t="shared" si="4"/>
        <v>3982708.2290350879</v>
      </c>
    </row>
    <row r="75" spans="1:6" x14ac:dyDescent="0.25">
      <c r="A75" s="1">
        <v>72</v>
      </c>
      <c r="B75" s="111">
        <f t="shared" si="5"/>
        <v>3982708.2290350879</v>
      </c>
      <c r="C75" s="111">
        <f>IF(B75="","",Assumptions!$M$36*Assumptions!$M$31*Assumptions!$M$30)</f>
        <v>24893.725899285277</v>
      </c>
      <c r="D75" s="111">
        <f t="shared" si="3"/>
        <v>6639.6465162077911</v>
      </c>
      <c r="E75" s="111">
        <f>IF(C75="","",IF(Assumptions!$M$35=Assumptions!$C$106,B75*Assumptions!$M$33,B75*Assumptions!$M$33/12))</f>
        <v>18254.079383077486</v>
      </c>
      <c r="F75" s="111">
        <f t="shared" si="4"/>
        <v>3976068.5825188803</v>
      </c>
    </row>
    <row r="76" spans="1:6" x14ac:dyDescent="0.25">
      <c r="A76" s="1">
        <v>73</v>
      </c>
      <c r="B76" s="111">
        <f t="shared" si="5"/>
        <v>3976068.5825188803</v>
      </c>
      <c r="C76" s="111">
        <f>IF(B76="","",Assumptions!$M$36*Assumptions!$M$31*Assumptions!$M$30)</f>
        <v>24893.725899285277</v>
      </c>
      <c r="D76" s="111">
        <f t="shared" si="3"/>
        <v>6670.0782294070741</v>
      </c>
      <c r="E76" s="111">
        <f>IF(C76="","",IF(Assumptions!$M$35=Assumptions!$C$106,B76*Assumptions!$M$33,B76*Assumptions!$M$33/12))</f>
        <v>18223.647669878203</v>
      </c>
      <c r="F76" s="111">
        <f t="shared" si="4"/>
        <v>3969398.5042894734</v>
      </c>
    </row>
    <row r="77" spans="1:6" x14ac:dyDescent="0.25">
      <c r="A77" s="1">
        <v>74</v>
      </c>
      <c r="B77" s="111">
        <f t="shared" si="5"/>
        <v>3969398.5042894734</v>
      </c>
      <c r="C77" s="111">
        <f>IF(B77="","",Assumptions!$M$36*Assumptions!$M$31*Assumptions!$M$30)</f>
        <v>24893.725899285277</v>
      </c>
      <c r="D77" s="111">
        <f t="shared" si="3"/>
        <v>6700.6494212918551</v>
      </c>
      <c r="E77" s="111">
        <f>IF(C77="","",IF(Assumptions!$M$35=Assumptions!$C$106,B77*Assumptions!$M$33,B77*Assumptions!$M$33/12))</f>
        <v>18193.076477993422</v>
      </c>
      <c r="F77" s="111">
        <f t="shared" si="4"/>
        <v>3962697.8548681815</v>
      </c>
    </row>
    <row r="78" spans="1:6" x14ac:dyDescent="0.25">
      <c r="A78" s="1">
        <v>75</v>
      </c>
      <c r="B78" s="111">
        <f t="shared" si="5"/>
        <v>3962697.8548681815</v>
      </c>
      <c r="C78" s="111">
        <f>IF(B78="","",Assumptions!$M$36*Assumptions!$M$31*Assumptions!$M$30)</f>
        <v>24893.725899285277</v>
      </c>
      <c r="D78" s="111">
        <f t="shared" si="3"/>
        <v>6731.3607311394444</v>
      </c>
      <c r="E78" s="111">
        <f>IF(C78="","",IF(Assumptions!$M$35=Assumptions!$C$106,B78*Assumptions!$M$33,B78*Assumptions!$M$33/12))</f>
        <v>18162.365168145832</v>
      </c>
      <c r="F78" s="111">
        <f t="shared" si="4"/>
        <v>3955966.4941370422</v>
      </c>
    </row>
    <row r="79" spans="1:6" x14ac:dyDescent="0.25">
      <c r="A79" s="1">
        <v>76</v>
      </c>
      <c r="B79" s="111">
        <f t="shared" si="5"/>
        <v>3955966.4941370422</v>
      </c>
      <c r="C79" s="111">
        <f>IF(B79="","",Assumptions!$M$36*Assumptions!$M$31*Assumptions!$M$30)</f>
        <v>24893.725899285277</v>
      </c>
      <c r="D79" s="111">
        <f t="shared" si="3"/>
        <v>6762.2128011571658</v>
      </c>
      <c r="E79" s="111">
        <f>IF(C79="","",IF(Assumptions!$M$35=Assumptions!$C$106,B79*Assumptions!$M$33,B79*Assumptions!$M$33/12))</f>
        <v>18131.513098128111</v>
      </c>
      <c r="F79" s="111">
        <f t="shared" si="4"/>
        <v>3949204.2813358852</v>
      </c>
    </row>
    <row r="80" spans="1:6" x14ac:dyDescent="0.25">
      <c r="A80" s="1">
        <v>77</v>
      </c>
      <c r="B80" s="111">
        <f t="shared" si="5"/>
        <v>3949204.2813358852</v>
      </c>
      <c r="C80" s="111">
        <f>IF(B80="","",Assumptions!$M$36*Assumptions!$M$31*Assumptions!$M$30)</f>
        <v>24893.725899285277</v>
      </c>
      <c r="D80" s="111">
        <f t="shared" si="3"/>
        <v>6793.2062764958027</v>
      </c>
      <c r="E80" s="111">
        <f>IF(C80="","",IF(Assumptions!$M$35=Assumptions!$C$106,B80*Assumptions!$M$33,B80*Assumptions!$M$33/12))</f>
        <v>18100.519622789474</v>
      </c>
      <c r="F80" s="111">
        <f t="shared" si="4"/>
        <v>3942411.0750593892</v>
      </c>
    </row>
    <row r="81" spans="1:6" x14ac:dyDescent="0.25">
      <c r="A81" s="1">
        <v>78</v>
      </c>
      <c r="B81" s="111">
        <f t="shared" si="5"/>
        <v>3942411.0750593892</v>
      </c>
      <c r="C81" s="111">
        <f>IF(B81="","",Assumptions!$M$36*Assumptions!$M$31*Assumptions!$M$30)</f>
        <v>24893.725899285277</v>
      </c>
      <c r="D81" s="111">
        <f t="shared" si="3"/>
        <v>6824.3418052630768</v>
      </c>
      <c r="E81" s="111">
        <f>IF(C81="","",IF(Assumptions!$M$35=Assumptions!$C$106,B81*Assumptions!$M$33,B81*Assumptions!$M$33/12))</f>
        <v>18069.3840940222</v>
      </c>
      <c r="F81" s="111">
        <f t="shared" si="4"/>
        <v>3935586.7332541263</v>
      </c>
    </row>
    <row r="82" spans="1:6" x14ac:dyDescent="0.25">
      <c r="A82" s="1">
        <v>79</v>
      </c>
      <c r="B82" s="111">
        <f t="shared" si="5"/>
        <v>3935586.7332541263</v>
      </c>
      <c r="C82" s="111">
        <f>IF(B82="","",Assumptions!$M$36*Assumptions!$M$31*Assumptions!$M$30)</f>
        <v>24893.725899285277</v>
      </c>
      <c r="D82" s="111">
        <f t="shared" si="3"/>
        <v>6855.6200385371994</v>
      </c>
      <c r="E82" s="111">
        <f>IF(C82="","",IF(Assumptions!$M$35=Assumptions!$C$106,B82*Assumptions!$M$33,B82*Assumptions!$M$33/12))</f>
        <v>18038.105860748077</v>
      </c>
      <c r="F82" s="111">
        <f t="shared" si="4"/>
        <v>3928731.113215589</v>
      </c>
    </row>
    <row r="83" spans="1:6" x14ac:dyDescent="0.25">
      <c r="A83" s="1">
        <v>80</v>
      </c>
      <c r="B83" s="111">
        <f t="shared" si="5"/>
        <v>3928731.113215589</v>
      </c>
      <c r="C83" s="111">
        <f>IF(B83="","",Assumptions!$M$36*Assumptions!$M$31*Assumptions!$M$30)</f>
        <v>24893.725899285277</v>
      </c>
      <c r="D83" s="111">
        <f t="shared" si="3"/>
        <v>6887.0416303804959</v>
      </c>
      <c r="E83" s="111">
        <f>IF(C83="","",IF(Assumptions!$M$35=Assumptions!$C$106,B83*Assumptions!$M$33,B83*Assumptions!$M$33/12))</f>
        <v>18006.684268904781</v>
      </c>
      <c r="F83" s="111">
        <f t="shared" si="4"/>
        <v>3921844.0715852086</v>
      </c>
    </row>
    <row r="84" spans="1:6" x14ac:dyDescent="0.25">
      <c r="A84" s="1">
        <v>81</v>
      </c>
      <c r="B84" s="111">
        <f t="shared" si="5"/>
        <v>3921844.0715852086</v>
      </c>
      <c r="C84" s="111">
        <f>IF(B84="","",Assumptions!$M$36*Assumptions!$M$31*Assumptions!$M$30)</f>
        <v>24893.725899285277</v>
      </c>
      <c r="D84" s="111">
        <f t="shared" si="3"/>
        <v>6918.6072378530698</v>
      </c>
      <c r="E84" s="111">
        <f>IF(C84="","",IF(Assumptions!$M$35=Assumptions!$C$106,B84*Assumptions!$M$33,B84*Assumptions!$M$33/12))</f>
        <v>17975.118661432207</v>
      </c>
      <c r="F84" s="111">
        <f t="shared" si="4"/>
        <v>3914925.4643473555</v>
      </c>
    </row>
    <row r="85" spans="1:6" x14ac:dyDescent="0.25">
      <c r="A85" s="1">
        <v>82</v>
      </c>
      <c r="B85" s="111">
        <f t="shared" si="5"/>
        <v>3914925.4643473555</v>
      </c>
      <c r="C85" s="111">
        <f>IF(B85="","",Assumptions!$M$36*Assumptions!$M$31*Assumptions!$M$30)</f>
        <v>24893.725899285277</v>
      </c>
      <c r="D85" s="111">
        <f t="shared" si="3"/>
        <v>6950.3175210265617</v>
      </c>
      <c r="E85" s="111">
        <f>IF(C85="","",IF(Assumptions!$M$35=Assumptions!$C$106,B85*Assumptions!$M$33,B85*Assumptions!$M$33/12))</f>
        <v>17943.408378258715</v>
      </c>
      <c r="F85" s="111">
        <f t="shared" si="4"/>
        <v>3907975.1468263292</v>
      </c>
    </row>
    <row r="86" spans="1:6" x14ac:dyDescent="0.25">
      <c r="A86" s="1">
        <v>83</v>
      </c>
      <c r="B86" s="111">
        <f t="shared" si="5"/>
        <v>3907975.1468263292</v>
      </c>
      <c r="C86" s="111">
        <f>IF(B86="","",Assumptions!$M$36*Assumptions!$M$31*Assumptions!$M$30)</f>
        <v>24893.725899285277</v>
      </c>
      <c r="D86" s="111">
        <f t="shared" si="3"/>
        <v>6982.1731429979336</v>
      </c>
      <c r="E86" s="111">
        <f>IF(C86="","",IF(Assumptions!$M$35=Assumptions!$C$106,B86*Assumptions!$M$33,B86*Assumptions!$M$33/12))</f>
        <v>17911.552756287343</v>
      </c>
      <c r="F86" s="111">
        <f t="shared" si="4"/>
        <v>3900992.9736833312</v>
      </c>
    </row>
    <row r="87" spans="1:6" x14ac:dyDescent="0.25">
      <c r="A87" s="1">
        <v>84</v>
      </c>
      <c r="B87" s="111">
        <f t="shared" si="5"/>
        <v>3900992.9736833312</v>
      </c>
      <c r="C87" s="111">
        <f>IF(B87="","",Assumptions!$M$36*Assumptions!$M$31*Assumptions!$M$30)</f>
        <v>24893.725899285277</v>
      </c>
      <c r="D87" s="111">
        <f t="shared" si="3"/>
        <v>7014.174769903344</v>
      </c>
      <c r="E87" s="111">
        <f>IF(C87="","",IF(Assumptions!$M$35=Assumptions!$C$106,B87*Assumptions!$M$33,B87*Assumptions!$M$33/12))</f>
        <v>17879.551129381933</v>
      </c>
      <c r="F87" s="111">
        <f t="shared" si="4"/>
        <v>3893978.7989134276</v>
      </c>
    </row>
    <row r="88" spans="1:6" x14ac:dyDescent="0.25">
      <c r="A88" s="1">
        <v>85</v>
      </c>
      <c r="B88" s="111">
        <f t="shared" si="5"/>
        <v>3893978.7989134276</v>
      </c>
      <c r="C88" s="111">
        <f>IF(B88="","",Assumptions!$M$36*Assumptions!$M$31*Assumptions!$M$30)</f>
        <v>24893.725899285277</v>
      </c>
      <c r="D88" s="111">
        <f t="shared" si="3"/>
        <v>7046.3230709320669</v>
      </c>
      <c r="E88" s="111">
        <f>IF(C88="","",IF(Assumptions!$M$35=Assumptions!$C$106,B88*Assumptions!$M$33,B88*Assumptions!$M$33/12))</f>
        <v>17847.40282835321</v>
      </c>
      <c r="F88" s="111">
        <f t="shared" si="4"/>
        <v>3886932.4758424954</v>
      </c>
    </row>
    <row r="89" spans="1:6" x14ac:dyDescent="0.25">
      <c r="A89" s="1">
        <v>86</v>
      </c>
      <c r="B89" s="111">
        <f t="shared" si="5"/>
        <v>3886932.4758424954</v>
      </c>
      <c r="C89" s="111">
        <f>IF(B89="","",Assumptions!$M$36*Assumptions!$M$31*Assumptions!$M$30)</f>
        <v>24893.725899285277</v>
      </c>
      <c r="D89" s="111">
        <f t="shared" si="3"/>
        <v>7078.6187183405054</v>
      </c>
      <c r="E89" s="111">
        <f>IF(C89="","",IF(Assumptions!$M$35=Assumptions!$C$106,B89*Assumptions!$M$33,B89*Assumptions!$M$33/12))</f>
        <v>17815.107180944771</v>
      </c>
      <c r="F89" s="111">
        <f t="shared" si="4"/>
        <v>3879853.8571241549</v>
      </c>
    </row>
    <row r="90" spans="1:6" x14ac:dyDescent="0.25">
      <c r="A90" s="1">
        <v>87</v>
      </c>
      <c r="B90" s="111">
        <f t="shared" si="5"/>
        <v>3879853.8571241549</v>
      </c>
      <c r="C90" s="111">
        <f>IF(B90="","",Assumptions!$M$36*Assumptions!$M$31*Assumptions!$M$30)</f>
        <v>24893.725899285277</v>
      </c>
      <c r="D90" s="111">
        <f t="shared" si="3"/>
        <v>7111.0623874662342</v>
      </c>
      <c r="E90" s="111">
        <f>IF(C90="","",IF(Assumptions!$M$35=Assumptions!$C$106,B90*Assumptions!$M$33,B90*Assumptions!$M$33/12))</f>
        <v>17782.663511819042</v>
      </c>
      <c r="F90" s="111">
        <f t="shared" si="4"/>
        <v>3872742.7947366885</v>
      </c>
    </row>
    <row r="91" spans="1:6" x14ac:dyDescent="0.25">
      <c r="A91" s="1">
        <v>88</v>
      </c>
      <c r="B91" s="111">
        <f t="shared" si="5"/>
        <v>3872742.7947366885</v>
      </c>
      <c r="C91" s="111">
        <f>IF(B91="","",Assumptions!$M$36*Assumptions!$M$31*Assumptions!$M$30)</f>
        <v>24893.725899285277</v>
      </c>
      <c r="D91" s="111">
        <f t="shared" si="3"/>
        <v>7143.6547567421221</v>
      </c>
      <c r="E91" s="111">
        <f>IF(C91="","",IF(Assumptions!$M$35=Assumptions!$C$106,B91*Assumptions!$M$33,B91*Assumptions!$M$33/12))</f>
        <v>17750.071142543155</v>
      </c>
      <c r="F91" s="111">
        <f t="shared" si="4"/>
        <v>3865599.1399799464</v>
      </c>
    </row>
    <row r="92" spans="1:6" x14ac:dyDescent="0.25">
      <c r="A92" s="1">
        <v>89</v>
      </c>
      <c r="B92" s="111">
        <f t="shared" si="5"/>
        <v>3865599.1399799464</v>
      </c>
      <c r="C92" s="111">
        <f>IF(B92="","",Assumptions!$M$36*Assumptions!$M$31*Assumptions!$M$30)</f>
        <v>24893.725899285277</v>
      </c>
      <c r="D92" s="111">
        <f t="shared" si="3"/>
        <v>7176.396507710524</v>
      </c>
      <c r="E92" s="111">
        <f>IF(C92="","",IF(Assumptions!$M$35=Assumptions!$C$106,B92*Assumptions!$M$33,B92*Assumptions!$M$33/12))</f>
        <v>17717.329391574753</v>
      </c>
      <c r="F92" s="111">
        <f t="shared" si="4"/>
        <v>3858422.7434722357</v>
      </c>
    </row>
    <row r="93" spans="1:6" x14ac:dyDescent="0.25">
      <c r="A93" s="1">
        <v>90</v>
      </c>
      <c r="B93" s="111">
        <f t="shared" si="5"/>
        <v>3858422.7434722357</v>
      </c>
      <c r="C93" s="111">
        <f>IF(B93="","",Assumptions!$M$36*Assumptions!$M$31*Assumptions!$M$30)</f>
        <v>24893.725899285277</v>
      </c>
      <c r="D93" s="111">
        <f t="shared" si="3"/>
        <v>7209.2883250375307</v>
      </c>
      <c r="E93" s="111">
        <f>IF(C93="","",IF(Assumptions!$M$35=Assumptions!$C$106,B93*Assumptions!$M$33,B93*Assumptions!$M$33/12))</f>
        <v>17684.437574247746</v>
      </c>
      <c r="F93" s="111">
        <f t="shared" si="4"/>
        <v>3851213.4551471984</v>
      </c>
    </row>
    <row r="94" spans="1:6" x14ac:dyDescent="0.25">
      <c r="A94" s="1">
        <v>91</v>
      </c>
      <c r="B94" s="111">
        <f t="shared" si="5"/>
        <v>3851213.4551471984</v>
      </c>
      <c r="C94" s="111">
        <f>IF(B94="","",Assumptions!$M$36*Assumptions!$M$31*Assumptions!$M$30)</f>
        <v>24893.725899285277</v>
      </c>
      <c r="D94" s="111">
        <f t="shared" si="3"/>
        <v>7242.3308965272845</v>
      </c>
      <c r="E94" s="111">
        <f>IF(C94="","",IF(Assumptions!$M$35=Assumptions!$C$106,B94*Assumptions!$M$33,B94*Assumptions!$M$33/12))</f>
        <v>17651.395002757992</v>
      </c>
      <c r="F94" s="111">
        <f t="shared" si="4"/>
        <v>3843971.1242506709</v>
      </c>
    </row>
    <row r="95" spans="1:6" x14ac:dyDescent="0.25">
      <c r="A95" s="1">
        <v>92</v>
      </c>
      <c r="B95" s="111">
        <f t="shared" si="5"/>
        <v>3843971.1242506709</v>
      </c>
      <c r="C95" s="111">
        <f>IF(B95="","",Assumptions!$M$36*Assumptions!$M$31*Assumptions!$M$30)</f>
        <v>24893.725899285277</v>
      </c>
      <c r="D95" s="111">
        <f t="shared" si="3"/>
        <v>7275.5249131363671</v>
      </c>
      <c r="E95" s="111">
        <f>IF(C95="","",IF(Assumptions!$M$35=Assumptions!$C$106,B95*Assumptions!$M$33,B95*Assumptions!$M$33/12))</f>
        <v>17618.20098614891</v>
      </c>
      <c r="F95" s="111">
        <f t="shared" si="4"/>
        <v>3836695.5993375345</v>
      </c>
    </row>
    <row r="96" spans="1:6" x14ac:dyDescent="0.25">
      <c r="A96" s="1">
        <v>93</v>
      </c>
      <c r="B96" s="111">
        <f t="shared" si="5"/>
        <v>3836695.5993375345</v>
      </c>
      <c r="C96" s="111">
        <f>IF(B96="","",Assumptions!$M$36*Assumptions!$M$31*Assumptions!$M$30)</f>
        <v>24893.725899285277</v>
      </c>
      <c r="D96" s="111">
        <f t="shared" si="3"/>
        <v>7308.8710689882428</v>
      </c>
      <c r="E96" s="111">
        <f>IF(C96="","",IF(Assumptions!$M$35=Assumptions!$C$106,B96*Assumptions!$M$33,B96*Assumptions!$M$33/12))</f>
        <v>17584.854830297034</v>
      </c>
      <c r="F96" s="111">
        <f t="shared" si="4"/>
        <v>3829386.7282685461</v>
      </c>
    </row>
    <row r="97" spans="1:6" x14ac:dyDescent="0.25">
      <c r="A97" s="1">
        <v>94</v>
      </c>
      <c r="B97" s="111">
        <f t="shared" si="5"/>
        <v>3829386.7282685461</v>
      </c>
      <c r="C97" s="111">
        <f>IF(B97="","",Assumptions!$M$36*Assumptions!$M$31*Assumptions!$M$30)</f>
        <v>24893.725899285277</v>
      </c>
      <c r="D97" s="111">
        <f t="shared" si="3"/>
        <v>7342.3700613877736</v>
      </c>
      <c r="E97" s="111">
        <f>IF(C97="","",IF(Assumptions!$M$35=Assumptions!$C$106,B97*Assumptions!$M$33,B97*Assumptions!$M$33/12))</f>
        <v>17551.355837897503</v>
      </c>
      <c r="F97" s="111">
        <f t="shared" si="4"/>
        <v>3822044.3582071583</v>
      </c>
    </row>
    <row r="98" spans="1:6" x14ac:dyDescent="0.25">
      <c r="A98" s="1">
        <v>95</v>
      </c>
      <c r="B98" s="111">
        <f t="shared" si="5"/>
        <v>3822044.3582071583</v>
      </c>
      <c r="C98" s="111">
        <f>IF(B98="","",Assumptions!$M$36*Assumptions!$M$31*Assumptions!$M$30)</f>
        <v>24893.725899285277</v>
      </c>
      <c r="D98" s="111">
        <f t="shared" si="3"/>
        <v>7376.0225908358007</v>
      </c>
      <c r="E98" s="111">
        <f>IF(C98="","",IF(Assumptions!$M$35=Assumptions!$C$106,B98*Assumptions!$M$33,B98*Assumptions!$M$33/12))</f>
        <v>17517.703308449476</v>
      </c>
      <c r="F98" s="111">
        <f t="shared" si="4"/>
        <v>3814668.3356163227</v>
      </c>
    </row>
    <row r="99" spans="1:6" x14ac:dyDescent="0.25">
      <c r="A99" s="1">
        <v>96</v>
      </c>
      <c r="B99" s="111">
        <f t="shared" si="5"/>
        <v>3814668.3356163227</v>
      </c>
      <c r="C99" s="111">
        <f>IF(B99="","",Assumptions!$M$36*Assumptions!$M$31*Assumptions!$M$30)</f>
        <v>24893.725899285277</v>
      </c>
      <c r="D99" s="111">
        <f t="shared" si="3"/>
        <v>7409.8293610437977</v>
      </c>
      <c r="E99" s="111">
        <f>IF(C99="","",IF(Assumptions!$M$35=Assumptions!$C$106,B99*Assumptions!$M$33,B99*Assumptions!$M$33/12))</f>
        <v>17483.896538241479</v>
      </c>
      <c r="F99" s="111">
        <f t="shared" si="4"/>
        <v>3807258.5062552788</v>
      </c>
    </row>
    <row r="100" spans="1:6" x14ac:dyDescent="0.25">
      <c r="A100" s="1">
        <v>97</v>
      </c>
      <c r="B100" s="111">
        <f t="shared" si="5"/>
        <v>3807258.5062552788</v>
      </c>
      <c r="C100" s="111">
        <f>IF(B100="","",Assumptions!$M$36*Assumptions!$M$31*Assumptions!$M$30)</f>
        <v>24893.725899285277</v>
      </c>
      <c r="D100" s="111">
        <f t="shared" si="3"/>
        <v>7443.7910789485832</v>
      </c>
      <c r="E100" s="111">
        <f>IF(C100="","",IF(Assumptions!$M$35=Assumptions!$C$106,B100*Assumptions!$M$33,B100*Assumptions!$M$33/12))</f>
        <v>17449.934820336694</v>
      </c>
      <c r="F100" s="111">
        <f t="shared" si="4"/>
        <v>3799814.7151763304</v>
      </c>
    </row>
    <row r="101" spans="1:6" x14ac:dyDescent="0.25">
      <c r="A101" s="1">
        <v>98</v>
      </c>
      <c r="B101" s="111">
        <f t="shared" si="5"/>
        <v>3799814.7151763304</v>
      </c>
      <c r="C101" s="111">
        <f>IF(B101="","",Assumptions!$M$36*Assumptions!$M$31*Assumptions!$M$30)</f>
        <v>24893.725899285277</v>
      </c>
      <c r="D101" s="111">
        <f t="shared" si="3"/>
        <v>7477.9084547270977</v>
      </c>
      <c r="E101" s="111">
        <f>IF(C101="","",IF(Assumptions!$M$35=Assumptions!$C$106,B101*Assumptions!$M$33,B101*Assumptions!$M$33/12))</f>
        <v>17415.817444558179</v>
      </c>
      <c r="F101" s="111">
        <f t="shared" si="4"/>
        <v>3792336.8067216035</v>
      </c>
    </row>
    <row r="102" spans="1:6" x14ac:dyDescent="0.25">
      <c r="A102" s="1">
        <v>99</v>
      </c>
      <c r="B102" s="111">
        <f t="shared" si="5"/>
        <v>3792336.8067216035</v>
      </c>
      <c r="C102" s="111">
        <f>IF(B102="","",Assumptions!$M$36*Assumptions!$M$31*Assumptions!$M$30)</f>
        <v>24893.725899285277</v>
      </c>
      <c r="D102" s="111">
        <f t="shared" si="3"/>
        <v>7512.1822018112616</v>
      </c>
      <c r="E102" s="111">
        <f>IF(C102="","",IF(Assumptions!$M$35=Assumptions!$C$106,B102*Assumptions!$M$33,B102*Assumptions!$M$33/12))</f>
        <v>17381.543697474015</v>
      </c>
      <c r="F102" s="111">
        <f t="shared" si="4"/>
        <v>3784824.6245197924</v>
      </c>
    </row>
    <row r="103" spans="1:6" x14ac:dyDescent="0.25">
      <c r="A103" s="1">
        <v>100</v>
      </c>
      <c r="B103" s="111">
        <f t="shared" si="5"/>
        <v>3784824.6245197924</v>
      </c>
      <c r="C103" s="111">
        <f>IF(B103="","",Assumptions!$M$36*Assumptions!$M$31*Assumptions!$M$30)</f>
        <v>24893.725899285277</v>
      </c>
      <c r="D103" s="111">
        <f t="shared" si="3"/>
        <v>7546.6130369028942</v>
      </c>
      <c r="E103" s="111">
        <f>IF(C103="","",IF(Assumptions!$M$35=Assumptions!$C$106,B103*Assumptions!$M$33,B103*Assumptions!$M$33/12))</f>
        <v>17347.112862382382</v>
      </c>
      <c r="F103" s="111">
        <f t="shared" si="4"/>
        <v>3777278.0114828893</v>
      </c>
    </row>
    <row r="104" spans="1:6" x14ac:dyDescent="0.25">
      <c r="A104" s="1">
        <v>101</v>
      </c>
      <c r="B104" s="111">
        <f t="shared" si="5"/>
        <v>3777278.0114828893</v>
      </c>
      <c r="C104" s="111">
        <f>IF(B104="","",Assumptions!$M$36*Assumptions!$M$31*Assumptions!$M$30)</f>
        <v>24893.725899285277</v>
      </c>
      <c r="D104" s="111">
        <f t="shared" si="3"/>
        <v>7581.2016799886987</v>
      </c>
      <c r="E104" s="111">
        <f>IF(C104="","",IF(Assumptions!$M$35=Assumptions!$C$106,B104*Assumptions!$M$33,B104*Assumptions!$M$33/12))</f>
        <v>17312.524219296578</v>
      </c>
      <c r="F104" s="111">
        <f t="shared" si="4"/>
        <v>3769696.8098029005</v>
      </c>
    </row>
    <row r="105" spans="1:6" x14ac:dyDescent="0.25">
      <c r="A105" s="1">
        <v>102</v>
      </c>
      <c r="B105" s="111">
        <f t="shared" si="5"/>
        <v>3769696.8098029005</v>
      </c>
      <c r="C105" s="111">
        <f>IF(B105="","",Assumptions!$M$36*Assumptions!$M$31*Assumptions!$M$30)</f>
        <v>24893.725899285277</v>
      </c>
      <c r="D105" s="111">
        <f t="shared" si="3"/>
        <v>7615.9488543553161</v>
      </c>
      <c r="E105" s="111">
        <f>IF(C105="","",IF(Assumptions!$M$35=Assumptions!$C$106,B105*Assumptions!$M$33,B105*Assumptions!$M$33/12))</f>
        <v>17277.777044929961</v>
      </c>
      <c r="F105" s="111">
        <f t="shared" si="4"/>
        <v>3762080.8609485454</v>
      </c>
    </row>
    <row r="106" spans="1:6" x14ac:dyDescent="0.25">
      <c r="A106" s="1">
        <v>103</v>
      </c>
      <c r="B106" s="111">
        <f t="shared" si="5"/>
        <v>3762080.8609485454</v>
      </c>
      <c r="C106" s="111">
        <f>IF(B106="","",Assumptions!$M$36*Assumptions!$M$31*Assumptions!$M$30)</f>
        <v>24893.725899285277</v>
      </c>
      <c r="D106" s="111">
        <f t="shared" si="3"/>
        <v>7650.8552866044447</v>
      </c>
      <c r="E106" s="111">
        <f>IF(C106="","",IF(Assumptions!$M$35=Assumptions!$C$106,B106*Assumptions!$M$33,B106*Assumptions!$M$33/12))</f>
        <v>17242.870612680832</v>
      </c>
      <c r="F106" s="111">
        <f t="shared" si="4"/>
        <v>3754430.0056619411</v>
      </c>
    </row>
    <row r="107" spans="1:6" x14ac:dyDescent="0.25">
      <c r="A107" s="1">
        <v>104</v>
      </c>
      <c r="B107" s="111">
        <f t="shared" si="5"/>
        <v>3754430.0056619411</v>
      </c>
      <c r="C107" s="111">
        <f>IF(B107="","",Assumptions!$M$36*Assumptions!$M$31*Assumptions!$M$30)</f>
        <v>24893.725899285277</v>
      </c>
      <c r="D107" s="111">
        <f t="shared" si="3"/>
        <v>7685.9217066680467</v>
      </c>
      <c r="E107" s="111">
        <f>IF(C107="","",IF(Assumptions!$M$35=Assumptions!$C$106,B107*Assumptions!$M$33,B107*Assumptions!$M$33/12))</f>
        <v>17207.80419261723</v>
      </c>
      <c r="F107" s="111">
        <f t="shared" si="4"/>
        <v>3746744.083955273</v>
      </c>
    </row>
    <row r="108" spans="1:6" x14ac:dyDescent="0.25">
      <c r="A108" s="1">
        <v>105</v>
      </c>
      <c r="B108" s="111">
        <f t="shared" si="5"/>
        <v>3746744.083955273</v>
      </c>
      <c r="C108" s="111">
        <f>IF(B108="","",Assumptions!$M$36*Assumptions!$M$31*Assumptions!$M$30)</f>
        <v>24893.725899285277</v>
      </c>
      <c r="D108" s="111">
        <f t="shared" si="3"/>
        <v>7721.1488478236097</v>
      </c>
      <c r="E108" s="111">
        <f>IF(C108="","",IF(Assumptions!$M$35=Assumptions!$C$106,B108*Assumptions!$M$33,B108*Assumptions!$M$33/12))</f>
        <v>17172.577051461667</v>
      </c>
      <c r="F108" s="111">
        <f t="shared" si="4"/>
        <v>3739022.9351074495</v>
      </c>
    </row>
    <row r="109" spans="1:6" x14ac:dyDescent="0.25">
      <c r="A109" s="1">
        <v>106</v>
      </c>
      <c r="B109" s="111">
        <f t="shared" si="5"/>
        <v>3739022.9351074495</v>
      </c>
      <c r="C109" s="111">
        <f>IF(B109="","",Assumptions!$M$36*Assumptions!$M$31*Assumptions!$M$30)</f>
        <v>24893.725899285277</v>
      </c>
      <c r="D109" s="111">
        <f t="shared" si="3"/>
        <v>7756.5374467094662</v>
      </c>
      <c r="E109" s="111">
        <f>IF(C109="","",IF(Assumptions!$M$35=Assumptions!$C$106,B109*Assumptions!$M$33,B109*Assumptions!$M$33/12))</f>
        <v>17137.188452575811</v>
      </c>
      <c r="F109" s="111">
        <f t="shared" si="4"/>
        <v>3731266.3976607402</v>
      </c>
    </row>
    <row r="110" spans="1:6" x14ac:dyDescent="0.25">
      <c r="A110" s="1">
        <v>107</v>
      </c>
      <c r="B110" s="111">
        <f t="shared" si="5"/>
        <v>3731266.3976607402</v>
      </c>
      <c r="C110" s="111">
        <f>IF(B110="","",Assumptions!$M$36*Assumptions!$M$31*Assumptions!$M$30)</f>
        <v>24893.725899285277</v>
      </c>
      <c r="D110" s="111">
        <f t="shared" si="3"/>
        <v>7792.0882433402185</v>
      </c>
      <c r="E110" s="111">
        <f>IF(C110="","",IF(Assumptions!$M$35=Assumptions!$C$106,B110*Assumptions!$M$33,B110*Assumptions!$M$33/12))</f>
        <v>17101.637655945058</v>
      </c>
      <c r="F110" s="111">
        <f t="shared" si="4"/>
        <v>3723474.3094174</v>
      </c>
    </row>
    <row r="111" spans="1:6" x14ac:dyDescent="0.25">
      <c r="A111" s="1">
        <v>108</v>
      </c>
      <c r="B111" s="111">
        <f t="shared" si="5"/>
        <v>3723474.3094174</v>
      </c>
      <c r="C111" s="111">
        <f>IF(B111="","",Assumptions!$M$36*Assumptions!$M$31*Assumptions!$M$30)</f>
        <v>24893.725899285277</v>
      </c>
      <c r="D111" s="111">
        <f t="shared" si="3"/>
        <v>7827.801981122193</v>
      </c>
      <c r="E111" s="111">
        <f>IF(C111="","",IF(Assumptions!$M$35=Assumptions!$C$106,B111*Assumptions!$M$33,B111*Assumptions!$M$33/12))</f>
        <v>17065.923918163084</v>
      </c>
      <c r="F111" s="111">
        <f t="shared" si="4"/>
        <v>3715646.5074362778</v>
      </c>
    </row>
    <row r="112" spans="1:6" x14ac:dyDescent="0.25">
      <c r="A112" s="1">
        <v>109</v>
      </c>
      <c r="B112" s="111">
        <f t="shared" si="5"/>
        <v>3715646.5074362778</v>
      </c>
      <c r="C112" s="111">
        <f>IF(B112="","",Assumptions!$M$36*Assumptions!$M$31*Assumptions!$M$30)</f>
        <v>24893.725899285277</v>
      </c>
      <c r="D112" s="111">
        <f t="shared" si="3"/>
        <v>7863.6794068690033</v>
      </c>
      <c r="E112" s="111">
        <f>IF(C112="","",IF(Assumptions!$M$35=Assumptions!$C$106,B112*Assumptions!$M$33,B112*Assumptions!$M$33/12))</f>
        <v>17030.046492416273</v>
      </c>
      <c r="F112" s="111">
        <f t="shared" si="4"/>
        <v>3707782.8280294086</v>
      </c>
    </row>
    <row r="113" spans="1:6" x14ac:dyDescent="0.25">
      <c r="A113" s="1">
        <v>110</v>
      </c>
      <c r="B113" s="111">
        <f t="shared" si="5"/>
        <v>3707782.8280294086</v>
      </c>
      <c r="C113" s="111">
        <f>IF(B113="","",Assumptions!$M$36*Assumptions!$M$31*Assumptions!$M$30)</f>
        <v>24893.725899285277</v>
      </c>
      <c r="D113" s="111">
        <f t="shared" si="3"/>
        <v>7899.7212708171537</v>
      </c>
      <c r="E113" s="111">
        <f>IF(C113="","",IF(Assumptions!$M$35=Assumptions!$C$106,B113*Assumptions!$M$33,B113*Assumptions!$M$33/12))</f>
        <v>16994.004628468123</v>
      </c>
      <c r="F113" s="111">
        <f t="shared" si="4"/>
        <v>3699883.1067585913</v>
      </c>
    </row>
    <row r="114" spans="1:6" x14ac:dyDescent="0.25">
      <c r="A114" s="1">
        <v>111</v>
      </c>
      <c r="B114" s="111">
        <f t="shared" si="5"/>
        <v>3699883.1067585913</v>
      </c>
      <c r="C114" s="111">
        <f>IF(B114="","",Assumptions!$M$36*Assumptions!$M$31*Assumptions!$M$30)</f>
        <v>24893.725899285277</v>
      </c>
      <c r="D114" s="111">
        <f t="shared" si="3"/>
        <v>7935.9283266417333</v>
      </c>
      <c r="E114" s="111">
        <f>IF(C114="","",IF(Assumptions!$M$35=Assumptions!$C$106,B114*Assumptions!$M$33,B114*Assumptions!$M$33/12))</f>
        <v>16957.797572643543</v>
      </c>
      <c r="F114" s="111">
        <f t="shared" si="4"/>
        <v>3691947.1784319496</v>
      </c>
    </row>
    <row r="115" spans="1:6" x14ac:dyDescent="0.25">
      <c r="A115" s="1">
        <v>112</v>
      </c>
      <c r="B115" s="111">
        <f t="shared" si="5"/>
        <v>3691947.1784319496</v>
      </c>
      <c r="C115" s="111">
        <f>IF(B115="","",Assumptions!$M$36*Assumptions!$M$31*Assumptions!$M$30)</f>
        <v>24893.725899285277</v>
      </c>
      <c r="D115" s="111">
        <f t="shared" si="3"/>
        <v>7972.3013314721757</v>
      </c>
      <c r="E115" s="111">
        <f>IF(C115="","",IF(Assumptions!$M$35=Assumptions!$C$106,B115*Assumptions!$M$33,B115*Assumptions!$M$33/12))</f>
        <v>16921.424567813101</v>
      </c>
      <c r="F115" s="111">
        <f t="shared" si="4"/>
        <v>3683974.8771004775</v>
      </c>
    </row>
    <row r="116" spans="1:6" x14ac:dyDescent="0.25">
      <c r="A116" s="1">
        <v>113</v>
      </c>
      <c r="B116" s="111">
        <f t="shared" si="5"/>
        <v>3683974.8771004775</v>
      </c>
      <c r="C116" s="111">
        <f>IF(B116="","",Assumptions!$M$36*Assumptions!$M$31*Assumptions!$M$30)</f>
        <v>24893.725899285277</v>
      </c>
      <c r="D116" s="111">
        <f t="shared" si="3"/>
        <v>8008.8410459080878</v>
      </c>
      <c r="E116" s="111">
        <f>IF(C116="","",IF(Assumptions!$M$35=Assumptions!$C$106,B116*Assumptions!$M$33,B116*Assumptions!$M$33/12))</f>
        <v>16884.884853377189</v>
      </c>
      <c r="F116" s="111">
        <f t="shared" si="4"/>
        <v>3675966.0360545693</v>
      </c>
    </row>
    <row r="117" spans="1:6" x14ac:dyDescent="0.25">
      <c r="A117" s="1">
        <v>114</v>
      </c>
      <c r="B117" s="111">
        <f t="shared" si="5"/>
        <v>3675966.0360545693</v>
      </c>
      <c r="C117" s="111">
        <f>IF(B117="","",Assumptions!$M$36*Assumptions!$M$31*Assumptions!$M$30)</f>
        <v>24893.725899285277</v>
      </c>
      <c r="D117" s="111">
        <f t="shared" si="3"/>
        <v>8045.5482340351664</v>
      </c>
      <c r="E117" s="111">
        <f>IF(C117="","",IF(Assumptions!$M$35=Assumptions!$C$106,B117*Assumptions!$M$33,B117*Assumptions!$M$33/12))</f>
        <v>16848.17766525011</v>
      </c>
      <c r="F117" s="111">
        <f t="shared" si="4"/>
        <v>3667920.487820534</v>
      </c>
    </row>
    <row r="118" spans="1:6" x14ac:dyDescent="0.25">
      <c r="A118" s="1">
        <v>115</v>
      </c>
      <c r="B118" s="111">
        <f t="shared" si="5"/>
        <v>3667920.487820534</v>
      </c>
      <c r="C118" s="111">
        <f>IF(B118="","",Assumptions!$M$36*Assumptions!$M$31*Assumptions!$M$30)</f>
        <v>24893.725899285277</v>
      </c>
      <c r="D118" s="111">
        <f t="shared" si="3"/>
        <v>8082.4236634411645</v>
      </c>
      <c r="E118" s="111">
        <f>IF(C118="","",IF(Assumptions!$M$35=Assumptions!$C$106,B118*Assumptions!$M$33,B118*Assumptions!$M$33/12))</f>
        <v>16811.302235844112</v>
      </c>
      <c r="F118" s="111">
        <f t="shared" si="4"/>
        <v>3659838.0641570929</v>
      </c>
    </row>
    <row r="119" spans="1:6" x14ac:dyDescent="0.25">
      <c r="A119" s="1">
        <v>116</v>
      </c>
      <c r="B119" s="111">
        <f t="shared" si="5"/>
        <v>3659838.0641570929</v>
      </c>
      <c r="C119" s="111">
        <f>IF(B119="","",Assumptions!$M$36*Assumptions!$M$31*Assumptions!$M$30)</f>
        <v>24893.725899285277</v>
      </c>
      <c r="D119" s="111">
        <f t="shared" si="3"/>
        <v>8119.4681052319356</v>
      </c>
      <c r="E119" s="111">
        <f>IF(C119="","",IF(Assumptions!$M$35=Assumptions!$C$106,B119*Assumptions!$M$33,B119*Assumptions!$M$33/12))</f>
        <v>16774.257794053341</v>
      </c>
      <c r="F119" s="111">
        <f t="shared" si="4"/>
        <v>3651718.5960518611</v>
      </c>
    </row>
    <row r="120" spans="1:6" x14ac:dyDescent="0.25">
      <c r="A120" s="1">
        <v>117</v>
      </c>
      <c r="B120" s="111">
        <f t="shared" si="5"/>
        <v>3651718.5960518611</v>
      </c>
      <c r="C120" s="111">
        <f>IF(B120="","",Assumptions!$M$36*Assumptions!$M$31*Assumptions!$M$30)</f>
        <v>24893.725899285277</v>
      </c>
      <c r="D120" s="111">
        <f t="shared" si="3"/>
        <v>8156.6823340475821</v>
      </c>
      <c r="E120" s="111">
        <f>IF(C120="","",IF(Assumptions!$M$35=Assumptions!$C$106,B120*Assumptions!$M$33,B120*Assumptions!$M$33/12))</f>
        <v>16737.043565237695</v>
      </c>
      <c r="F120" s="111">
        <f t="shared" si="4"/>
        <v>3643561.9137178133</v>
      </c>
    </row>
    <row r="121" spans="1:6" x14ac:dyDescent="0.25">
      <c r="A121" s="1">
        <v>118</v>
      </c>
      <c r="B121" s="111">
        <f t="shared" si="5"/>
        <v>3643561.9137178133</v>
      </c>
      <c r="C121" s="111">
        <f>IF(B121="","",Assumptions!$M$36*Assumptions!$M$31*Assumptions!$M$30)</f>
        <v>24893.725899285277</v>
      </c>
      <c r="D121" s="111">
        <f t="shared" si="3"/>
        <v>8194.0671280786337</v>
      </c>
      <c r="E121" s="111">
        <f>IF(C121="","",IF(Assumptions!$M$35=Assumptions!$C$106,B121*Assumptions!$M$33,B121*Assumptions!$M$33/12))</f>
        <v>16699.658771206643</v>
      </c>
      <c r="F121" s="111">
        <f t="shared" si="4"/>
        <v>3635367.8465897348</v>
      </c>
    </row>
    <row r="122" spans="1:6" x14ac:dyDescent="0.25">
      <c r="A122" s="1">
        <v>119</v>
      </c>
      <c r="B122" s="111">
        <f t="shared" si="5"/>
        <v>3635367.8465897348</v>
      </c>
      <c r="C122" s="111">
        <f>IF(B122="","",Assumptions!$M$36*Assumptions!$M$31*Assumptions!$M$30)</f>
        <v>24893.725899285277</v>
      </c>
      <c r="D122" s="111">
        <f t="shared" si="3"/>
        <v>8231.6232690823235</v>
      </c>
      <c r="E122" s="111">
        <f>IF(C122="","",IF(Assumptions!$M$35=Assumptions!$C$106,B122*Assumptions!$M$33,B122*Assumptions!$M$33/12))</f>
        <v>16662.102630202953</v>
      </c>
      <c r="F122" s="111">
        <f t="shared" si="4"/>
        <v>3627136.2233206523</v>
      </c>
    </row>
    <row r="123" spans="1:6" x14ac:dyDescent="0.25">
      <c r="A123" s="1">
        <v>120</v>
      </c>
      <c r="B123" s="111">
        <f t="shared" si="5"/>
        <v>3627136.2233206523</v>
      </c>
      <c r="C123" s="111">
        <f>IF(B123="","",Assumptions!$M$36*Assumptions!$M$31*Assumptions!$M$30)</f>
        <v>24893.725899285277</v>
      </c>
      <c r="D123" s="111">
        <f t="shared" si="3"/>
        <v>8269.351542398952</v>
      </c>
      <c r="E123" s="111">
        <f>IF(C123="","",IF(Assumptions!$M$35=Assumptions!$C$106,B123*Assumptions!$M$33,B123*Assumptions!$M$33/12))</f>
        <v>16624.374356886325</v>
      </c>
      <c r="F123" s="111">
        <f t="shared" si="4"/>
        <v>3618866.8717782535</v>
      </c>
    </row>
    <row r="124" spans="1:6" x14ac:dyDescent="0.25">
      <c r="A124" s="1">
        <v>121</v>
      </c>
      <c r="B124" s="111">
        <f t="shared" si="5"/>
        <v>3618866.8717782535</v>
      </c>
      <c r="C124" s="111">
        <f>IF(B124="","",Assumptions!$M$36*Assumptions!$M$31*Assumptions!$M$30)</f>
        <v>24893.725899285277</v>
      </c>
      <c r="D124" s="111">
        <f t="shared" si="3"/>
        <v>8307.2527369682794</v>
      </c>
      <c r="E124" s="111">
        <f>IF(C124="","",IF(Assumptions!$M$35=Assumptions!$C$106,B124*Assumptions!$M$33,B124*Assumptions!$M$33/12))</f>
        <v>16586.473162316997</v>
      </c>
      <c r="F124" s="111">
        <f t="shared" si="4"/>
        <v>3610559.619041285</v>
      </c>
    </row>
    <row r="125" spans="1:6" x14ac:dyDescent="0.25">
      <c r="A125" s="1">
        <v>122</v>
      </c>
      <c r="B125" s="111">
        <f t="shared" si="5"/>
        <v>3610559.619041285</v>
      </c>
      <c r="C125" s="111">
        <f>IF(B125="","",Assumptions!$M$36*Assumptions!$M$31*Assumptions!$M$30)</f>
        <v>24893.725899285277</v>
      </c>
      <c r="D125" s="111">
        <f t="shared" si="3"/>
        <v>8345.327645346053</v>
      </c>
      <c r="E125" s="111">
        <f>IF(C125="","",IF(Assumptions!$M$35=Assumptions!$C$106,B125*Assumptions!$M$33,B125*Assumptions!$M$33/12))</f>
        <v>16548.398253939224</v>
      </c>
      <c r="F125" s="111">
        <f t="shared" si="4"/>
        <v>3602214.291395939</v>
      </c>
    </row>
    <row r="126" spans="1:6" x14ac:dyDescent="0.25">
      <c r="A126" s="1">
        <v>123</v>
      </c>
      <c r="B126" s="111">
        <f t="shared" si="5"/>
        <v>3602214.291395939</v>
      </c>
      <c r="C126" s="111">
        <f>IF(B126="","",Assumptions!$M$36*Assumptions!$M$31*Assumptions!$M$30)</f>
        <v>24893.725899285277</v>
      </c>
      <c r="D126" s="111">
        <f t="shared" si="3"/>
        <v>8383.5770637205569</v>
      </c>
      <c r="E126" s="111">
        <f>IF(C126="","",IF(Assumptions!$M$35=Assumptions!$C$106,B126*Assumptions!$M$33,B126*Assumptions!$M$33/12))</f>
        <v>16510.14883556472</v>
      </c>
      <c r="F126" s="111">
        <f t="shared" si="4"/>
        <v>3593830.7143322183</v>
      </c>
    </row>
    <row r="127" spans="1:6" x14ac:dyDescent="0.25">
      <c r="A127" s="1">
        <v>124</v>
      </c>
      <c r="B127" s="111">
        <f t="shared" si="5"/>
        <v>3593830.7143322183</v>
      </c>
      <c r="C127" s="111">
        <f>IF(B127="","",Assumptions!$M$36*Assumptions!$M$31*Assumptions!$M$30)</f>
        <v>24893.725899285277</v>
      </c>
      <c r="D127" s="111">
        <f t="shared" si="3"/>
        <v>8422.0017919292768</v>
      </c>
      <c r="E127" s="111">
        <f>IF(C127="","",IF(Assumptions!$M$35=Assumptions!$C$106,B127*Assumptions!$M$33,B127*Assumptions!$M$33/12))</f>
        <v>16471.724107356</v>
      </c>
      <c r="F127" s="111">
        <f t="shared" si="4"/>
        <v>3585408.7125402889</v>
      </c>
    </row>
    <row r="128" spans="1:6" x14ac:dyDescent="0.25">
      <c r="A128" s="1">
        <v>125</v>
      </c>
      <c r="B128" s="111">
        <f t="shared" si="5"/>
        <v>3585408.7125402889</v>
      </c>
      <c r="C128" s="111">
        <f>IF(B128="","",Assumptions!$M$36*Assumptions!$M$31*Assumptions!$M$30)</f>
        <v>24893.725899285277</v>
      </c>
      <c r="D128" s="111">
        <f t="shared" si="3"/>
        <v>8460.602633475617</v>
      </c>
      <c r="E128" s="111">
        <f>IF(C128="","",IF(Assumptions!$M$35=Assumptions!$C$106,B128*Assumptions!$M$33,B128*Assumptions!$M$33/12))</f>
        <v>16433.12326580966</v>
      </c>
      <c r="F128" s="111">
        <f t="shared" si="4"/>
        <v>3576948.1099068131</v>
      </c>
    </row>
    <row r="129" spans="1:6" x14ac:dyDescent="0.25">
      <c r="A129" s="1">
        <v>126</v>
      </c>
      <c r="B129" s="111">
        <f t="shared" si="5"/>
        <v>3576948.1099068131</v>
      </c>
      <c r="C129" s="111">
        <f>IF(B129="","",Assumptions!$M$36*Assumptions!$M$31*Assumptions!$M$30)</f>
        <v>24893.725899285277</v>
      </c>
      <c r="D129" s="111">
        <f t="shared" si="3"/>
        <v>8499.3803955457188</v>
      </c>
      <c r="E129" s="111">
        <f>IF(C129="","",IF(Assumptions!$M$35=Assumptions!$C$106,B129*Assumptions!$M$33,B129*Assumptions!$M$33/12))</f>
        <v>16394.345503739558</v>
      </c>
      <c r="F129" s="111">
        <f t="shared" si="4"/>
        <v>3568448.7295112675</v>
      </c>
    </row>
    <row r="130" spans="1:6" x14ac:dyDescent="0.25">
      <c r="A130" s="1">
        <v>127</v>
      </c>
      <c r="B130" s="111">
        <f t="shared" si="5"/>
        <v>3568448.7295112675</v>
      </c>
      <c r="C130" s="111">
        <f>IF(B130="","",Assumptions!$M$36*Assumptions!$M$31*Assumptions!$M$30)</f>
        <v>24893.725899285277</v>
      </c>
      <c r="D130" s="111">
        <f t="shared" si="3"/>
        <v>8538.3358890253021</v>
      </c>
      <c r="E130" s="111">
        <f>IF(C130="","",IF(Assumptions!$M$35=Assumptions!$C$106,B130*Assumptions!$M$33,B130*Assumptions!$M$33/12))</f>
        <v>16355.390010259975</v>
      </c>
      <c r="F130" s="111">
        <f t="shared" si="4"/>
        <v>3559910.3936222424</v>
      </c>
    </row>
    <row r="131" spans="1:6" x14ac:dyDescent="0.25">
      <c r="A131" s="1">
        <v>128</v>
      </c>
      <c r="B131" s="111">
        <f t="shared" si="5"/>
        <v>3559910.3936222424</v>
      </c>
      <c r="C131" s="111">
        <f>IF(B131="","",Assumptions!$M$36*Assumptions!$M$31*Assumptions!$M$30)</f>
        <v>24893.725899285277</v>
      </c>
      <c r="D131" s="111">
        <f t="shared" si="3"/>
        <v>8577.4699285166662</v>
      </c>
      <c r="E131" s="111">
        <f>IF(C131="","",IF(Assumptions!$M$35=Assumptions!$C$106,B131*Assumptions!$M$33,B131*Assumptions!$M$33/12))</f>
        <v>16316.25597076861</v>
      </c>
      <c r="F131" s="111">
        <f t="shared" si="4"/>
        <v>3551332.9236937258</v>
      </c>
    </row>
    <row r="132" spans="1:6" x14ac:dyDescent="0.25">
      <c r="A132" s="1">
        <v>129</v>
      </c>
      <c r="B132" s="111">
        <f t="shared" si="5"/>
        <v>3551332.9236937258</v>
      </c>
      <c r="C132" s="111">
        <f>IF(B132="","",Assumptions!$M$36*Assumptions!$M$31*Assumptions!$M$30)</f>
        <v>24893.725899285277</v>
      </c>
      <c r="D132" s="111">
        <f t="shared" si="3"/>
        <v>8616.7833323557006</v>
      </c>
      <c r="E132" s="111">
        <f>IF(C132="","",IF(Assumptions!$M$35=Assumptions!$C$106,B132*Assumptions!$M$33,B132*Assumptions!$M$33/12))</f>
        <v>16276.942566929576</v>
      </c>
      <c r="F132" s="111">
        <f t="shared" si="4"/>
        <v>3542716.1403613701</v>
      </c>
    </row>
    <row r="133" spans="1:6" x14ac:dyDescent="0.25">
      <c r="A133" s="1">
        <v>130</v>
      </c>
      <c r="B133" s="111">
        <f t="shared" si="5"/>
        <v>3542716.1403613701</v>
      </c>
      <c r="C133" s="111">
        <f>IF(B133="","",Assumptions!$M$36*Assumptions!$M$31*Assumptions!$M$30)</f>
        <v>24893.725899285277</v>
      </c>
      <c r="D133" s="111">
        <f t="shared" ref="D133:D196" si="6">IF(C133="","",C133-E133)</f>
        <v>8656.2769226289984</v>
      </c>
      <c r="E133" s="111">
        <f>IF(C133="","",IF(Assumptions!$M$35=Assumptions!$C$106,B133*Assumptions!$M$33,B133*Assumptions!$M$33/12))</f>
        <v>16237.448976656278</v>
      </c>
      <c r="F133" s="111">
        <f t="shared" ref="F133:F196" si="7">IF(C133="","",B133-D133)</f>
        <v>3534059.8634387408</v>
      </c>
    </row>
    <row r="134" spans="1:6" x14ac:dyDescent="0.25">
      <c r="A134" s="1">
        <v>131</v>
      </c>
      <c r="B134" s="111">
        <f t="shared" ref="B134:B197" si="8">IF(F133&lt;1,"",F133)</f>
        <v>3534059.8634387408</v>
      </c>
      <c r="C134" s="111">
        <f>IF(B134="","",Assumptions!$M$36*Assumptions!$M$31*Assumptions!$M$30)</f>
        <v>24893.725899285277</v>
      </c>
      <c r="D134" s="111">
        <f t="shared" si="6"/>
        <v>8695.951525191047</v>
      </c>
      <c r="E134" s="111">
        <f>IF(C134="","",IF(Assumptions!$M$35=Assumptions!$C$106,B134*Assumptions!$M$33,B134*Assumptions!$M$33/12))</f>
        <v>16197.77437409423</v>
      </c>
      <c r="F134" s="111">
        <f t="shared" si="7"/>
        <v>3525363.91191355</v>
      </c>
    </row>
    <row r="135" spans="1:6" x14ac:dyDescent="0.25">
      <c r="A135" s="1">
        <v>132</v>
      </c>
      <c r="B135" s="111">
        <f t="shared" si="8"/>
        <v>3525363.91191355</v>
      </c>
      <c r="C135" s="111">
        <f>IF(B135="","",Assumptions!$M$36*Assumptions!$M$31*Assumptions!$M$30)</f>
        <v>24893.725899285277</v>
      </c>
      <c r="D135" s="111">
        <f t="shared" si="6"/>
        <v>8735.8079696815057</v>
      </c>
      <c r="E135" s="111">
        <f>IF(C135="","",IF(Assumptions!$M$35=Assumptions!$C$106,B135*Assumptions!$M$33,B135*Assumptions!$M$33/12))</f>
        <v>16157.917929603771</v>
      </c>
      <c r="F135" s="111">
        <f t="shared" si="7"/>
        <v>3516628.1039438685</v>
      </c>
    </row>
    <row r="136" spans="1:6" x14ac:dyDescent="0.25">
      <c r="A136" s="1">
        <v>133</v>
      </c>
      <c r="B136" s="111">
        <f t="shared" si="8"/>
        <v>3516628.1039438685</v>
      </c>
      <c r="C136" s="111">
        <f>IF(B136="","",Assumptions!$M$36*Assumptions!$M$31*Assumptions!$M$30)</f>
        <v>24893.725899285277</v>
      </c>
      <c r="D136" s="111">
        <f t="shared" si="6"/>
        <v>8775.8470895425453</v>
      </c>
      <c r="E136" s="111">
        <f>IF(C136="","",IF(Assumptions!$M$35=Assumptions!$C$106,B136*Assumptions!$M$33,B136*Assumptions!$M$33/12))</f>
        <v>16117.878809742731</v>
      </c>
      <c r="F136" s="111">
        <f t="shared" si="7"/>
        <v>3507852.256854326</v>
      </c>
    </row>
    <row r="137" spans="1:6" x14ac:dyDescent="0.25">
      <c r="A137" s="1">
        <v>134</v>
      </c>
      <c r="B137" s="111">
        <f t="shared" si="8"/>
        <v>3507852.256854326</v>
      </c>
      <c r="C137" s="111">
        <f>IF(B137="","",Assumptions!$M$36*Assumptions!$M$31*Assumptions!$M$30)</f>
        <v>24893.725899285277</v>
      </c>
      <c r="D137" s="111">
        <f t="shared" si="6"/>
        <v>8816.0697220362817</v>
      </c>
      <c r="E137" s="111">
        <f>IF(C137="","",IF(Assumptions!$M$35=Assumptions!$C$106,B137*Assumptions!$M$33,B137*Assumptions!$M$33/12))</f>
        <v>16077.656177248995</v>
      </c>
      <c r="F137" s="111">
        <f t="shared" si="7"/>
        <v>3499036.1871322896</v>
      </c>
    </row>
    <row r="138" spans="1:6" x14ac:dyDescent="0.25">
      <c r="A138" s="1">
        <v>135</v>
      </c>
      <c r="B138" s="111">
        <f t="shared" si="8"/>
        <v>3499036.1871322896</v>
      </c>
      <c r="C138" s="111">
        <f>IF(B138="","",Assumptions!$M$36*Assumptions!$M$31*Assumptions!$M$30)</f>
        <v>24893.725899285277</v>
      </c>
      <c r="D138" s="111">
        <f t="shared" si="6"/>
        <v>8856.476708262282</v>
      </c>
      <c r="E138" s="111">
        <f>IF(C138="","",IF(Assumptions!$M$35=Assumptions!$C$106,B138*Assumptions!$M$33,B138*Assumptions!$M$33/12))</f>
        <v>16037.249191022995</v>
      </c>
      <c r="F138" s="111">
        <f t="shared" si="7"/>
        <v>3490179.7104240274</v>
      </c>
    </row>
    <row r="139" spans="1:6" x14ac:dyDescent="0.25">
      <c r="A139" s="1">
        <v>136</v>
      </c>
      <c r="B139" s="111">
        <f t="shared" si="8"/>
        <v>3490179.7104240274</v>
      </c>
      <c r="C139" s="111">
        <f>IF(B139="","",Assumptions!$M$36*Assumptions!$M$31*Assumptions!$M$30)</f>
        <v>24893.725899285277</v>
      </c>
      <c r="D139" s="111">
        <f t="shared" si="6"/>
        <v>8897.068893175152</v>
      </c>
      <c r="E139" s="111">
        <f>IF(C139="","",IF(Assumptions!$M$35=Assumptions!$C$106,B139*Assumptions!$M$33,B139*Assumptions!$M$33/12))</f>
        <v>15996.657006110125</v>
      </c>
      <c r="F139" s="111">
        <f t="shared" si="7"/>
        <v>3481282.6415308523</v>
      </c>
    </row>
    <row r="140" spans="1:6" x14ac:dyDescent="0.25">
      <c r="A140" s="1">
        <v>137</v>
      </c>
      <c r="B140" s="111">
        <f t="shared" si="8"/>
        <v>3481282.6415308523</v>
      </c>
      <c r="C140" s="111">
        <f>IF(B140="","",Assumptions!$M$36*Assumptions!$M$31*Assumptions!$M$30)</f>
        <v>24893.725899285277</v>
      </c>
      <c r="D140" s="111">
        <f t="shared" si="6"/>
        <v>8937.847125602204</v>
      </c>
      <c r="E140" s="111">
        <f>IF(C140="","",IF(Assumptions!$M$35=Assumptions!$C$106,B140*Assumptions!$M$33,B140*Assumptions!$M$33/12))</f>
        <v>15955.878773683073</v>
      </c>
      <c r="F140" s="111">
        <f t="shared" si="7"/>
        <v>3472344.7944052499</v>
      </c>
    </row>
    <row r="141" spans="1:6" x14ac:dyDescent="0.25">
      <c r="A141" s="1">
        <v>138</v>
      </c>
      <c r="B141" s="111">
        <f t="shared" si="8"/>
        <v>3472344.7944052499</v>
      </c>
      <c r="C141" s="111">
        <f>IF(B141="","",Assumptions!$M$36*Assumptions!$M$31*Assumptions!$M$30)</f>
        <v>24893.725899285277</v>
      </c>
      <c r="D141" s="111">
        <f t="shared" si="6"/>
        <v>8978.8122582612141</v>
      </c>
      <c r="E141" s="111">
        <f>IF(C141="","",IF(Assumptions!$M$35=Assumptions!$C$106,B141*Assumptions!$M$33,B141*Assumptions!$M$33/12))</f>
        <v>15914.913641024063</v>
      </c>
      <c r="F141" s="111">
        <f t="shared" si="7"/>
        <v>3463365.9821469886</v>
      </c>
    </row>
    <row r="142" spans="1:6" x14ac:dyDescent="0.25">
      <c r="A142" s="1">
        <v>139</v>
      </c>
      <c r="B142" s="111">
        <f t="shared" si="8"/>
        <v>3463365.9821469886</v>
      </c>
      <c r="C142" s="111">
        <f>IF(B142="","",Assumptions!$M$36*Assumptions!$M$31*Assumptions!$M$30)</f>
        <v>24893.725899285277</v>
      </c>
      <c r="D142" s="111">
        <f t="shared" si="6"/>
        <v>9019.9651477782445</v>
      </c>
      <c r="E142" s="111">
        <f>IF(C142="","",IF(Assumptions!$M$35=Assumptions!$C$106,B142*Assumptions!$M$33,B142*Assumptions!$M$33/12))</f>
        <v>15873.760751507032</v>
      </c>
      <c r="F142" s="111">
        <f t="shared" si="7"/>
        <v>3454346.0169992102</v>
      </c>
    </row>
    <row r="143" spans="1:6" x14ac:dyDescent="0.25">
      <c r="A143" s="1">
        <v>140</v>
      </c>
      <c r="B143" s="111">
        <f t="shared" si="8"/>
        <v>3454346.0169992102</v>
      </c>
      <c r="C143" s="111">
        <f>IF(B143="","",Assumptions!$M$36*Assumptions!$M$31*Assumptions!$M$30)</f>
        <v>24893.725899285277</v>
      </c>
      <c r="D143" s="111">
        <f t="shared" si="6"/>
        <v>9061.3066547055623</v>
      </c>
      <c r="E143" s="111">
        <f>IF(C143="","",IF(Assumptions!$M$35=Assumptions!$C$106,B143*Assumptions!$M$33,B143*Assumptions!$M$33/12))</f>
        <v>15832.419244579714</v>
      </c>
      <c r="F143" s="111">
        <f t="shared" si="7"/>
        <v>3445284.7103445046</v>
      </c>
    </row>
    <row r="144" spans="1:6" x14ac:dyDescent="0.25">
      <c r="A144" s="1">
        <v>141</v>
      </c>
      <c r="B144" s="111">
        <f t="shared" si="8"/>
        <v>3445284.7103445046</v>
      </c>
      <c r="C144" s="111">
        <f>IF(B144="","",Assumptions!$M$36*Assumptions!$M$31*Assumptions!$M$30)</f>
        <v>24893.725899285277</v>
      </c>
      <c r="D144" s="111">
        <f t="shared" si="6"/>
        <v>9102.8376435396312</v>
      </c>
      <c r="E144" s="111">
        <f>IF(C144="","",IF(Assumptions!$M$35=Assumptions!$C$106,B144*Assumptions!$M$33,B144*Assumptions!$M$33/12))</f>
        <v>15790.888255745645</v>
      </c>
      <c r="F144" s="111">
        <f t="shared" si="7"/>
        <v>3436181.872700965</v>
      </c>
    </row>
    <row r="145" spans="1:6" x14ac:dyDescent="0.25">
      <c r="A145" s="1">
        <v>142</v>
      </c>
      <c r="B145" s="111">
        <f t="shared" si="8"/>
        <v>3436181.872700965</v>
      </c>
      <c r="C145" s="111">
        <f>IF(B145="","",Assumptions!$M$36*Assumptions!$M$31*Assumptions!$M$30)</f>
        <v>24893.725899285277</v>
      </c>
      <c r="D145" s="111">
        <f t="shared" si="6"/>
        <v>9144.5589827391868</v>
      </c>
      <c r="E145" s="111">
        <f>IF(C145="","",IF(Assumptions!$M$35=Assumptions!$C$106,B145*Assumptions!$M$33,B145*Assumptions!$M$33/12))</f>
        <v>15749.16691654609</v>
      </c>
      <c r="F145" s="111">
        <f t="shared" si="7"/>
        <v>3427037.3137182258</v>
      </c>
    </row>
    <row r="146" spans="1:6" x14ac:dyDescent="0.25">
      <c r="A146" s="1">
        <v>143</v>
      </c>
      <c r="B146" s="111">
        <f t="shared" si="8"/>
        <v>3427037.3137182258</v>
      </c>
      <c r="C146" s="111">
        <f>IF(B146="","",Assumptions!$M$36*Assumptions!$M$31*Assumptions!$M$30)</f>
        <v>24893.725899285277</v>
      </c>
      <c r="D146" s="111">
        <f t="shared" si="6"/>
        <v>9186.4715447434082</v>
      </c>
      <c r="E146" s="111">
        <f>IF(C146="","",IF(Assumptions!$M$35=Assumptions!$C$106,B146*Assumptions!$M$33,B146*Assumptions!$M$33/12))</f>
        <v>15707.254354541868</v>
      </c>
      <c r="F146" s="111">
        <f t="shared" si="7"/>
        <v>3417850.8421734823</v>
      </c>
    </row>
    <row r="147" spans="1:6" x14ac:dyDescent="0.25">
      <c r="A147" s="1">
        <v>144</v>
      </c>
      <c r="B147" s="111">
        <f t="shared" si="8"/>
        <v>3417850.8421734823</v>
      </c>
      <c r="C147" s="111">
        <f>IF(B147="","",Assumptions!$M$36*Assumptions!$M$31*Assumptions!$M$30)</f>
        <v>24893.725899285277</v>
      </c>
      <c r="D147" s="111">
        <f t="shared" si="6"/>
        <v>9228.5762059901499</v>
      </c>
      <c r="E147" s="111">
        <f>IF(C147="","",IF(Assumptions!$M$35=Assumptions!$C$106,B147*Assumptions!$M$33,B147*Assumptions!$M$33/12))</f>
        <v>15665.149693295127</v>
      </c>
      <c r="F147" s="111">
        <f t="shared" si="7"/>
        <v>3408622.265967492</v>
      </c>
    </row>
    <row r="148" spans="1:6" x14ac:dyDescent="0.25">
      <c r="A148" s="1">
        <v>145</v>
      </c>
      <c r="B148" s="111">
        <f t="shared" si="8"/>
        <v>3408622.265967492</v>
      </c>
      <c r="C148" s="111">
        <f>IF(B148="","",Assumptions!$M$36*Assumptions!$M$31*Assumptions!$M$30)</f>
        <v>24893.725899285277</v>
      </c>
      <c r="D148" s="111">
        <f t="shared" si="6"/>
        <v>9270.8738469342697</v>
      </c>
      <c r="E148" s="111">
        <f>IF(C148="","",IF(Assumptions!$M$35=Assumptions!$C$106,B148*Assumptions!$M$33,B148*Assumptions!$M$33/12))</f>
        <v>15622.852052351007</v>
      </c>
      <c r="F148" s="111">
        <f t="shared" si="7"/>
        <v>3399351.3921205578</v>
      </c>
    </row>
    <row r="149" spans="1:6" x14ac:dyDescent="0.25">
      <c r="A149" s="1">
        <v>146</v>
      </c>
      <c r="B149" s="111">
        <f t="shared" si="8"/>
        <v>3399351.3921205578</v>
      </c>
      <c r="C149" s="111">
        <f>IF(B149="","",Assumptions!$M$36*Assumptions!$M$31*Assumptions!$M$30)</f>
        <v>24893.725899285277</v>
      </c>
      <c r="D149" s="111">
        <f t="shared" si="6"/>
        <v>9313.3653520660537</v>
      </c>
      <c r="E149" s="111">
        <f>IF(C149="","",IF(Assumptions!$M$35=Assumptions!$C$106,B149*Assumptions!$M$33,B149*Assumptions!$M$33/12))</f>
        <v>15580.360547219223</v>
      </c>
      <c r="F149" s="111">
        <f t="shared" si="7"/>
        <v>3390038.0267684916</v>
      </c>
    </row>
    <row r="150" spans="1:6" x14ac:dyDescent="0.25">
      <c r="A150" s="1">
        <v>147</v>
      </c>
      <c r="B150" s="111">
        <f t="shared" si="8"/>
        <v>3390038.0267684916</v>
      </c>
      <c r="C150" s="111">
        <f>IF(B150="","",Assumptions!$M$36*Assumptions!$M$31*Assumptions!$M$30)</f>
        <v>24893.725899285277</v>
      </c>
      <c r="D150" s="111">
        <f t="shared" si="6"/>
        <v>9356.051609929691</v>
      </c>
      <c r="E150" s="111">
        <f>IF(C150="","",IF(Assumptions!$M$35=Assumptions!$C$106,B150*Assumptions!$M$33,B150*Assumptions!$M$33/12))</f>
        <v>15537.674289355586</v>
      </c>
      <c r="F150" s="111">
        <f t="shared" si="7"/>
        <v>3380681.975158562</v>
      </c>
    </row>
    <row r="151" spans="1:6" x14ac:dyDescent="0.25">
      <c r="A151" s="1">
        <v>148</v>
      </c>
      <c r="B151" s="111">
        <f t="shared" si="8"/>
        <v>3380681.975158562</v>
      </c>
      <c r="C151" s="111">
        <f>IF(B151="","",Assumptions!$M$36*Assumptions!$M$31*Assumptions!$M$30)</f>
        <v>24893.725899285277</v>
      </c>
      <c r="D151" s="111">
        <f t="shared" si="6"/>
        <v>9398.9335131418666</v>
      </c>
      <c r="E151" s="111">
        <f>IF(C151="","",IF(Assumptions!$M$35=Assumptions!$C$106,B151*Assumptions!$M$33,B151*Assumptions!$M$33/12))</f>
        <v>15494.79238614341</v>
      </c>
      <c r="F151" s="111">
        <f t="shared" si="7"/>
        <v>3371283.0416454202</v>
      </c>
    </row>
    <row r="152" spans="1:6" x14ac:dyDescent="0.25">
      <c r="A152" s="1">
        <v>149</v>
      </c>
      <c r="B152" s="111">
        <f t="shared" si="8"/>
        <v>3371283.0416454202</v>
      </c>
      <c r="C152" s="111">
        <f>IF(B152="","",Assumptions!$M$36*Assumptions!$M$31*Assumptions!$M$30)</f>
        <v>24893.725899285277</v>
      </c>
      <c r="D152" s="111">
        <f t="shared" si="6"/>
        <v>9442.0119584104341</v>
      </c>
      <c r="E152" s="111">
        <f>IF(C152="","",IF(Assumptions!$M$35=Assumptions!$C$106,B152*Assumptions!$M$33,B152*Assumptions!$M$33/12))</f>
        <v>15451.713940874843</v>
      </c>
      <c r="F152" s="111">
        <f t="shared" si="7"/>
        <v>3361841.0296870098</v>
      </c>
    </row>
    <row r="153" spans="1:6" x14ac:dyDescent="0.25">
      <c r="A153" s="1">
        <v>150</v>
      </c>
      <c r="B153" s="111">
        <f t="shared" si="8"/>
        <v>3361841.0296870098</v>
      </c>
      <c r="C153" s="111">
        <f>IF(B153="","",Assumptions!$M$36*Assumptions!$M$31*Assumptions!$M$30)</f>
        <v>24893.725899285277</v>
      </c>
      <c r="D153" s="111">
        <f t="shared" si="6"/>
        <v>9485.2878465531485</v>
      </c>
      <c r="E153" s="111">
        <f>IF(C153="","",IF(Assumptions!$M$35=Assumptions!$C$106,B153*Assumptions!$M$33,B153*Assumptions!$M$33/12))</f>
        <v>15408.438052732128</v>
      </c>
      <c r="F153" s="111">
        <f t="shared" si="7"/>
        <v>3352355.7418404566</v>
      </c>
    </row>
    <row r="154" spans="1:6" x14ac:dyDescent="0.25">
      <c r="A154" s="1">
        <v>151</v>
      </c>
      <c r="B154" s="111">
        <f t="shared" si="8"/>
        <v>3352355.7418404566</v>
      </c>
      <c r="C154" s="111">
        <f>IF(B154="","",Assumptions!$M$36*Assumptions!$M$31*Assumptions!$M$30)</f>
        <v>24893.725899285277</v>
      </c>
      <c r="D154" s="111">
        <f t="shared" si="6"/>
        <v>9528.7620825165177</v>
      </c>
      <c r="E154" s="111">
        <f>IF(C154="","",IF(Assumptions!$M$35=Assumptions!$C$106,B154*Assumptions!$M$33,B154*Assumptions!$M$33/12))</f>
        <v>15364.963816768759</v>
      </c>
      <c r="F154" s="111">
        <f t="shared" si="7"/>
        <v>3342826.9797579399</v>
      </c>
    </row>
    <row r="155" spans="1:6" x14ac:dyDescent="0.25">
      <c r="A155" s="1">
        <v>152</v>
      </c>
      <c r="B155" s="111">
        <f t="shared" si="8"/>
        <v>3342826.9797579399</v>
      </c>
      <c r="C155" s="111">
        <f>IF(B155="","",Assumptions!$M$36*Assumptions!$M$31*Assumptions!$M$30)</f>
        <v>24893.725899285277</v>
      </c>
      <c r="D155" s="111">
        <f t="shared" si="6"/>
        <v>9572.4355753947184</v>
      </c>
      <c r="E155" s="111">
        <f>IF(C155="","",IF(Assumptions!$M$35=Assumptions!$C$106,B155*Assumptions!$M$33,B155*Assumptions!$M$33/12))</f>
        <v>15321.290323890558</v>
      </c>
      <c r="F155" s="111">
        <f t="shared" si="7"/>
        <v>3333254.544182545</v>
      </c>
    </row>
    <row r="156" spans="1:6" x14ac:dyDescent="0.25">
      <c r="A156" s="1">
        <v>153</v>
      </c>
      <c r="B156" s="111">
        <f t="shared" si="8"/>
        <v>3333254.544182545</v>
      </c>
      <c r="C156" s="111">
        <f>IF(B156="","",Assumptions!$M$36*Assumptions!$M$31*Assumptions!$M$30)</f>
        <v>24893.725899285277</v>
      </c>
      <c r="D156" s="111">
        <f t="shared" si="6"/>
        <v>9616.3092384486117</v>
      </c>
      <c r="E156" s="111">
        <f>IF(C156="","",IF(Assumptions!$M$35=Assumptions!$C$106,B156*Assumptions!$M$33,B156*Assumptions!$M$33/12))</f>
        <v>15277.416660836665</v>
      </c>
      <c r="F156" s="111">
        <f t="shared" si="7"/>
        <v>3323638.2349440963</v>
      </c>
    </row>
    <row r="157" spans="1:6" x14ac:dyDescent="0.25">
      <c r="A157" s="1">
        <v>154</v>
      </c>
      <c r="B157" s="111">
        <f t="shared" si="8"/>
        <v>3323638.2349440963</v>
      </c>
      <c r="C157" s="111">
        <f>IF(B157="","",Assumptions!$M$36*Assumptions!$M$31*Assumptions!$M$30)</f>
        <v>24893.725899285277</v>
      </c>
      <c r="D157" s="111">
        <f t="shared" si="6"/>
        <v>9660.3839891248335</v>
      </c>
      <c r="E157" s="111">
        <f>IF(C157="","",IF(Assumptions!$M$35=Assumptions!$C$106,B157*Assumptions!$M$33,B157*Assumptions!$M$33/12))</f>
        <v>15233.341910160443</v>
      </c>
      <c r="F157" s="111">
        <f t="shared" si="7"/>
        <v>3313977.8509549713</v>
      </c>
    </row>
    <row r="158" spans="1:6" x14ac:dyDescent="0.25">
      <c r="A158" s="1">
        <v>155</v>
      </c>
      <c r="B158" s="111">
        <f t="shared" si="8"/>
        <v>3313977.8509549713</v>
      </c>
      <c r="C158" s="111">
        <f>IF(B158="","",Assumptions!$M$36*Assumptions!$M$31*Assumptions!$M$30)</f>
        <v>24893.725899285277</v>
      </c>
      <c r="D158" s="111">
        <f t="shared" si="6"/>
        <v>9704.6607490749921</v>
      </c>
      <c r="E158" s="111">
        <f>IF(C158="","",IF(Assumptions!$M$35=Assumptions!$C$106,B158*Assumptions!$M$33,B158*Assumptions!$M$33/12))</f>
        <v>15189.065150210285</v>
      </c>
      <c r="F158" s="111">
        <f t="shared" si="7"/>
        <v>3304273.1902058963</v>
      </c>
    </row>
    <row r="159" spans="1:6" x14ac:dyDescent="0.25">
      <c r="A159" s="1">
        <v>156</v>
      </c>
      <c r="B159" s="111">
        <f t="shared" si="8"/>
        <v>3304273.1902058963</v>
      </c>
      <c r="C159" s="111">
        <f>IF(B159="","",Assumptions!$M$36*Assumptions!$M$31*Assumptions!$M$30)</f>
        <v>24893.725899285277</v>
      </c>
      <c r="D159" s="111">
        <f t="shared" si="6"/>
        <v>9749.14044417492</v>
      </c>
      <c r="E159" s="111">
        <f>IF(C159="","",IF(Assumptions!$M$35=Assumptions!$C$106,B159*Assumptions!$M$33,B159*Assumptions!$M$33/12))</f>
        <v>15144.585455110357</v>
      </c>
      <c r="F159" s="111">
        <f t="shared" si="7"/>
        <v>3294524.0497617214</v>
      </c>
    </row>
    <row r="160" spans="1:6" x14ac:dyDescent="0.25">
      <c r="A160" s="1">
        <v>157</v>
      </c>
      <c r="B160" s="111">
        <f t="shared" si="8"/>
        <v>3294524.0497617214</v>
      </c>
      <c r="C160" s="111">
        <f>IF(B160="","",Assumptions!$M$36*Assumptions!$M$31*Assumptions!$M$30)</f>
        <v>24893.725899285277</v>
      </c>
      <c r="D160" s="111">
        <f t="shared" si="6"/>
        <v>9793.8240045440525</v>
      </c>
      <c r="E160" s="111">
        <f>IF(C160="","",IF(Assumptions!$M$35=Assumptions!$C$106,B160*Assumptions!$M$33,B160*Assumptions!$M$33/12))</f>
        <v>15099.901894741224</v>
      </c>
      <c r="F160" s="111">
        <f t="shared" si="7"/>
        <v>3284730.2257571775</v>
      </c>
    </row>
    <row r="161" spans="1:6" x14ac:dyDescent="0.25">
      <c r="A161" s="1">
        <v>158</v>
      </c>
      <c r="B161" s="111">
        <f t="shared" si="8"/>
        <v>3284730.2257571775</v>
      </c>
      <c r="C161" s="111">
        <f>IF(B161="","",Assumptions!$M$36*Assumptions!$M$31*Assumptions!$M$30)</f>
        <v>24893.725899285277</v>
      </c>
      <c r="D161" s="111">
        <f t="shared" si="6"/>
        <v>9838.712364564879</v>
      </c>
      <c r="E161" s="111">
        <f>IF(C161="","",IF(Assumptions!$M$35=Assumptions!$C$106,B161*Assumptions!$M$33,B161*Assumptions!$M$33/12))</f>
        <v>15055.013534720398</v>
      </c>
      <c r="F161" s="111">
        <f t="shared" si="7"/>
        <v>3274891.5133926128</v>
      </c>
    </row>
    <row r="162" spans="1:6" x14ac:dyDescent="0.25">
      <c r="A162" s="1">
        <v>159</v>
      </c>
      <c r="B162" s="111">
        <f t="shared" si="8"/>
        <v>3274891.5133926128</v>
      </c>
      <c r="C162" s="111">
        <f>IF(B162="","",Assumptions!$M$36*Assumptions!$M$31*Assumptions!$M$30)</f>
        <v>24893.725899285277</v>
      </c>
      <c r="D162" s="111">
        <f t="shared" si="6"/>
        <v>9883.8064629024684</v>
      </c>
      <c r="E162" s="111">
        <f>IF(C162="","",IF(Assumptions!$M$35=Assumptions!$C$106,B162*Assumptions!$M$33,B162*Assumptions!$M$33/12))</f>
        <v>15009.919436382808</v>
      </c>
      <c r="F162" s="111">
        <f t="shared" si="7"/>
        <v>3265007.7069297102</v>
      </c>
    </row>
    <row r="163" spans="1:6" x14ac:dyDescent="0.25">
      <c r="A163" s="1">
        <v>160</v>
      </c>
      <c r="B163" s="111">
        <f t="shared" si="8"/>
        <v>3265007.7069297102</v>
      </c>
      <c r="C163" s="111">
        <f>IF(B163="","",Assumptions!$M$36*Assumptions!$M$31*Assumptions!$M$30)</f>
        <v>24893.725899285277</v>
      </c>
      <c r="D163" s="111">
        <f t="shared" si="6"/>
        <v>9929.1072425241036</v>
      </c>
      <c r="E163" s="111">
        <f>IF(C163="","",IF(Assumptions!$M$35=Assumptions!$C$106,B163*Assumptions!$M$33,B163*Assumptions!$M$33/12))</f>
        <v>14964.618656761173</v>
      </c>
      <c r="F163" s="111">
        <f t="shared" si="7"/>
        <v>3255078.5996871861</v>
      </c>
    </row>
    <row r="164" spans="1:6" x14ac:dyDescent="0.25">
      <c r="A164" s="1">
        <v>161</v>
      </c>
      <c r="B164" s="111">
        <f t="shared" si="8"/>
        <v>3255078.5996871861</v>
      </c>
      <c r="C164" s="111">
        <f>IF(B164="","",Assumptions!$M$36*Assumptions!$M$31*Assumptions!$M$30)</f>
        <v>24893.725899285277</v>
      </c>
      <c r="D164" s="111">
        <f t="shared" si="6"/>
        <v>9974.6156507190062</v>
      </c>
      <c r="E164" s="111">
        <f>IF(C164="","",IF(Assumptions!$M$35=Assumptions!$C$106,B164*Assumptions!$M$33,B164*Assumptions!$M$33/12))</f>
        <v>14919.11024856627</v>
      </c>
      <c r="F164" s="111">
        <f t="shared" si="7"/>
        <v>3245103.984036467</v>
      </c>
    </row>
    <row r="165" spans="1:6" x14ac:dyDescent="0.25">
      <c r="A165" s="1">
        <v>162</v>
      </c>
      <c r="B165" s="111">
        <f t="shared" si="8"/>
        <v>3245103.984036467</v>
      </c>
      <c r="C165" s="111">
        <f>IF(B165="","",Assumptions!$M$36*Assumptions!$M$31*Assumptions!$M$30)</f>
        <v>24893.725899285277</v>
      </c>
      <c r="D165" s="111">
        <f t="shared" si="6"/>
        <v>10020.332639118136</v>
      </c>
      <c r="E165" s="111">
        <f>IF(C165="","",IF(Assumptions!$M$35=Assumptions!$C$106,B165*Assumptions!$M$33,B165*Assumptions!$M$33/12))</f>
        <v>14873.39326016714</v>
      </c>
      <c r="F165" s="111">
        <f t="shared" si="7"/>
        <v>3235083.6513973488</v>
      </c>
    </row>
    <row r="166" spans="1:6" x14ac:dyDescent="0.25">
      <c r="A166" s="1">
        <v>163</v>
      </c>
      <c r="B166" s="111">
        <f t="shared" si="8"/>
        <v>3235083.6513973488</v>
      </c>
      <c r="C166" s="111">
        <f>IF(B166="","",Assumptions!$M$36*Assumptions!$M$31*Assumptions!$M$30)</f>
        <v>24893.725899285277</v>
      </c>
      <c r="D166" s="111">
        <f t="shared" si="6"/>
        <v>10066.259163714096</v>
      </c>
      <c r="E166" s="111">
        <f>IF(C166="","",IF(Assumptions!$M$35=Assumptions!$C$106,B166*Assumptions!$M$33,B166*Assumptions!$M$33/12))</f>
        <v>14827.466735571181</v>
      </c>
      <c r="F166" s="111">
        <f t="shared" si="7"/>
        <v>3225017.3922336348</v>
      </c>
    </row>
    <row r="167" spans="1:6" x14ac:dyDescent="0.25">
      <c r="A167" s="1">
        <v>164</v>
      </c>
      <c r="B167" s="111">
        <f t="shared" si="8"/>
        <v>3225017.3922336348</v>
      </c>
      <c r="C167" s="111">
        <f>IF(B167="","",Assumptions!$M$36*Assumptions!$M$31*Assumptions!$M$30)</f>
        <v>24893.725899285277</v>
      </c>
      <c r="D167" s="111">
        <f t="shared" si="6"/>
        <v>10112.396184881118</v>
      </c>
      <c r="E167" s="111">
        <f>IF(C167="","",IF(Assumptions!$M$35=Assumptions!$C$106,B167*Assumptions!$M$33,B167*Assumptions!$M$33/12))</f>
        <v>14781.329714404159</v>
      </c>
      <c r="F167" s="111">
        <f t="shared" si="7"/>
        <v>3214904.9960487536</v>
      </c>
    </row>
    <row r="168" spans="1:6" x14ac:dyDescent="0.25">
      <c r="A168" s="1">
        <v>165</v>
      </c>
      <c r="B168" s="111">
        <f t="shared" si="8"/>
        <v>3214904.9960487536</v>
      </c>
      <c r="C168" s="111">
        <f>IF(B168="","",Assumptions!$M$36*Assumptions!$M$31*Assumptions!$M$30)</f>
        <v>24893.725899285277</v>
      </c>
      <c r="D168" s="111">
        <f t="shared" si="6"/>
        <v>10158.744667395154</v>
      </c>
      <c r="E168" s="111">
        <f>IF(C168="","",IF(Assumptions!$M$35=Assumptions!$C$106,B168*Assumptions!$M$33,B168*Assumptions!$M$33/12))</f>
        <v>14734.981231890122</v>
      </c>
      <c r="F168" s="111">
        <f t="shared" si="7"/>
        <v>3204746.2513813586</v>
      </c>
    </row>
    <row r="169" spans="1:6" x14ac:dyDescent="0.25">
      <c r="A169" s="1">
        <v>166</v>
      </c>
      <c r="B169" s="111">
        <f t="shared" si="8"/>
        <v>3204746.2513813586</v>
      </c>
      <c r="C169" s="111">
        <f>IF(B169="","",Assumptions!$M$36*Assumptions!$M$31*Assumptions!$M$30)</f>
        <v>24893.725899285277</v>
      </c>
      <c r="D169" s="111">
        <f t="shared" si="6"/>
        <v>10205.305580454051</v>
      </c>
      <c r="E169" s="111">
        <f>IF(C169="","",IF(Assumptions!$M$35=Assumptions!$C$106,B169*Assumptions!$M$33,B169*Assumptions!$M$33/12))</f>
        <v>14688.420318831226</v>
      </c>
      <c r="F169" s="111">
        <f t="shared" si="7"/>
        <v>3194540.9458009047</v>
      </c>
    </row>
    <row r="170" spans="1:6" x14ac:dyDescent="0.25">
      <c r="A170" s="1">
        <v>167</v>
      </c>
      <c r="B170" s="111">
        <f t="shared" si="8"/>
        <v>3194540.9458009047</v>
      </c>
      <c r="C170" s="111">
        <f>IF(B170="","",Assumptions!$M$36*Assumptions!$M$31*Assumptions!$M$30)</f>
        <v>24893.725899285277</v>
      </c>
      <c r="D170" s="111">
        <f t="shared" si="6"/>
        <v>10252.079897697799</v>
      </c>
      <c r="E170" s="111">
        <f>IF(C170="","",IF(Assumptions!$M$35=Assumptions!$C$106,B170*Assumptions!$M$33,B170*Assumptions!$M$33/12))</f>
        <v>14641.646001587478</v>
      </c>
      <c r="F170" s="111">
        <f t="shared" si="7"/>
        <v>3184288.8659032066</v>
      </c>
    </row>
    <row r="171" spans="1:6" x14ac:dyDescent="0.25">
      <c r="A171" s="1">
        <v>168</v>
      </c>
      <c r="B171" s="111">
        <f t="shared" si="8"/>
        <v>3184288.8659032066</v>
      </c>
      <c r="C171" s="111">
        <f>IF(B171="","",Assumptions!$M$36*Assumptions!$M$31*Assumptions!$M$30)</f>
        <v>24893.725899285277</v>
      </c>
      <c r="D171" s="111">
        <f t="shared" si="6"/>
        <v>10299.068597228912</v>
      </c>
      <c r="E171" s="111">
        <f>IF(C171="","",IF(Assumptions!$M$35=Assumptions!$C$106,B171*Assumptions!$M$33,B171*Assumptions!$M$33/12))</f>
        <v>14594.657302056365</v>
      </c>
      <c r="F171" s="111">
        <f t="shared" si="7"/>
        <v>3173989.7973059779</v>
      </c>
    </row>
    <row r="172" spans="1:6" x14ac:dyDescent="0.25">
      <c r="A172" s="1">
        <v>169</v>
      </c>
      <c r="B172" s="111">
        <f t="shared" si="8"/>
        <v>3173989.7973059779</v>
      </c>
      <c r="C172" s="111">
        <f>IF(B172="","",Assumptions!$M$36*Assumptions!$M$31*Assumptions!$M$30)</f>
        <v>24893.725899285277</v>
      </c>
      <c r="D172" s="111">
        <f t="shared" si="6"/>
        <v>10346.272661632878</v>
      </c>
      <c r="E172" s="111">
        <f>IF(C172="","",IF(Assumptions!$M$35=Assumptions!$C$106,B172*Assumptions!$M$33,B172*Assumptions!$M$33/12))</f>
        <v>14547.453237652398</v>
      </c>
      <c r="F172" s="111">
        <f t="shared" si="7"/>
        <v>3163643.524644345</v>
      </c>
    </row>
    <row r="173" spans="1:6" x14ac:dyDescent="0.25">
      <c r="A173" s="1">
        <v>170</v>
      </c>
      <c r="B173" s="111">
        <f t="shared" si="8"/>
        <v>3163643.524644345</v>
      </c>
      <c r="C173" s="111">
        <f>IF(B173="","",Assumptions!$M$36*Assumptions!$M$31*Assumptions!$M$30)</f>
        <v>24893.725899285277</v>
      </c>
      <c r="D173" s="111">
        <f t="shared" si="6"/>
        <v>10393.693077998696</v>
      </c>
      <c r="E173" s="111">
        <f>IF(C173="","",IF(Assumptions!$M$35=Assumptions!$C$106,B173*Assumptions!$M$33,B173*Assumptions!$M$33/12))</f>
        <v>14500.032821286581</v>
      </c>
      <c r="F173" s="111">
        <f t="shared" si="7"/>
        <v>3153249.8315663463</v>
      </c>
    </row>
    <row r="174" spans="1:6" x14ac:dyDescent="0.25">
      <c r="A174" s="1">
        <v>171</v>
      </c>
      <c r="B174" s="111">
        <f t="shared" si="8"/>
        <v>3153249.8315663463</v>
      </c>
      <c r="C174" s="111">
        <f>IF(B174="","",Assumptions!$M$36*Assumptions!$M$31*Assumptions!$M$30)</f>
        <v>24893.725899285277</v>
      </c>
      <c r="D174" s="111">
        <f t="shared" si="6"/>
        <v>10441.330837939522</v>
      </c>
      <c r="E174" s="111">
        <f>IF(C174="","",IF(Assumptions!$M$35=Assumptions!$C$106,B174*Assumptions!$M$33,B174*Assumptions!$M$33/12))</f>
        <v>14452.395061345755</v>
      </c>
      <c r="F174" s="111">
        <f t="shared" si="7"/>
        <v>3142808.5007284069</v>
      </c>
    </row>
    <row r="175" spans="1:6" x14ac:dyDescent="0.25">
      <c r="A175" s="1">
        <v>172</v>
      </c>
      <c r="B175" s="111">
        <f t="shared" si="8"/>
        <v>3142808.5007284069</v>
      </c>
      <c r="C175" s="111">
        <f>IF(B175="","",Assumptions!$M$36*Assumptions!$M$31*Assumptions!$M$30)</f>
        <v>24893.725899285277</v>
      </c>
      <c r="D175" s="111">
        <f t="shared" si="6"/>
        <v>10489.186937613411</v>
      </c>
      <c r="E175" s="111">
        <f>IF(C175="","",IF(Assumptions!$M$35=Assumptions!$C$106,B175*Assumptions!$M$33,B175*Assumptions!$M$33/12))</f>
        <v>14404.538961671866</v>
      </c>
      <c r="F175" s="111">
        <f t="shared" si="7"/>
        <v>3132319.3137907935</v>
      </c>
    </row>
    <row r="176" spans="1:6" x14ac:dyDescent="0.25">
      <c r="A176" s="1">
        <v>173</v>
      </c>
      <c r="B176" s="111">
        <f t="shared" si="8"/>
        <v>3132319.3137907935</v>
      </c>
      <c r="C176" s="111">
        <f>IF(B176="","",Assumptions!$M$36*Assumptions!$M$31*Assumptions!$M$30)</f>
        <v>24893.725899285277</v>
      </c>
      <c r="D176" s="111">
        <f t="shared" si="6"/>
        <v>10537.262377744139</v>
      </c>
      <c r="E176" s="111">
        <f>IF(C176="","",IF(Assumptions!$M$35=Assumptions!$C$106,B176*Assumptions!$M$33,B176*Assumptions!$M$33/12))</f>
        <v>14356.463521541138</v>
      </c>
      <c r="F176" s="111">
        <f t="shared" si="7"/>
        <v>3121782.0514130495</v>
      </c>
    </row>
    <row r="177" spans="1:6" x14ac:dyDescent="0.25">
      <c r="A177" s="1">
        <v>174</v>
      </c>
      <c r="B177" s="111">
        <f t="shared" si="8"/>
        <v>3121782.0514130495</v>
      </c>
      <c r="C177" s="111">
        <f>IF(B177="","",Assumptions!$M$36*Assumptions!$M$31*Assumptions!$M$30)</f>
        <v>24893.725899285277</v>
      </c>
      <c r="D177" s="111">
        <f t="shared" si="6"/>
        <v>10585.558163642132</v>
      </c>
      <c r="E177" s="111">
        <f>IF(C177="","",IF(Assumptions!$M$35=Assumptions!$C$106,B177*Assumptions!$M$33,B177*Assumptions!$M$33/12))</f>
        <v>14308.167735643145</v>
      </c>
      <c r="F177" s="111">
        <f t="shared" si="7"/>
        <v>3111196.4932494075</v>
      </c>
    </row>
    <row r="178" spans="1:6" x14ac:dyDescent="0.25">
      <c r="A178" s="1">
        <v>175</v>
      </c>
      <c r="B178" s="111">
        <f t="shared" si="8"/>
        <v>3111196.4932494075</v>
      </c>
      <c r="C178" s="111">
        <f>IF(B178="","",Assumptions!$M$36*Assumptions!$M$31*Assumptions!$M$30)</f>
        <v>24893.725899285277</v>
      </c>
      <c r="D178" s="111">
        <f t="shared" si="6"/>
        <v>10634.075305225491</v>
      </c>
      <c r="E178" s="111">
        <f>IF(C178="","",IF(Assumptions!$M$35=Assumptions!$C$106,B178*Assumptions!$M$33,B178*Assumptions!$M$33/12))</f>
        <v>14259.650594059785</v>
      </c>
      <c r="F178" s="111">
        <f t="shared" si="7"/>
        <v>3100562.4179441822</v>
      </c>
    </row>
    <row r="179" spans="1:6" x14ac:dyDescent="0.25">
      <c r="A179" s="1">
        <v>176</v>
      </c>
      <c r="B179" s="111">
        <f t="shared" si="8"/>
        <v>3100562.4179441822</v>
      </c>
      <c r="C179" s="111">
        <f>IF(B179="","",Assumptions!$M$36*Assumptions!$M$31*Assumptions!$M$30)</f>
        <v>24893.725899285277</v>
      </c>
      <c r="D179" s="111">
        <f t="shared" si="6"/>
        <v>10682.81481704111</v>
      </c>
      <c r="E179" s="111">
        <f>IF(C179="","",IF(Assumptions!$M$35=Assumptions!$C$106,B179*Assumptions!$M$33,B179*Assumptions!$M$33/12))</f>
        <v>14210.911082244167</v>
      </c>
      <c r="F179" s="111">
        <f t="shared" si="7"/>
        <v>3089879.603127141</v>
      </c>
    </row>
    <row r="180" spans="1:6" x14ac:dyDescent="0.25">
      <c r="A180" s="1">
        <v>177</v>
      </c>
      <c r="B180" s="111">
        <f t="shared" si="8"/>
        <v>3089879.603127141</v>
      </c>
      <c r="C180" s="111">
        <f>IF(B180="","",Assumptions!$M$36*Assumptions!$M$31*Assumptions!$M$30)</f>
        <v>24893.725899285277</v>
      </c>
      <c r="D180" s="111">
        <f t="shared" si="6"/>
        <v>10731.777718285881</v>
      </c>
      <c r="E180" s="111">
        <f>IF(C180="","",IF(Assumptions!$M$35=Assumptions!$C$106,B180*Assumptions!$M$33,B180*Assumptions!$M$33/12))</f>
        <v>14161.948180999396</v>
      </c>
      <c r="F180" s="111">
        <f t="shared" si="7"/>
        <v>3079147.825408855</v>
      </c>
    </row>
    <row r="181" spans="1:6" x14ac:dyDescent="0.25">
      <c r="A181" s="1">
        <v>178</v>
      </c>
      <c r="B181" s="111">
        <f t="shared" si="8"/>
        <v>3079147.825408855</v>
      </c>
      <c r="C181" s="111">
        <f>IF(B181="","",Assumptions!$M$36*Assumptions!$M$31*Assumptions!$M$30)</f>
        <v>24893.725899285277</v>
      </c>
      <c r="D181" s="111">
        <f t="shared" si="6"/>
        <v>10780.965032828024</v>
      </c>
      <c r="E181" s="111">
        <f>IF(C181="","",IF(Assumptions!$M$35=Assumptions!$C$106,B181*Assumptions!$M$33,B181*Assumptions!$M$33/12))</f>
        <v>14112.760866457253</v>
      </c>
      <c r="F181" s="111">
        <f t="shared" si="7"/>
        <v>3068366.8603760269</v>
      </c>
    </row>
    <row r="182" spans="1:6" x14ac:dyDescent="0.25">
      <c r="A182" s="1">
        <v>179</v>
      </c>
      <c r="B182" s="111">
        <f t="shared" si="8"/>
        <v>3068366.8603760269</v>
      </c>
      <c r="C182" s="111">
        <f>IF(B182="","",Assumptions!$M$36*Assumptions!$M$31*Assumptions!$M$30)</f>
        <v>24893.725899285277</v>
      </c>
      <c r="D182" s="111">
        <f t="shared" si="6"/>
        <v>10830.377789228487</v>
      </c>
      <c r="E182" s="111">
        <f>IF(C182="","",IF(Assumptions!$M$35=Assumptions!$C$106,B182*Assumptions!$M$33,B182*Assumptions!$M$33/12))</f>
        <v>14063.34811005679</v>
      </c>
      <c r="F182" s="111">
        <f t="shared" si="7"/>
        <v>3057536.4825867983</v>
      </c>
    </row>
    <row r="183" spans="1:6" x14ac:dyDescent="0.25">
      <c r="A183" s="1">
        <v>180</v>
      </c>
      <c r="B183" s="111">
        <f t="shared" si="8"/>
        <v>3057536.4825867983</v>
      </c>
      <c r="C183" s="111">
        <f>IF(B183="","",Assumptions!$M$36*Assumptions!$M$31*Assumptions!$M$30)</f>
        <v>24893.725899285277</v>
      </c>
      <c r="D183" s="111">
        <f t="shared" si="6"/>
        <v>10880.017020762451</v>
      </c>
      <c r="E183" s="111">
        <f>IF(C183="","",IF(Assumptions!$M$35=Assumptions!$C$106,B183*Assumptions!$M$33,B183*Assumptions!$M$33/12))</f>
        <v>14013.708878522826</v>
      </c>
      <c r="F183" s="111">
        <f t="shared" si="7"/>
        <v>3046656.4655660358</v>
      </c>
    </row>
    <row r="184" spans="1:6" x14ac:dyDescent="0.25">
      <c r="A184" s="1">
        <v>181</v>
      </c>
      <c r="B184" s="111">
        <f t="shared" si="8"/>
        <v>3046656.4655660358</v>
      </c>
      <c r="C184" s="111">
        <f>IF(B184="","",Assumptions!$M$36*Assumptions!$M$31*Assumptions!$M$30)</f>
        <v>24893.725899285277</v>
      </c>
      <c r="D184" s="111">
        <f t="shared" si="6"/>
        <v>10929.883765440945</v>
      </c>
      <c r="E184" s="111">
        <f>IF(C184="","",IF(Assumptions!$M$35=Assumptions!$C$106,B184*Assumptions!$M$33,B184*Assumptions!$M$33/12))</f>
        <v>13963.842133844331</v>
      </c>
      <c r="F184" s="111">
        <f t="shared" si="7"/>
        <v>3035726.5818005949</v>
      </c>
    </row>
    <row r="185" spans="1:6" x14ac:dyDescent="0.25">
      <c r="A185" s="1">
        <v>182</v>
      </c>
      <c r="B185" s="111">
        <f t="shared" si="8"/>
        <v>3035726.5818005949</v>
      </c>
      <c r="C185" s="111">
        <f>IF(B185="","",Assumptions!$M$36*Assumptions!$M$31*Assumptions!$M$30)</f>
        <v>24893.725899285277</v>
      </c>
      <c r="D185" s="111">
        <f t="shared" si="6"/>
        <v>10979.979066032549</v>
      </c>
      <c r="E185" s="111">
        <f>IF(C185="","",IF(Assumptions!$M$35=Assumptions!$C$106,B185*Assumptions!$M$33,B185*Assumptions!$M$33/12))</f>
        <v>13913.746833252728</v>
      </c>
      <c r="F185" s="111">
        <f t="shared" si="7"/>
        <v>3024746.6027345625</v>
      </c>
    </row>
    <row r="186" spans="1:6" x14ac:dyDescent="0.25">
      <c r="A186" s="1">
        <v>183</v>
      </c>
      <c r="B186" s="111">
        <f t="shared" si="8"/>
        <v>3024746.6027345625</v>
      </c>
      <c r="C186" s="111">
        <f>IF(B186="","",Assumptions!$M$36*Assumptions!$M$31*Assumptions!$M$30)</f>
        <v>24893.725899285277</v>
      </c>
      <c r="D186" s="111">
        <f t="shared" si="6"/>
        <v>11030.303970085199</v>
      </c>
      <c r="E186" s="111">
        <f>IF(C186="","",IF(Assumptions!$M$35=Assumptions!$C$106,B186*Assumptions!$M$33,B186*Assumptions!$M$33/12))</f>
        <v>13863.421929200078</v>
      </c>
      <c r="F186" s="111">
        <f t="shared" si="7"/>
        <v>3013716.2987644775</v>
      </c>
    </row>
    <row r="187" spans="1:6" x14ac:dyDescent="0.25">
      <c r="A187" s="1">
        <v>184</v>
      </c>
      <c r="B187" s="111">
        <f t="shared" si="8"/>
        <v>3013716.2987644775</v>
      </c>
      <c r="C187" s="111">
        <f>IF(B187="","",Assumptions!$M$36*Assumptions!$M$31*Assumptions!$M$30)</f>
        <v>24893.725899285277</v>
      </c>
      <c r="D187" s="111">
        <f t="shared" si="6"/>
        <v>11080.859529948089</v>
      </c>
      <c r="E187" s="111">
        <f>IF(C187="","",IF(Assumptions!$M$35=Assumptions!$C$106,B187*Assumptions!$M$33,B187*Assumptions!$M$33/12))</f>
        <v>13812.866369337187</v>
      </c>
      <c r="F187" s="111">
        <f t="shared" si="7"/>
        <v>3002635.4392345296</v>
      </c>
    </row>
    <row r="188" spans="1:6" x14ac:dyDescent="0.25">
      <c r="A188" s="1">
        <v>185</v>
      </c>
      <c r="B188" s="111">
        <f t="shared" si="8"/>
        <v>3002635.4392345296</v>
      </c>
      <c r="C188" s="111">
        <f>IF(B188="","",Assumptions!$M$36*Assumptions!$M$31*Assumptions!$M$30)</f>
        <v>24893.725899285277</v>
      </c>
      <c r="D188" s="111">
        <f t="shared" si="6"/>
        <v>11131.646802793683</v>
      </c>
      <c r="E188" s="111">
        <f>IF(C188="","",IF(Assumptions!$M$35=Assumptions!$C$106,B188*Assumptions!$M$33,B188*Assumptions!$M$33/12))</f>
        <v>13762.079096491594</v>
      </c>
      <c r="F188" s="111">
        <f t="shared" si="7"/>
        <v>2991503.7924317359</v>
      </c>
    </row>
    <row r="189" spans="1:6" x14ac:dyDescent="0.25">
      <c r="A189" s="1">
        <v>186</v>
      </c>
      <c r="B189" s="111">
        <f t="shared" si="8"/>
        <v>2991503.7924317359</v>
      </c>
      <c r="C189" s="111">
        <f>IF(B189="","",Assumptions!$M$36*Assumptions!$M$31*Assumptions!$M$30)</f>
        <v>24893.725899285277</v>
      </c>
      <c r="D189" s="111">
        <f t="shared" si="6"/>
        <v>11182.666850639822</v>
      </c>
      <c r="E189" s="111">
        <f>IF(C189="","",IF(Assumptions!$M$35=Assumptions!$C$106,B189*Assumptions!$M$33,B189*Assumptions!$M$33/12))</f>
        <v>13711.059048645455</v>
      </c>
      <c r="F189" s="111">
        <f t="shared" si="7"/>
        <v>2980321.1255810959</v>
      </c>
    </row>
    <row r="190" spans="1:6" x14ac:dyDescent="0.25">
      <c r="A190" s="1">
        <v>187</v>
      </c>
      <c r="B190" s="111">
        <f t="shared" si="8"/>
        <v>2980321.1255810959</v>
      </c>
      <c r="C190" s="111">
        <f>IF(B190="","",Assumptions!$M$36*Assumptions!$M$31*Assumptions!$M$30)</f>
        <v>24893.725899285277</v>
      </c>
      <c r="D190" s="111">
        <f t="shared" si="6"/>
        <v>11233.920740371921</v>
      </c>
      <c r="E190" s="111">
        <f>IF(C190="","",IF(Assumptions!$M$35=Assumptions!$C$106,B190*Assumptions!$M$33,B190*Assumptions!$M$33/12))</f>
        <v>13659.805158913356</v>
      </c>
      <c r="F190" s="111">
        <f t="shared" si="7"/>
        <v>2969087.2048407239</v>
      </c>
    </row>
    <row r="191" spans="1:6" x14ac:dyDescent="0.25">
      <c r="A191" s="1">
        <v>188</v>
      </c>
      <c r="B191" s="111">
        <f t="shared" si="8"/>
        <v>2969087.2048407239</v>
      </c>
      <c r="C191" s="111">
        <f>IF(B191="","",Assumptions!$M$36*Assumptions!$M$31*Assumptions!$M$30)</f>
        <v>24893.725899285277</v>
      </c>
      <c r="D191" s="111">
        <f t="shared" si="6"/>
        <v>11285.409543765292</v>
      </c>
      <c r="E191" s="111">
        <f>IF(C191="","",IF(Assumptions!$M$35=Assumptions!$C$106,B191*Assumptions!$M$33,B191*Assumptions!$M$33/12))</f>
        <v>13608.316355519984</v>
      </c>
      <c r="F191" s="111">
        <f t="shared" si="7"/>
        <v>2957801.7952969586</v>
      </c>
    </row>
    <row r="192" spans="1:6" x14ac:dyDescent="0.25">
      <c r="A192" s="1">
        <v>189</v>
      </c>
      <c r="B192" s="111">
        <f t="shared" si="8"/>
        <v>2957801.7952969586</v>
      </c>
      <c r="C192" s="111">
        <f>IF(B192="","",Assumptions!$M$36*Assumptions!$M$31*Assumptions!$M$30)</f>
        <v>24893.725899285277</v>
      </c>
      <c r="D192" s="111">
        <f t="shared" si="6"/>
        <v>11337.134337507548</v>
      </c>
      <c r="E192" s="111">
        <f>IF(C192="","",IF(Assumptions!$M$35=Assumptions!$C$106,B192*Assumptions!$M$33,B192*Assumptions!$M$33/12))</f>
        <v>13556.591561777728</v>
      </c>
      <c r="F192" s="111">
        <f t="shared" si="7"/>
        <v>2946464.660959451</v>
      </c>
    </row>
    <row r="193" spans="1:6" x14ac:dyDescent="0.25">
      <c r="A193" s="1">
        <v>190</v>
      </c>
      <c r="B193" s="111">
        <f t="shared" si="8"/>
        <v>2946464.660959451</v>
      </c>
      <c r="C193" s="111">
        <f>IF(B193="","",Assumptions!$M$36*Assumptions!$M$31*Assumptions!$M$30)</f>
        <v>24893.725899285277</v>
      </c>
      <c r="D193" s="111">
        <f t="shared" si="6"/>
        <v>11389.096203221126</v>
      </c>
      <c r="E193" s="111">
        <f>IF(C193="","",IF(Assumptions!$M$35=Assumptions!$C$106,B193*Assumptions!$M$33,B193*Assumptions!$M$33/12))</f>
        <v>13504.62969606415</v>
      </c>
      <c r="F193" s="111">
        <f t="shared" si="7"/>
        <v>2935075.56475623</v>
      </c>
    </row>
    <row r="194" spans="1:6" x14ac:dyDescent="0.25">
      <c r="A194" s="1">
        <v>191</v>
      </c>
      <c r="B194" s="111">
        <f t="shared" si="8"/>
        <v>2935075.56475623</v>
      </c>
      <c r="C194" s="111">
        <f>IF(B194="","",Assumptions!$M$36*Assumptions!$M$31*Assumptions!$M$30)</f>
        <v>24893.725899285277</v>
      </c>
      <c r="D194" s="111">
        <f t="shared" si="6"/>
        <v>11441.296227485889</v>
      </c>
      <c r="E194" s="111">
        <f>IF(C194="","",IF(Assumptions!$M$35=Assumptions!$C$106,B194*Assumptions!$M$33,B194*Assumptions!$M$33/12))</f>
        <v>13452.429671799388</v>
      </c>
      <c r="F194" s="111">
        <f t="shared" si="7"/>
        <v>2923634.2685287441</v>
      </c>
    </row>
    <row r="195" spans="1:6" x14ac:dyDescent="0.25">
      <c r="A195" s="1">
        <v>192</v>
      </c>
      <c r="B195" s="111">
        <f t="shared" si="8"/>
        <v>2923634.2685287441</v>
      </c>
      <c r="C195" s="111">
        <f>IF(B195="","",Assumptions!$M$36*Assumptions!$M$31*Assumptions!$M$30)</f>
        <v>24893.725899285277</v>
      </c>
      <c r="D195" s="111">
        <f t="shared" si="6"/>
        <v>11493.735501861865</v>
      </c>
      <c r="E195" s="111">
        <f>IF(C195="","",IF(Assumptions!$M$35=Assumptions!$C$106,B195*Assumptions!$M$33,B195*Assumptions!$M$33/12))</f>
        <v>13399.990397423411</v>
      </c>
      <c r="F195" s="111">
        <f t="shared" si="7"/>
        <v>2912140.5330268824</v>
      </c>
    </row>
    <row r="196" spans="1:6" x14ac:dyDescent="0.25">
      <c r="A196" s="1">
        <v>193</v>
      </c>
      <c r="B196" s="111">
        <f t="shared" si="8"/>
        <v>2912140.5330268824</v>
      </c>
      <c r="C196" s="111">
        <f>IF(B196="","",Assumptions!$M$36*Assumptions!$M$31*Assumptions!$M$30)</f>
        <v>24893.725899285277</v>
      </c>
      <c r="D196" s="111">
        <f t="shared" si="6"/>
        <v>11546.415122912065</v>
      </c>
      <c r="E196" s="111">
        <f>IF(C196="","",IF(Assumptions!$M$35=Assumptions!$C$106,B196*Assumptions!$M$33,B196*Assumptions!$M$33/12))</f>
        <v>13347.310776373211</v>
      </c>
      <c r="F196" s="111">
        <f t="shared" si="7"/>
        <v>2900594.1179039702</v>
      </c>
    </row>
    <row r="197" spans="1:6" x14ac:dyDescent="0.25">
      <c r="A197" s="1">
        <v>194</v>
      </c>
      <c r="B197" s="111">
        <f t="shared" si="8"/>
        <v>2900594.1179039702</v>
      </c>
      <c r="C197" s="111">
        <f>IF(B197="","",Assumptions!$M$36*Assumptions!$M$31*Assumptions!$M$30)</f>
        <v>24893.725899285277</v>
      </c>
      <c r="D197" s="111">
        <f t="shared" ref="D197:D203" si="9">IF(C197="","",C197-E197)</f>
        <v>11599.336192225413</v>
      </c>
      <c r="E197" s="111">
        <f>IF(C197="","",IF(Assumptions!$M$35=Assumptions!$C$106,B197*Assumptions!$M$33,B197*Assumptions!$M$33/12))</f>
        <v>13294.389707059863</v>
      </c>
      <c r="F197" s="111">
        <f t="shared" ref="F197:F203" si="10">IF(C197="","",B197-D197)</f>
        <v>2888994.7817117446</v>
      </c>
    </row>
    <row r="198" spans="1:6" x14ac:dyDescent="0.25">
      <c r="A198" s="1">
        <v>195</v>
      </c>
      <c r="B198" s="111">
        <f t="shared" ref="B198:B203" si="11">IF(F197&lt;1,"",F197)</f>
        <v>2888994.7817117446</v>
      </c>
      <c r="C198" s="111">
        <f>IF(B198="","",Assumptions!$M$36*Assumptions!$M$31*Assumptions!$M$30)</f>
        <v>24893.725899285277</v>
      </c>
      <c r="D198" s="111">
        <f t="shared" si="9"/>
        <v>11652.49981643978</v>
      </c>
      <c r="E198" s="111">
        <f>IF(C198="","",IF(Assumptions!$M$35=Assumptions!$C$106,B198*Assumptions!$M$33,B198*Assumptions!$M$33/12))</f>
        <v>13241.226082845496</v>
      </c>
      <c r="F198" s="111">
        <f t="shared" si="10"/>
        <v>2877342.281895305</v>
      </c>
    </row>
    <row r="199" spans="1:6" x14ac:dyDescent="0.25">
      <c r="A199" s="1">
        <v>196</v>
      </c>
      <c r="B199" s="111">
        <f t="shared" si="11"/>
        <v>2877342.281895305</v>
      </c>
      <c r="C199" s="111">
        <f>IF(B199="","",Assumptions!$M$36*Assumptions!$M$31*Assumptions!$M$30)</f>
        <v>24893.725899285277</v>
      </c>
      <c r="D199" s="111">
        <f t="shared" si="9"/>
        <v>11705.90710726513</v>
      </c>
      <c r="E199" s="111">
        <f>IF(C199="","",IF(Assumptions!$M$35=Assumptions!$C$106,B199*Assumptions!$M$33,B199*Assumptions!$M$33/12))</f>
        <v>13187.818792020147</v>
      </c>
      <c r="F199" s="111">
        <f t="shared" si="10"/>
        <v>2865636.3747880398</v>
      </c>
    </row>
    <row r="200" spans="1:6" x14ac:dyDescent="0.25">
      <c r="A200" s="1">
        <v>197</v>
      </c>
      <c r="B200" s="111">
        <f t="shared" si="11"/>
        <v>2865636.3747880398</v>
      </c>
      <c r="C200" s="111">
        <f>IF(B200="","",Assumptions!$M$36*Assumptions!$M$31*Assumptions!$M$30)</f>
        <v>24893.725899285277</v>
      </c>
      <c r="D200" s="111">
        <f t="shared" si="9"/>
        <v>11759.559181506762</v>
      </c>
      <c r="E200" s="111">
        <f>IF(C200="","",IF(Assumptions!$M$35=Assumptions!$C$106,B200*Assumptions!$M$33,B200*Assumptions!$M$33/12))</f>
        <v>13134.166717778515</v>
      </c>
      <c r="F200" s="111">
        <f t="shared" si="10"/>
        <v>2853876.8156065331</v>
      </c>
    </row>
    <row r="201" spans="1:6" x14ac:dyDescent="0.25">
      <c r="A201" s="1">
        <v>198</v>
      </c>
      <c r="B201" s="111">
        <f t="shared" si="11"/>
        <v>2853876.8156065331</v>
      </c>
      <c r="C201" s="111">
        <f>IF(B201="","",Assumptions!$M$36*Assumptions!$M$31*Assumptions!$M$30)</f>
        <v>24893.725899285277</v>
      </c>
      <c r="D201" s="111">
        <f t="shared" si="9"/>
        <v>11813.457161088667</v>
      </c>
      <c r="E201" s="111">
        <f>IF(C201="","",IF(Assumptions!$M$35=Assumptions!$C$106,B201*Assumptions!$M$33,B201*Assumptions!$M$33/12))</f>
        <v>13080.26873819661</v>
      </c>
      <c r="F201" s="111">
        <f t="shared" si="10"/>
        <v>2842063.3584454446</v>
      </c>
    </row>
    <row r="202" spans="1:6" x14ac:dyDescent="0.25">
      <c r="A202" s="1">
        <v>199</v>
      </c>
      <c r="B202" s="111">
        <f t="shared" si="11"/>
        <v>2842063.3584454446</v>
      </c>
      <c r="C202" s="111">
        <f>IF(B202="","",Assumptions!$M$36*Assumptions!$M$31*Assumptions!$M$30)</f>
        <v>24893.725899285277</v>
      </c>
      <c r="D202" s="111">
        <f t="shared" si="9"/>
        <v>11867.60217307699</v>
      </c>
      <c r="E202" s="111">
        <f>IF(C202="","",IF(Assumptions!$M$35=Assumptions!$C$106,B202*Assumptions!$M$33,B202*Assumptions!$M$33/12))</f>
        <v>13026.123726208287</v>
      </c>
      <c r="F202" s="111">
        <f t="shared" si="10"/>
        <v>2830195.7562723677</v>
      </c>
    </row>
    <row r="203" spans="1:6" x14ac:dyDescent="0.25">
      <c r="A203" s="1">
        <v>200</v>
      </c>
      <c r="B203" s="111">
        <f t="shared" si="11"/>
        <v>2830195.7562723677</v>
      </c>
      <c r="C203" s="111">
        <f>IF(B203="","",Assumptions!$M$36*Assumptions!$M$31*Assumptions!$M$30)</f>
        <v>24893.725899285277</v>
      </c>
      <c r="D203" s="111">
        <f t="shared" si="9"/>
        <v>11921.995349703591</v>
      </c>
      <c r="E203" s="111">
        <f>IF(C203="","",IF(Assumptions!$M$35=Assumptions!$C$106,B203*Assumptions!$M$33,B203*Assumptions!$M$33/12))</f>
        <v>12971.730549581685</v>
      </c>
      <c r="F203" s="111">
        <f t="shared" si="10"/>
        <v>2818273.7609226638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Assumptions</vt:lpstr>
      <vt:lpstr>Development Costs</vt:lpstr>
      <vt:lpstr>Stabilized Pro-Forma</vt:lpstr>
      <vt:lpstr>Annual</vt:lpstr>
      <vt:lpstr>Amortization</vt:lpstr>
      <vt:lpstr>Assumptions!Print_Area</vt:lpstr>
      <vt:lpstr>'Development Costs'!Print_Area</vt:lpstr>
      <vt:lpstr>'Stabilized Pro-Forma'!Print_Area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</dc:creator>
  <cp:lastModifiedBy>burton</cp:lastModifiedBy>
  <cp:lastPrinted>2012-08-28T11:49:03Z</cp:lastPrinted>
  <dcterms:created xsi:type="dcterms:W3CDTF">2011-09-25T15:14:25Z</dcterms:created>
  <dcterms:modified xsi:type="dcterms:W3CDTF">2016-02-08T00:16:52Z</dcterms:modified>
</cp:coreProperties>
</file>